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 activeTab="11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2" l="1"/>
  <c r="A130" i="11"/>
  <c r="A430" i="11"/>
  <c r="B307" i="11"/>
  <c r="D79" i="11"/>
  <c r="L55" i="11"/>
  <c r="I127" i="12" l="1"/>
  <c r="I127" i="13" s="1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6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79" i="12" s="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7" i="12" s="1"/>
  <c r="A256" i="10"/>
  <c r="A246" i="11"/>
  <c r="A246" i="12" s="1"/>
  <c r="H26" i="15"/>
  <c r="E186" i="10"/>
  <c r="F66" i="10"/>
  <c r="A260" i="12" l="1"/>
  <c r="A480" i="1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<sst xmlns="http://schemas.openxmlformats.org/spreadsheetml/2006/main" count="5804" uniqueCount="901">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</sst>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topLeftCell="A24" zoomScaleNormal="100" workbookViewId="0">
      <pane xSplit="1" topLeftCell="AM1" activePane="topRight" state="frozen"/>
      <selection pane="topRight" activeCell="AQ41" sqref="AQ41:AT41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15101.890000000001</v>
      </c>
      <c r="AV5" s="388"/>
      <c r="AW5" s="388"/>
      <c r="AX5" s="389"/>
      <c r="AZ5" s="6"/>
      <c r="BA5" s="7"/>
      <c r="BB5" s="1"/>
      <c r="BC5" s="1"/>
    </row>
    <row r="6" spans="1:55" ht="16.8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84" t="s">
        <v>230</v>
      </c>
      <c r="D7" s="385"/>
      <c r="E7" s="385"/>
      <c r="F7" s="386"/>
      <c r="G7" s="384" t="s">
        <v>230</v>
      </c>
      <c r="H7" s="385"/>
      <c r="I7" s="385"/>
      <c r="J7" s="386"/>
      <c r="K7" s="384" t="s">
        <v>230</v>
      </c>
      <c r="L7" s="385"/>
      <c r="M7" s="385"/>
      <c r="N7" s="386"/>
      <c r="O7" s="384" t="s">
        <v>230</v>
      </c>
      <c r="P7" s="385"/>
      <c r="Q7" s="385"/>
      <c r="R7" s="386"/>
      <c r="S7" s="384" t="s">
        <v>230</v>
      </c>
      <c r="T7" s="385"/>
      <c r="U7" s="385"/>
      <c r="V7" s="386"/>
      <c r="W7" s="384" t="s">
        <v>230</v>
      </c>
      <c r="X7" s="385"/>
      <c r="Y7" s="385"/>
      <c r="Z7" s="386"/>
      <c r="AA7" s="384" t="s">
        <v>230</v>
      </c>
      <c r="AB7" s="385"/>
      <c r="AC7" s="385"/>
      <c r="AD7" s="386"/>
      <c r="AE7" s="384" t="s">
        <v>230</v>
      </c>
      <c r="AF7" s="385"/>
      <c r="AG7" s="385"/>
      <c r="AH7" s="386"/>
      <c r="AI7" s="384" t="s">
        <v>230</v>
      </c>
      <c r="AJ7" s="385"/>
      <c r="AK7" s="385"/>
      <c r="AL7" s="386"/>
      <c r="AM7" s="384" t="s">
        <v>230</v>
      </c>
      <c r="AN7" s="385"/>
      <c r="AO7" s="385"/>
      <c r="AP7" s="386"/>
      <c r="AQ7" s="384" t="s">
        <v>230</v>
      </c>
      <c r="AR7" s="385"/>
      <c r="AS7" s="385"/>
      <c r="AT7" s="386"/>
      <c r="AU7" s="384" t="s">
        <v>230</v>
      </c>
      <c r="AV7" s="385"/>
      <c r="AW7" s="385"/>
      <c r="AX7" s="386"/>
      <c r="AZ7" s="9" t="s">
        <v>232</v>
      </c>
      <c r="BA7" s="13" t="s">
        <v>188</v>
      </c>
      <c r="BB7" s="1"/>
      <c r="BC7" s="1"/>
    </row>
    <row r="8" spans="1:55" ht="15.6">
      <c r="A8" s="206" t="s">
        <v>212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0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27638.289999999997</v>
      </c>
      <c r="BA8" s="112">
        <f t="shared" ref="BA8:BA16" ca="1" si="0">AZ8/BC$17</f>
        <v>2512.5718181818179</v>
      </c>
      <c r="BB8" s="1"/>
      <c r="BC8" s="1"/>
    </row>
    <row r="9" spans="1:55" ht="15.6">
      <c r="A9" s="189" t="s">
        <v>213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0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5961.4400000000014</v>
      </c>
      <c r="BA9" s="112">
        <f t="shared" ca="1" si="0"/>
        <v>541.94909090909107</v>
      </c>
      <c r="BB9" s="1"/>
      <c r="BC9" s="1"/>
    </row>
    <row r="10" spans="1:55" ht="15.6">
      <c r="A10" s="190" t="s">
        <v>218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6">
      <c r="A11" s="189" t="s">
        <v>214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6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1782.43</v>
      </c>
      <c r="BA12" s="112">
        <f t="shared" ca="1" si="0"/>
        <v>162.0390909090909</v>
      </c>
      <c r="BB12" s="1"/>
      <c r="BC12" s="1"/>
    </row>
    <row r="13" spans="1:55" ht="15.6">
      <c r="A13" s="189" t="s">
        <v>215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0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6377.7000000000007</v>
      </c>
      <c r="BA13" s="112">
        <f t="shared" ca="1" si="0"/>
        <v>579.79090909090917</v>
      </c>
      <c r="BB13" s="1"/>
      <c r="BC13" s="1"/>
    </row>
    <row r="14" spans="1:55" ht="15.6">
      <c r="A14" s="190" t="s">
        <v>216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0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201.02999999999997</v>
      </c>
      <c r="BA14" s="112">
        <f t="shared" ca="1" si="0"/>
        <v>18.275454545454544</v>
      </c>
      <c r="BB14" s="3"/>
      <c r="BC14" s="3"/>
    </row>
    <row r="15" spans="1:55" ht="15.6">
      <c r="A15" s="189" t="s">
        <v>217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0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5487.7900000000009</v>
      </c>
      <c r="BA15" s="112">
        <f t="shared" ca="1" si="0"/>
        <v>498.8900000000001</v>
      </c>
      <c r="BB15" s="1"/>
      <c r="BC15" s="1"/>
    </row>
    <row r="16" spans="1:55" ht="16.2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42.84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49193.340000000004</v>
      </c>
      <c r="BA17" s="112">
        <f ca="1">AZ17/BC$17</f>
        <v>4472.1218181818185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53665.461818181822</v>
      </c>
      <c r="BB18" s="1"/>
      <c r="BC18" s="1"/>
    </row>
    <row r="19" spans="1:62" ht="16.8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1098.3999999999999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1642.3999999999999</v>
      </c>
      <c r="AZ20" s="123">
        <f t="shared" ref="AZ20:AZ27" si="14">E20+I20+M20+Q20+U20+Y20+AC20+AG20+AK20+AO20+AS20+AW20</f>
        <v>5682.02</v>
      </c>
      <c r="BA20" s="21">
        <f t="shared" ref="BA20:BA45" si="15">AZ20/AZ$46</f>
        <v>0.1241796783141346</v>
      </c>
      <c r="BB20" s="22">
        <f>_xlfn.RANK.EQ(BA20,$BA$20:$BA$45,)</f>
        <v>2</v>
      </c>
      <c r="BC20" s="22">
        <f t="shared" ref="BC20:BC45" ca="1" si="16">AZ20/BC$17</f>
        <v>516.5472727272728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6331.6400000000012</v>
      </c>
      <c r="BF20" s="21">
        <f t="shared" ref="BF20:BF45" ca="1" si="18">BE20/BE$46</f>
        <v>0.12870929883202831</v>
      </c>
      <c r="BG20" s="22">
        <f ca="1">_xlfn.RANK.EQ(BF20,$BF$20:$BF$45,)</f>
        <v>2</v>
      </c>
      <c r="BH20" s="22">
        <f t="shared" ref="BH20:BH45" ca="1" si="19">BE20/BC$17</f>
        <v>575.6036363636365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649.62000000000023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1451.9499999999991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2579.9499999999989</v>
      </c>
      <c r="AZ21" s="152">
        <f t="shared" si="14"/>
        <v>11853.91</v>
      </c>
      <c r="BA21" s="21">
        <f t="shared" si="15"/>
        <v>0.25906539057671446</v>
      </c>
      <c r="BB21" s="22">
        <f t="shared" ref="BB21:BB45" si="20">_xlfn.RANK.EQ(BA21,$BA$20:$BA$45,)</f>
        <v>1</v>
      </c>
      <c r="BC21" s="22">
        <f t="shared" ca="1" si="16"/>
        <v>1077.6281818181817</v>
      </c>
      <c r="BE21" s="224">
        <f t="shared" ca="1" si="17"/>
        <v>12653</v>
      </c>
      <c r="BF21" s="21">
        <f t="shared" ca="1" si="18"/>
        <v>0.25720962627718152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799.08999999999946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777.77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1267.77</v>
      </c>
      <c r="AZ22" s="157">
        <f t="shared" si="14"/>
        <v>2954.5299999999997</v>
      </c>
      <c r="BA22" s="21">
        <f t="shared" si="15"/>
        <v>6.4570801399759251E-2</v>
      </c>
      <c r="BB22" s="22">
        <f t="shared" si="20"/>
        <v>6</v>
      </c>
      <c r="BC22" s="22">
        <f t="shared" ca="1" si="16"/>
        <v>268.59363636363634</v>
      </c>
      <c r="BE22" s="225">
        <f t="shared" ca="1" si="17"/>
        <v>3486.23</v>
      </c>
      <c r="BF22" s="21">
        <f t="shared" ca="1" si="18"/>
        <v>7.0867929772883795E-2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531.69999999999982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331.55000000000007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481.55000000000007</v>
      </c>
      <c r="AZ23" s="152">
        <f t="shared" si="14"/>
        <v>1805.58</v>
      </c>
      <c r="BA23" s="21">
        <f t="shared" si="15"/>
        <v>3.9460674825226791E-2</v>
      </c>
      <c r="BB23" s="22">
        <f t="shared" si="20"/>
        <v>8</v>
      </c>
      <c r="BC23" s="22">
        <f t="shared" ca="1" si="16"/>
        <v>164.14363636363635</v>
      </c>
      <c r="BE23" s="224">
        <f t="shared" ca="1" si="17"/>
        <v>2095</v>
      </c>
      <c r="BF23" s="21">
        <f t="shared" ca="1" si="18"/>
        <v>4.2587067655946838E-2</v>
      </c>
      <c r="BG23" s="22">
        <f t="shared" ca="1" si="21"/>
        <v>8</v>
      </c>
      <c r="BH23" s="22">
        <f t="shared" ca="1" si="19"/>
        <v>190.45454545454547</v>
      </c>
      <c r="BJ23" s="224">
        <f t="shared" ca="1" si="22"/>
        <v>289.42000000000007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456.25</v>
      </c>
      <c r="AZ24" s="157">
        <f t="shared" si="14"/>
        <v>1463.7500000000002</v>
      </c>
      <c r="BA24" s="21">
        <f t="shared" si="15"/>
        <v>3.199003244133504E-2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3.5777202422179681E-2</v>
      </c>
      <c r="BG24" s="22">
        <f t="shared" ca="1" si="21"/>
        <v>10</v>
      </c>
      <c r="BH24" s="22">
        <f t="shared" ca="1" si="19"/>
        <v>160</v>
      </c>
      <c r="BJ24" s="225">
        <f t="shared" ca="1" si="22"/>
        <v>296.25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258.47000000000003</v>
      </c>
      <c r="AT25" s="151">
        <f t="shared" si="12"/>
        <v>4708.4315974244955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5113.4315974244955</v>
      </c>
      <c r="AZ25" s="152">
        <f t="shared" si="14"/>
        <v>3596.2700000000004</v>
      </c>
      <c r="BA25" s="21">
        <f t="shared" si="15"/>
        <v>7.8595930977147718E-2</v>
      </c>
      <c r="BB25" s="22">
        <f t="shared" si="20"/>
        <v>4</v>
      </c>
      <c r="BC25" s="22">
        <f t="shared" ca="1" si="16"/>
        <v>326.93363636363642</v>
      </c>
      <c r="BE25" s="224">
        <f t="shared" ca="1" si="17"/>
        <v>5142.1515974244985</v>
      </c>
      <c r="BF25" s="21">
        <f t="shared" ca="1" si="18"/>
        <v>0.10452943101510846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1545.8815974244972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28.069999999999979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76.069999999999979</v>
      </c>
      <c r="AZ26" s="157">
        <f t="shared" si="14"/>
        <v>569.92000000000007</v>
      </c>
      <c r="BA26" s="21">
        <f t="shared" si="15"/>
        <v>1.2455514458729746E-2</v>
      </c>
      <c r="BB26" s="22">
        <f t="shared" si="20"/>
        <v>15</v>
      </c>
      <c r="BC26" s="22">
        <f t="shared" ca="1" si="16"/>
        <v>51.810909090909099</v>
      </c>
      <c r="BE26" s="225">
        <f t="shared" ca="1" si="17"/>
        <v>578.45000000000005</v>
      </c>
      <c r="BF26" s="21">
        <f t="shared" ca="1" si="18"/>
        <v>1.1758706102903319E-2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8.5300000000000296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8.7082823751148484E-3</v>
      </c>
      <c r="BB27" s="22">
        <f t="shared" si="20"/>
        <v>18</v>
      </c>
      <c r="BC27" s="22">
        <f t="shared" ca="1" si="16"/>
        <v>36.223636363636359</v>
      </c>
      <c r="BE27" s="224">
        <f t="shared" ca="1" si="17"/>
        <v>490</v>
      </c>
      <c r="BF27" s="21">
        <f t="shared" ca="1" si="18"/>
        <v>9.9606984016295703E-3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91.54000000000002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7.4308447073242592E-2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7.8873282094405708E-2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6.2099999999999795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76.20999999999998</v>
      </c>
      <c r="AZ29" s="152">
        <f t="shared" si="23"/>
        <v>957.78</v>
      </c>
      <c r="BA29" s="21">
        <f t="shared" si="15"/>
        <v>2.0932135454593933E-2</v>
      </c>
      <c r="BB29" s="22">
        <f t="shared" si="20"/>
        <v>13</v>
      </c>
      <c r="BC29" s="22">
        <f t="shared" ca="1" si="16"/>
        <v>87.070909090909083</v>
      </c>
      <c r="BE29" s="224">
        <f t="shared" ca="1" si="17"/>
        <v>1010.6600000000001</v>
      </c>
      <c r="BF29" s="21">
        <f t="shared" ca="1" si="18"/>
        <v>2.0544651931818252E-2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52.87999999999991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5.8188530401403612E-3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8.6393812667195265E-3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4.8146228159358546E-3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4.4721503027724601E-3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542.5799999999997</v>
      </c>
      <c r="AZ32" s="157">
        <f t="shared" si="23"/>
        <v>1825.5000000000002</v>
      </c>
      <c r="BA32" s="21">
        <f t="shared" si="15"/>
        <v>3.9896023379441245E-2</v>
      </c>
      <c r="BB32" s="22">
        <f t="shared" si="20"/>
        <v>7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4.741150143484224E-2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9.7993856165383517E-2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9.4157872151926697E-2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2.8357756853461508E-2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2.8752064135201795E-2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1562.5900000000004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1677.5900000000004</v>
      </c>
      <c r="AZ35" s="188">
        <f t="shared" si="23"/>
        <v>1783.52</v>
      </c>
      <c r="BA35" s="21">
        <f t="shared" si="15"/>
        <v>3.8978556898220232E-2</v>
      </c>
      <c r="BB35" s="22">
        <f t="shared" si="20"/>
        <v>9</v>
      </c>
      <c r="BC35" s="22">
        <f t="shared" ca="1" si="16"/>
        <v>162.13818181818181</v>
      </c>
      <c r="BE35" s="224">
        <f t="shared" ca="1" si="17"/>
        <v>1856.51</v>
      </c>
      <c r="BF35" s="21">
        <f t="shared" ca="1" si="18"/>
        <v>3.7739053448182278E-2</v>
      </c>
      <c r="BG35" s="22">
        <f t="shared" ca="1" si="21"/>
        <v>9</v>
      </c>
      <c r="BH35" s="22">
        <f t="shared" ca="1" si="19"/>
        <v>168.77363636363637</v>
      </c>
      <c r="BJ35" s="224">
        <f t="shared" ca="1" si="22"/>
        <v>72.990000000000009</v>
      </c>
    </row>
    <row r="36" spans="1:62" ht="15.6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2.7525524275927058E-2</v>
      </c>
      <c r="BB36" s="22">
        <f t="shared" si="20"/>
        <v>12</v>
      </c>
      <c r="BC36" s="22">
        <f t="shared" ca="1" si="16"/>
        <v>114.49727272727272</v>
      </c>
      <c r="BE36" s="223">
        <f t="shared" ca="1" si="17"/>
        <v>1648.97</v>
      </c>
      <c r="BF36" s="21">
        <f t="shared" ca="1" si="18"/>
        <v>3.3520189476194111E-2</v>
      </c>
      <c r="BG36" s="22">
        <f t="shared" ca="1" si="21"/>
        <v>11</v>
      </c>
      <c r="BH36" s="22">
        <f t="shared" ca="1" si="19"/>
        <v>149.90636363636364</v>
      </c>
      <c r="BJ36" s="223">
        <f t="shared" ca="1" si="22"/>
        <v>389.50000000000006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1.0860766265907051E-2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1.1572705306219825E-2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231.23000000000008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301.23000000000008</v>
      </c>
      <c r="AZ38" s="157">
        <f t="shared" si="23"/>
        <v>592.97</v>
      </c>
      <c r="BA38" s="21">
        <f t="shared" si="15"/>
        <v>1.2959268684364433E-2</v>
      </c>
      <c r="BB38" s="22">
        <f t="shared" si="20"/>
        <v>14</v>
      </c>
      <c r="BC38" s="22">
        <f t="shared" ca="1" si="16"/>
        <v>53.906363636363636</v>
      </c>
      <c r="BE38" s="225">
        <f t="shared" ca="1" si="17"/>
        <v>785</v>
      </c>
      <c r="BF38" s="21">
        <f t="shared" ca="1" si="18"/>
        <v>1.5957445398529006E-2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192.03000000000003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5.9821268866786532E-3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1493.3061040380198</v>
      </c>
      <c r="AZ40" s="157">
        <f t="shared" si="23"/>
        <v>172.78000000000003</v>
      </c>
      <c r="BA40" s="21">
        <f t="shared" si="15"/>
        <v>3.7760804817857344E-3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1.7107521947634978E-2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4227.3800000000019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327.38000000000193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-4322.6199999999963</v>
      </c>
      <c r="BF41" s="21">
        <f t="shared" ca="1" si="18"/>
        <v>-8.7870028826228533E-2</v>
      </c>
      <c r="BG41" s="22">
        <f t="shared" ca="1" si="21"/>
        <v>26</v>
      </c>
      <c r="BH41" s="22">
        <f t="shared" ca="1" si="19"/>
        <v>-392.96545454545418</v>
      </c>
      <c r="BJ41" s="224">
        <f t="shared" ca="1" si="22"/>
        <v>-4322.6199999999963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4.0249352724952511E-5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1.0927423549559364E-2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2.1293314094082257E-2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3.8243796938747863E-3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4.0655911843386002E-4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42.840000000000686</v>
      </c>
      <c r="AS46" s="219">
        <f>SUM(AS20:AS45)</f>
        <v>325.78000000000003</v>
      </c>
      <c r="AT46" s="220">
        <f>SUM(AT20:AT45)</f>
        <v>29820.437679999992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29820.437679999999</v>
      </c>
      <c r="AZ46" s="227">
        <f>SUM(AZ20:AZ45)</f>
        <v>45756.439999999995</v>
      </c>
      <c r="BA46" s="1"/>
      <c r="BB46" s="1"/>
      <c r="BC46" s="124">
        <f ca="1">SUM(BC20:BC45)</f>
        <v>4159.6763636363639</v>
      </c>
      <c r="BE46" s="227">
        <f ca="1">SUM(BE20:BE45)</f>
        <v>49193.337680000026</v>
      </c>
      <c r="BF46" s="1"/>
      <c r="BG46" s="1"/>
      <c r="BH46" s="124">
        <f ca="1">SUM(BH20:BH45)</f>
        <v>4472.1216072727284</v>
      </c>
      <c r="BJ46" s="227">
        <f ca="1">SUM(BJ20:BJ45)</f>
        <v>3436.8976800000028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-6.8212102632969618E-13</v>
      </c>
      <c r="AS47" s="125">
        <f>AQ17-AS46</f>
        <v>-282.94000000000005</v>
      </c>
      <c r="AT47" s="140"/>
      <c r="AU47" s="125">
        <f>AU5-AT46</f>
        <v>-14718.547679999991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49916.116363636364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327.21000000000004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69" t="s">
        <v>257</v>
      </c>
      <c r="M54" s="370"/>
      <c r="N54" s="100">
        <v>70</v>
      </c>
      <c r="O54" s="95"/>
      <c r="P54" s="357"/>
      <c r="Q54" s="358"/>
      <c r="R54" s="102"/>
      <c r="S54" s="95">
        <v>43594</v>
      </c>
      <c r="T54" s="369" t="s">
        <v>243</v>
      </c>
      <c r="U54" s="370"/>
      <c r="V54" s="103"/>
      <c r="W54" s="95">
        <v>43624</v>
      </c>
      <c r="X54" s="369" t="s">
        <v>153</v>
      </c>
      <c r="Y54" s="370"/>
      <c r="Z54" s="104">
        <v>10</v>
      </c>
      <c r="AA54" s="95"/>
      <c r="AB54" s="361" t="s">
        <v>476</v>
      </c>
      <c r="AC54" s="362"/>
      <c r="AD54" s="239">
        <v>15</v>
      </c>
      <c r="AE54" s="95"/>
      <c r="AF54" s="361" t="s">
        <v>476</v>
      </c>
      <c r="AG54" s="362"/>
      <c r="AH54" s="239">
        <v>14</v>
      </c>
      <c r="AI54" s="95"/>
      <c r="AJ54" s="361" t="s">
        <v>476</v>
      </c>
      <c r="AK54" s="362"/>
      <c r="AL54" s="239">
        <v>15</v>
      </c>
      <c r="AM54" s="95"/>
      <c r="AN54" s="361" t="s">
        <v>476</v>
      </c>
      <c r="AO54" s="362"/>
      <c r="AP54" s="239">
        <v>11</v>
      </c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235</v>
      </c>
      <c r="AC55" s="343"/>
      <c r="AD55" s="100"/>
      <c r="AE55" s="96">
        <v>43682</v>
      </c>
      <c r="AF55" s="342" t="s">
        <v>323</v>
      </c>
      <c r="AG55" s="343"/>
      <c r="AH55" s="100">
        <v>10</v>
      </c>
      <c r="AI55" s="96">
        <v>43711</v>
      </c>
      <c r="AJ55" s="342" t="s">
        <v>323</v>
      </c>
      <c r="AK55" s="343"/>
      <c r="AL55" s="100" t="s">
        <v>780</v>
      </c>
      <c r="AM55" s="96">
        <v>43740</v>
      </c>
      <c r="AN55" s="363" t="s">
        <v>153</v>
      </c>
      <c r="AO55" s="364"/>
      <c r="AP55" s="100">
        <v>10</v>
      </c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1" t="s">
        <v>235</v>
      </c>
      <c r="Q56" s="362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63" t="s">
        <v>235</v>
      </c>
      <c r="AK56" s="364"/>
      <c r="AL56" s="100"/>
      <c r="AM56" s="96">
        <v>43769</v>
      </c>
      <c r="AN56" s="363" t="s">
        <v>153</v>
      </c>
      <c r="AO56" s="364"/>
      <c r="AP56" s="100" t="s">
        <v>780</v>
      </c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1" t="s">
        <v>389</v>
      </c>
      <c r="Q57" s="372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>
        <v>43733</v>
      </c>
      <c r="AJ57" s="363" t="s">
        <v>151</v>
      </c>
      <c r="AK57" s="364"/>
      <c r="AL57" s="100">
        <v>10</v>
      </c>
      <c r="AM57" s="96">
        <v>43762</v>
      </c>
      <c r="AN57" s="363" t="s">
        <v>151</v>
      </c>
      <c r="AO57" s="364"/>
      <c r="AP57" s="100" t="s">
        <v>780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63" t="s">
        <v>235</v>
      </c>
      <c r="AO58" s="36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385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5" t="s">
        <v>876</v>
      </c>
      <c r="AO59" s="366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1" t="s">
        <v>389</v>
      </c>
      <c r="M60" s="372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565</v>
      </c>
      <c r="U70" s="343"/>
      <c r="V70" s="100">
        <v>3742.92</v>
      </c>
      <c r="W70" s="96"/>
      <c r="X70" s="342" t="s">
        <v>563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566</v>
      </c>
      <c r="U71" s="368"/>
      <c r="V71" s="101">
        <v>1872.17</v>
      </c>
      <c r="W71" s="97"/>
      <c r="X71" s="367" t="s">
        <v>564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56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22</v>
      </c>
      <c r="D75">
        <f>C75*D74</f>
        <v>70.967741935483872</v>
      </c>
      <c r="Z75" s="111"/>
    </row>
    <row r="76" spans="1:50">
      <c r="D76">
        <f>D75-D73</f>
        <v>14.967741935483872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328</v>
      </c>
      <c r="K30" s="406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800</v>
      </c>
      <c r="K35" s="406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790</v>
      </c>
      <c r="K45" s="406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3"/>
      <c r="J46" s="407" t="s">
        <v>832</v>
      </c>
      <c r="K46" s="408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2" t="str">
        <f>AÑO!A13</f>
        <v>Gubernamental</v>
      </c>
      <c r="J50" s="405" t="s">
        <v>798</v>
      </c>
      <c r="K50" s="406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799</v>
      </c>
      <c r="K60" s="406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2" workbookViewId="0">
      <selection activeCell="D106" sqref="D106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834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626</v>
      </c>
      <c r="K31" s="408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861</v>
      </c>
      <c r="K32" s="408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328</v>
      </c>
      <c r="K33" s="408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424</v>
      </c>
      <c r="K40" s="406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864</v>
      </c>
      <c r="K42" s="408"/>
      <c r="L42" s="229">
        <v>52.06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02" t="str">
        <f>AÑO!A13</f>
        <v>Gubernamental</v>
      </c>
      <c r="J50" s="405" t="s">
        <v>798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870</v>
      </c>
      <c r="H55" s="1"/>
      <c r="I55" s="402" t="str">
        <f>AÑO!A14</f>
        <v>Mutualite/DKV</v>
      </c>
      <c r="J55" s="405" t="s">
        <v>466</v>
      </c>
      <c r="K55" s="406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871</v>
      </c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889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237</v>
      </c>
      <c r="D79" s="135">
        <f>22.3+25.93</f>
        <v>48.230000000000004</v>
      </c>
      <c r="E79" s="139"/>
      <c r="F79" s="139"/>
      <c r="G79" s="17" t="s">
        <v>884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868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869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872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893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895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887</v>
      </c>
      <c r="D130" s="137">
        <v>65</v>
      </c>
      <c r="E130" s="138"/>
      <c r="F130" s="138"/>
      <c r="G130" s="16" t="s">
        <v>888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880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881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867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882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797</v>
      </c>
      <c r="D257" s="137"/>
      <c r="E257" s="138">
        <v>100.67</v>
      </c>
      <c r="F257" s="138"/>
      <c r="G257" s="16" t="s">
        <v>405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883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886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>
        <f>28.54*2</f>
        <v>57.08</v>
      </c>
      <c r="C307" s="27" t="s">
        <v>466</v>
      </c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>
        <v>16.21</v>
      </c>
      <c r="E309" s="138"/>
      <c r="F309" s="138"/>
      <c r="G309" s="16" t="s">
        <v>874</v>
      </c>
    </row>
    <row r="310" spans="2:7">
      <c r="B310" s="134"/>
      <c r="C310" s="16"/>
      <c r="D310" s="137"/>
      <c r="E310" s="138"/>
      <c r="F310" s="138">
        <v>50</v>
      </c>
      <c r="G310" s="16" t="s">
        <v>873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875</v>
      </c>
    </row>
    <row r="312" spans="2:7">
      <c r="B312" s="134"/>
      <c r="C312" s="16"/>
      <c r="D312" s="137"/>
      <c r="E312" s="138"/>
      <c r="F312" s="138">
        <v>60</v>
      </c>
      <c r="G312" s="16" t="s">
        <v>877</v>
      </c>
    </row>
    <row r="313" spans="2:7">
      <c r="B313" s="134"/>
      <c r="C313" s="16"/>
      <c r="D313" s="137">
        <v>5.3</v>
      </c>
      <c r="E313" s="138"/>
      <c r="F313" s="138"/>
      <c r="G313" s="16" t="s">
        <v>879</v>
      </c>
    </row>
    <row r="314" spans="2:7">
      <c r="B314" s="134"/>
      <c r="C314" s="16"/>
      <c r="D314" s="137">
        <v>12.95</v>
      </c>
      <c r="E314" s="138"/>
      <c r="F314" s="138"/>
      <c r="G314" s="16" t="s">
        <v>892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890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891</v>
      </c>
    </row>
    <row r="317" spans="2:7">
      <c r="B317" s="134"/>
      <c r="C317" s="16"/>
      <c r="D317" s="137"/>
      <c r="E317" s="138"/>
      <c r="F317" s="138">
        <v>4.5</v>
      </c>
      <c r="G317" s="16" t="s">
        <v>896</v>
      </c>
    </row>
    <row r="318" spans="2:7">
      <c r="B318" s="134"/>
      <c r="C318" s="16"/>
      <c r="D318" s="137"/>
      <c r="E318" s="138"/>
      <c r="F318" s="138">
        <v>84.93</v>
      </c>
      <c r="G318" s="16" t="s">
        <v>897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A407" workbookViewId="0">
      <selection activeCell="B422" sqref="B422:G4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6">
      <c r="A6" s="112">
        <f>'10'!A6+(B6-SUM(D6:F6))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6">
      <c r="A8" s="112">
        <f>'10'!A8+(B8-SUM(D8:F8))</f>
        <v>-97.88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6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2" thickBot="1">
      <c r="A20" s="112">
        <f>SUM(A6:A15)</f>
        <v>1110.4000000000001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/>
      <c r="M25" s="1"/>
      <c r="R25" s="3"/>
    </row>
    <row r="26" spans="1:18" ht="15.6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/>
      <c r="K30" s="406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1451.95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900</v>
      </c>
      <c r="K40" s="406"/>
      <c r="L40" s="231">
        <f>21.42+21.42</f>
        <v>42.84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/>
      <c r="K50" s="406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'10'!A66+(B66-SUM(D66:F78))+B67</f>
        <v>257.73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311.55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754.39</v>
      </c>
      <c r="B120" s="135">
        <f>SUM(B106:B119)</f>
        <v>457.47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887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'10'!A257+(B257-SUM(D257:F257))</f>
        <v>424.11000000000007</v>
      </c>
      <c r="B257" s="134">
        <v>40</v>
      </c>
      <c r="C257" s="16" t="s">
        <v>866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865</v>
      </c>
      <c r="D359" s="135">
        <v>65</v>
      </c>
      <c r="E359" s="139"/>
      <c r="F359" s="139"/>
      <c r="G359" s="17" t="s">
        <v>899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898</v>
      </c>
    </row>
    <row r="407" spans="2:7">
      <c r="B407" s="134">
        <v>42.84</v>
      </c>
      <c r="C407" s="16" t="s">
        <v>900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42.84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2" workbookViewId="0">
      <selection activeCell="I128" sqref="I128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/>
      <c r="L5" s="424"/>
      <c r="M5" s="1"/>
      <c r="N5" s="1"/>
      <c r="R5" s="3"/>
    </row>
    <row r="6" spans="1:22" ht="15.6">
      <c r="A6" s="112">
        <f>'11'!A6+(B6-SUM(D6:F6))</f>
        <v>794.84999999999991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550</v>
      </c>
      <c r="L6" s="426"/>
      <c r="M6" s="1" t="s">
        <v>165</v>
      </c>
      <c r="N6" s="1"/>
      <c r="R6" s="3"/>
    </row>
    <row r="7" spans="1:22" ht="15.6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/>
      <c r="L7" s="426"/>
      <c r="M7" s="1"/>
      <c r="N7" s="1"/>
      <c r="R7" s="3"/>
    </row>
    <row r="8" spans="1:22" ht="15.6">
      <c r="A8" s="112">
        <f>'11'!A8+(B8-SUM(D8:F8))</f>
        <v>-97.88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659.77</v>
      </c>
      <c r="L9" s="426"/>
      <c r="M9" s="1"/>
      <c r="N9" s="1"/>
      <c r="R9" s="3"/>
    </row>
    <row r="10" spans="1:22" ht="15.6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6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/>
      <c r="L11" s="426"/>
      <c r="M11" s="1"/>
      <c r="N11" s="1"/>
      <c r="R11" s="3"/>
    </row>
    <row r="12" spans="1:22" ht="15.6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15101.890000000001</v>
      </c>
      <c r="L19" s="432"/>
      <c r="M19" s="1"/>
      <c r="N19" s="1"/>
      <c r="R19" s="3"/>
    </row>
    <row r="20" spans="1:18" ht="16.2" thickBot="1">
      <c r="A20" s="112">
        <f>SUM(A6:A15)</f>
        <v>1654.4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198"/>
      <c r="M25" s="1"/>
      <c r="R25" s="3"/>
    </row>
    <row r="26" spans="1:18" ht="15.6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'11'!A27+(B27-SUM(D27:F27))</f>
        <v>406.06999999999994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/>
      <c r="K30" s="406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2579.9499999999998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03"/>
      <c r="J46" s="407"/>
      <c r="K46" s="408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/>
      <c r="K50" s="406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3779.5715974244995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1133.8600000000001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D127+D128+'11'!I127</f>
        <v>150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9" workbookViewId="0">
      <selection activeCell="H65" sqref="H65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C32" sqref="C32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A16" workbookViewId="0">
      <selection activeCell="L6" sqref="L6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1564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43773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168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43773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619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43773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3.6492054149499707E-2</v>
      </c>
      <c r="Y13" s="119">
        <f ca="1">X13*E13</f>
        <v>146.67138016480283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3.2371983519717484E-2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8.2401412595644492E-3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0.51147733961153619</v>
      </c>
      <c r="Y19" s="119">
        <f t="shared" ca="1" si="3"/>
        <v>2262.4688231194823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0.37198351971748089</v>
      </c>
      <c r="Y20" s="119">
        <f t="shared" ca="1" si="3"/>
        <v>223.41330194231904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0.16951147733961153</v>
      </c>
      <c r="Y25" s="119">
        <f t="shared" ca="1" si="3"/>
        <v>103.05674460741612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619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43773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517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0.36433195997645673</v>
      </c>
      <c r="Y28" s="119">
        <f t="shared" ca="1" si="3"/>
        <v>1875.6147691112419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1.2948793407886992E-2</v>
      </c>
      <c r="Y33" s="119">
        <f t="shared" ca="1" si="3"/>
        <v>53.467202118893461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8.7698646262507354E-2</v>
      </c>
      <c r="Y35" s="119">
        <f t="shared" ca="1" si="3"/>
        <v>358.5775645320777</v>
      </c>
    </row>
    <row r="36" spans="1:27">
      <c r="A36" s="262" t="s">
        <v>516</v>
      </c>
      <c r="B36" s="262" t="s">
        <v>517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472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2710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1.5950559152442612</v>
      </c>
      <c r="Y42" s="328">
        <f ca="1">SUM(Y13:Y41)</f>
        <v>5023.2697855962333</v>
      </c>
      <c r="Z42" s="329">
        <f ca="1">P42/Y42</f>
        <v>0.83884595151200958</v>
      </c>
      <c r="AA42" s="329">
        <f ca="1">Z42/(D$43/365)</f>
        <v>0.18021116674625279</v>
      </c>
    </row>
    <row r="43" spans="1:27">
      <c r="C43" s="119" t="s">
        <v>568</v>
      </c>
      <c r="D43" s="46">
        <f ca="1">_xlfn.DAYS(TODAY(),F13)</f>
        <v>1699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6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D33" sqref="D3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opLeftCell="A22" workbookViewId="0">
      <selection activeCell="I15" sqref="I15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291</v>
      </c>
      <c r="K25" s="406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2" t="str">
        <f>AÑO!A9</f>
        <v>Rocío Salario</v>
      </c>
      <c r="J30" s="405" t="s">
        <v>238</v>
      </c>
      <c r="K30" s="406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256</v>
      </c>
      <c r="K31" s="408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267</v>
      </c>
      <c r="K32" s="408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02" t="s">
        <v>218</v>
      </c>
      <c r="J35" s="405" t="s">
        <v>306</v>
      </c>
      <c r="K35" s="406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239</v>
      </c>
      <c r="K40" s="406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240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269</v>
      </c>
      <c r="K42" s="408"/>
      <c r="L42" s="229">
        <v>0.02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299</v>
      </c>
      <c r="K45" s="406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3"/>
      <c r="J46" s="407"/>
      <c r="K46" s="40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1"/>
      <c r="J49" s="412"/>
      <c r="K49" s="413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2" t="str">
        <f>AÑO!A13</f>
        <v>Gubernamental</v>
      </c>
      <c r="J50" s="405" t="s">
        <v>259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1"/>
      <c r="J54" s="412"/>
      <c r="K54" s="413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296</v>
      </c>
      <c r="K65" s="406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3"/>
      <c r="J66" s="407"/>
      <c r="K66" s="408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3"/>
      <c r="J68" s="407"/>
      <c r="K68" s="408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4"/>
      <c r="J69" s="409"/>
      <c r="K69" s="410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6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6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6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6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6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6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6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6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6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6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6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6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6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6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6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6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6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6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314</v>
      </c>
      <c r="K30" s="406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319</v>
      </c>
      <c r="K31" s="408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314</v>
      </c>
      <c r="K33" s="408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359</v>
      </c>
      <c r="K35" s="406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3"/>
      <c r="J46" s="407"/>
      <c r="K46" s="408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2" t="str">
        <f>AÑO!A13</f>
        <v>Gubernamental</v>
      </c>
      <c r="J50" s="405" t="s">
        <v>259</v>
      </c>
      <c r="K50" s="406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3"/>
      <c r="J51" s="407"/>
      <c r="K51" s="408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315</v>
      </c>
      <c r="K60" s="406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3"/>
      <c r="J66" s="407"/>
      <c r="K66" s="408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3"/>
      <c r="J67" s="407"/>
      <c r="K67" s="408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3"/>
      <c r="J68" s="407"/>
      <c r="K68" s="408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4"/>
      <c r="J69" s="409"/>
      <c r="K69" s="410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6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362</v>
      </c>
      <c r="K30" s="406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238</v>
      </c>
      <c r="K31" s="408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379</v>
      </c>
      <c r="K45" s="406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2" t="str">
        <f>AÑO!A13</f>
        <v>Gubernamental</v>
      </c>
      <c r="J50" s="405" t="s">
        <v>259</v>
      </c>
      <c r="K50" s="406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3"/>
      <c r="J51" s="407" t="s">
        <v>417</v>
      </c>
      <c r="K51" s="408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366</v>
      </c>
      <c r="K60" s="406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3"/>
      <c r="J66" s="407"/>
      <c r="K66" s="408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3"/>
      <c r="J67" s="407"/>
      <c r="K67" s="40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3"/>
      <c r="J68" s="407"/>
      <c r="K68" s="40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4"/>
      <c r="J69" s="409"/>
      <c r="K69" s="410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362</v>
      </c>
      <c r="K30" s="406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430</v>
      </c>
      <c r="K31" s="408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424</v>
      </c>
      <c r="K40" s="406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444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 t="s">
        <v>461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433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448</v>
      </c>
      <c r="K57" s="40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6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362</v>
      </c>
      <c r="K31" s="408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472</v>
      </c>
      <c r="K40" s="406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2" t="str">
        <f>AÑO!A13</f>
        <v>Gubernamental</v>
      </c>
      <c r="J50" s="405" t="s">
        <v>483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2" t="str">
        <f>AÑO!A14</f>
        <v>Mutualite/DKV</v>
      </c>
      <c r="J55" s="405" t="s">
        <v>477</v>
      </c>
      <c r="K55" s="406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611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626</v>
      </c>
      <c r="K30" s="406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430</v>
      </c>
      <c r="K31" s="408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359</v>
      </c>
      <c r="K35" s="406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2" t="str">
        <f>AÑO!A13</f>
        <v>Gubernamental</v>
      </c>
      <c r="J50" s="405" t="s">
        <v>639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627</v>
      </c>
      <c r="K60" s="406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6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626</v>
      </c>
      <c r="K31" s="408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688</v>
      </c>
      <c r="K32" s="40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675</v>
      </c>
      <c r="K40" s="406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2" t="str">
        <f>AÑO!A13</f>
        <v>Gubernamental</v>
      </c>
      <c r="J50" s="405" t="s">
        <v>639</v>
      </c>
      <c r="K50" s="406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689</v>
      </c>
      <c r="K55" s="406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689</v>
      </c>
      <c r="K56" s="408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689</v>
      </c>
      <c r="K57" s="40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704</v>
      </c>
      <c r="K60" s="406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2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328</v>
      </c>
      <c r="K30" s="406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397</v>
      </c>
      <c r="K35" s="406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776</v>
      </c>
      <c r="K45" s="406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3"/>
      <c r="J46" s="407" t="s">
        <v>777</v>
      </c>
      <c r="K46" s="408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6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2" t="str">
        <f>AÑO!A13</f>
        <v>Gubernamental</v>
      </c>
      <c r="J50" s="405" t="s">
        <v>639</v>
      </c>
      <c r="K50" s="406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2019-11-04T17:00:05Z</dcterms:modified>
</cp:coreProperties>
</file>