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1078F80-6FF7-43BC-A6A1-C28FAA8CC027}" xr6:coauthVersionLast="41" xr6:coauthVersionMax="41" xr10:uidLastSave="{00000000-0000-0000-0000-000000000000}"/>
  <bookViews>
    <workbookView xWindow="-108" yWindow="12852" windowWidth="22320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2" l="1"/>
  <c r="K74" i="2" l="1"/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<sst xmlns="http://schemas.openxmlformats.org/spreadsheetml/2006/main" count="5804" uniqueCount="906">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</sst>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B1" activePane="topRight" state="frozen"/>
      <selection pane="topRight" activeCell="C34" sqref="C3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25229.379999999997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7.25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1" t="s">
        <v>221</v>
      </c>
      <c r="D7" s="362"/>
      <c r="E7" s="362"/>
      <c r="F7" s="363"/>
      <c r="G7" s="361" t="s">
        <v>221</v>
      </c>
      <c r="H7" s="362"/>
      <c r="I7" s="362"/>
      <c r="J7" s="363"/>
      <c r="K7" s="361" t="s">
        <v>221</v>
      </c>
      <c r="L7" s="362"/>
      <c r="M7" s="362"/>
      <c r="N7" s="363"/>
      <c r="O7" s="361" t="s">
        <v>221</v>
      </c>
      <c r="P7" s="362"/>
      <c r="Q7" s="362"/>
      <c r="R7" s="363"/>
      <c r="S7" s="361" t="s">
        <v>221</v>
      </c>
      <c r="T7" s="362"/>
      <c r="U7" s="362"/>
      <c r="V7" s="363"/>
      <c r="W7" s="361" t="s">
        <v>221</v>
      </c>
      <c r="X7" s="362"/>
      <c r="Y7" s="362"/>
      <c r="Z7" s="363"/>
      <c r="AA7" s="361" t="s">
        <v>221</v>
      </c>
      <c r="AB7" s="362"/>
      <c r="AC7" s="362"/>
      <c r="AD7" s="363"/>
      <c r="AE7" s="361" t="s">
        <v>221</v>
      </c>
      <c r="AF7" s="362"/>
      <c r="AG7" s="362"/>
      <c r="AH7" s="363"/>
      <c r="AI7" s="361" t="s">
        <v>221</v>
      </c>
      <c r="AJ7" s="362"/>
      <c r="AK7" s="362"/>
      <c r="AL7" s="363"/>
      <c r="AM7" s="361" t="s">
        <v>221</v>
      </c>
      <c r="AN7" s="362"/>
      <c r="AO7" s="362"/>
      <c r="AP7" s="363"/>
      <c r="AQ7" s="361" t="s">
        <v>221</v>
      </c>
      <c r="AR7" s="362"/>
      <c r="AS7" s="362"/>
      <c r="AT7" s="363"/>
      <c r="AU7" s="361" t="s">
        <v>221</v>
      </c>
      <c r="AV7" s="362"/>
      <c r="AW7" s="362"/>
      <c r="AX7" s="363"/>
      <c r="AZ7" s="9" t="s">
        <v>223</v>
      </c>
      <c r="BA7" s="13" t="s">
        <v>184</v>
      </c>
      <c r="BB7" s="1"/>
      <c r="BC7" s="1"/>
    </row>
    <row r="8" spans="1:55" ht="15.75">
      <c r="A8" s="206" t="s">
        <v>204</v>
      </c>
      <c r="B8" s="192">
        <v>35000.47</v>
      </c>
      <c r="C8" s="343">
        <f>SUM('01'!L25:'01'!L29)</f>
        <v>0</v>
      </c>
      <c r="D8" s="344"/>
      <c r="E8" s="344"/>
      <c r="F8" s="345"/>
      <c r="G8" s="343">
        <f>SUM('02'!L25:'02'!L29)</f>
        <v>2592.42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27632.899999999998</v>
      </c>
      <c r="BA8" s="112">
        <f t="shared" ref="BA8:BA16" ca="1" si="0">AZ8/BC$17</f>
        <v>27632.899999999998</v>
      </c>
      <c r="BB8" s="1"/>
      <c r="BC8" s="1"/>
    </row>
    <row r="9" spans="1:55" ht="15.75">
      <c r="A9" s="189" t="s">
        <v>205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760.26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5679.0400000000009</v>
      </c>
      <c r="BA9" s="112">
        <f t="shared" ca="1" si="0"/>
        <v>5679.0400000000009</v>
      </c>
      <c r="BB9" s="1"/>
      <c r="BC9" s="1"/>
    </row>
    <row r="10" spans="1:55" ht="15.75">
      <c r="A10" s="190" t="s">
        <v>210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107.38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1035.6600000000001</v>
      </c>
      <c r="BA10" s="112">
        <f t="shared" ca="1" si="0"/>
        <v>1035.6600000000001</v>
      </c>
      <c r="BB10" s="1"/>
      <c r="BC10" s="1"/>
    </row>
    <row r="11" spans="1:55" ht="15.75">
      <c r="A11" s="189" t="s">
        <v>206</v>
      </c>
      <c r="B11" s="193">
        <v>1224.4499999999998</v>
      </c>
      <c r="C11" s="346">
        <f>SUM('01'!L40:'01'!L44)</f>
        <v>2.61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600.04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3218.2899999999995</v>
      </c>
      <c r="BA12" s="112">
        <f t="shared" ca="1" si="0"/>
        <v>3218.2899999999995</v>
      </c>
      <c r="BB12" s="1"/>
      <c r="BC12" s="1"/>
    </row>
    <row r="13" spans="1:55" ht="15.75">
      <c r="A13" s="189" t="s">
        <v>207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95.8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6650.77</v>
      </c>
      <c r="BA13" s="112">
        <f t="shared" ca="1" si="0"/>
        <v>6650.77</v>
      </c>
      <c r="BB13" s="1"/>
      <c r="BC13" s="1"/>
    </row>
    <row r="14" spans="1:55" ht="15.75">
      <c r="A14" s="190" t="s">
        <v>208</v>
      </c>
      <c r="B14" s="194">
        <v>768.34999999999991</v>
      </c>
      <c r="C14" s="346">
        <f>SUM('01'!L55:'01'!L59)</f>
        <v>0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594.04999999999995</v>
      </c>
      <c r="BA14" s="112">
        <f t="shared" ca="1" si="0"/>
        <v>594.04999999999995</v>
      </c>
      <c r="BB14" s="3"/>
      <c r="BC14" s="3"/>
    </row>
    <row r="15" spans="1:55" ht="15.75">
      <c r="A15" s="189" t="s">
        <v>209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665.77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6135.670000000001</v>
      </c>
      <c r="BA15" s="112">
        <f t="shared" ca="1" si="0"/>
        <v>6135.670000000001</v>
      </c>
      <c r="BB15" s="1"/>
      <c r="BC15" s="1"/>
    </row>
    <row r="16" spans="1:55" ht="16.5" thickBot="1">
      <c r="A16" s="191" t="s">
        <v>40</v>
      </c>
      <c r="B16" s="196">
        <v>185</v>
      </c>
      <c r="C16" s="346">
        <f>SUM('01'!L65:'01'!L69)</f>
        <v>0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6">
        <f>SUM(C8:C16)</f>
        <v>1488.9399999999998</v>
      </c>
      <c r="D17" s="367"/>
      <c r="E17" s="367"/>
      <c r="F17" s="368"/>
      <c r="G17" s="366">
        <f>SUM(G8:G16)</f>
        <v>4821.67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51448.270000000004</v>
      </c>
      <c r="BA17" s="112">
        <f ca="1">AZ17/BC$17</f>
        <v>51448.270000000004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617379.24</v>
      </c>
      <c r="BB18" s="1"/>
      <c r="BC18" s="1"/>
    </row>
    <row r="19" spans="1:62" ht="17.25" thickTop="1" thickBot="1">
      <c r="A19" s="24" t="s">
        <v>7</v>
      </c>
      <c r="B19" s="24" t="s">
        <v>864</v>
      </c>
      <c r="C19" s="178" t="s">
        <v>52</v>
      </c>
      <c r="D19" s="179" t="s">
        <v>203</v>
      </c>
      <c r="E19" s="179" t="s">
        <v>9</v>
      </c>
      <c r="F19" s="180" t="s">
        <v>10</v>
      </c>
      <c r="G19" s="178" t="s">
        <v>52</v>
      </c>
      <c r="H19" s="179" t="s">
        <v>203</v>
      </c>
      <c r="I19" s="179" t="s">
        <v>9</v>
      </c>
      <c r="J19" s="180" t="s">
        <v>10</v>
      </c>
      <c r="K19" s="178" t="s">
        <v>52</v>
      </c>
      <c r="L19" s="179" t="s">
        <v>203</v>
      </c>
      <c r="M19" s="179" t="s">
        <v>9</v>
      </c>
      <c r="N19" s="180" t="s">
        <v>10</v>
      </c>
      <c r="O19" s="178" t="s">
        <v>52</v>
      </c>
      <c r="P19" s="179" t="s">
        <v>203</v>
      </c>
      <c r="Q19" s="179" t="s">
        <v>9</v>
      </c>
      <c r="R19" s="180" t="s">
        <v>10</v>
      </c>
      <c r="S19" s="178" t="s">
        <v>52</v>
      </c>
      <c r="T19" s="179" t="s">
        <v>203</v>
      </c>
      <c r="U19" s="179" t="s">
        <v>9</v>
      </c>
      <c r="V19" s="180" t="s">
        <v>10</v>
      </c>
      <c r="W19" s="178" t="s">
        <v>52</v>
      </c>
      <c r="X19" s="179" t="s">
        <v>203</v>
      </c>
      <c r="Y19" s="179" t="s">
        <v>9</v>
      </c>
      <c r="Z19" s="180" t="s">
        <v>10</v>
      </c>
      <c r="AA19" s="178" t="s">
        <v>52</v>
      </c>
      <c r="AB19" s="179" t="s">
        <v>203</v>
      </c>
      <c r="AC19" s="179" t="s">
        <v>9</v>
      </c>
      <c r="AD19" s="180" t="s">
        <v>10</v>
      </c>
      <c r="AE19" s="178" t="s">
        <v>52</v>
      </c>
      <c r="AF19" s="179" t="s">
        <v>203</v>
      </c>
      <c r="AG19" s="179" t="s">
        <v>9</v>
      </c>
      <c r="AH19" s="180" t="s">
        <v>10</v>
      </c>
      <c r="AI19" s="178" t="s">
        <v>52</v>
      </c>
      <c r="AJ19" s="179" t="s">
        <v>203</v>
      </c>
      <c r="AK19" s="179" t="s">
        <v>9</v>
      </c>
      <c r="AL19" s="180" t="s">
        <v>10</v>
      </c>
      <c r="AM19" s="178" t="s">
        <v>52</v>
      </c>
      <c r="AN19" s="179" t="s">
        <v>203</v>
      </c>
      <c r="AO19" s="179" t="s">
        <v>9</v>
      </c>
      <c r="AP19" s="180" t="s">
        <v>10</v>
      </c>
      <c r="AQ19" s="178" t="s">
        <v>52</v>
      </c>
      <c r="AR19" s="179" t="s">
        <v>203</v>
      </c>
      <c r="AS19" s="179" t="s">
        <v>9</v>
      </c>
      <c r="AT19" s="180" t="s">
        <v>10</v>
      </c>
      <c r="AU19" s="178" t="s">
        <v>52</v>
      </c>
      <c r="AV19" s="179" t="s">
        <v>203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222</v>
      </c>
    </row>
    <row r="20" spans="1:62" ht="15.75">
      <c r="A20" s="141" t="s">
        <v>849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0</v>
      </c>
      <c r="F20" s="145">
        <f t="shared" ref="F20:F45" si="2">B20+D20-E20</f>
        <v>3048.539190556492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3008.3891905564919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2407.1391905564919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2403.3791905564922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2604.4991905564921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2604.1691905564921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2801.9591905564921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2796.8791905564922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2999.2391905564923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2975.039190556492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3535.869190556492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3778.0091905564918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0.11944806807772416</v>
      </c>
      <c r="BB20" s="22">
        <f>_xlfn.RANK.EQ(BA20,$BA$20:$BA$45,)</f>
        <v>2</v>
      </c>
      <c r="BC20" s="22">
        <f t="shared" ref="BC20:BC45" ca="1" si="16">AZ20/BC$17</f>
        <v>5282.4199999999992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1.4122227119142059</v>
      </c>
      <c r="BG20" s="22">
        <f ca="1">_xlfn.RANK.EQ(BF20,$BF$20:$BF$45,)</f>
        <v>3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576.7800000000002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1507.7799999999995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1140.5499999999997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1184.6099999999997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1060.8499999999997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1104.9099999999994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1148.9699999999993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1088.8399999999992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1132.8999999999992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1072.7699999999991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1116.1599999999992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2269.1599999999989</v>
      </c>
      <c r="AZ21" s="152">
        <f t="shared" si="14"/>
        <v>11788.57</v>
      </c>
      <c r="BA21" s="21">
        <f t="shared" si="15"/>
        <v>0.26656757923433144</v>
      </c>
      <c r="BB21" s="22">
        <f t="shared" ref="BB21:BB45" si="20">_xlfn.RANK.EQ(BA21,$BA$20:$BA$45,)</f>
        <v>1</v>
      </c>
      <c r="BC21" s="22">
        <f t="shared" ca="1" si="16"/>
        <v>11788.57</v>
      </c>
      <c r="BE21" s="224">
        <f t="shared" ca="1" si="17"/>
        <v>1164</v>
      </c>
      <c r="BF21" s="21">
        <f t="shared" ca="1" si="18"/>
        <v>2.8500073453797556</v>
      </c>
      <c r="BG21" s="22">
        <f t="shared" ref="BG21:BG45" ca="1" si="21">_xlfn.RANK.EQ(BF21,$BF$20:$BF$45,)</f>
        <v>1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850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56.91</v>
      </c>
      <c r="F22" s="156">
        <f t="shared" si="2"/>
        <v>401.47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455.21000000000004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549.32999999999993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707.92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676.66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683.43999999999994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683.43999999999994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683.43999999999983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698.73999999999978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671.52999999999975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575.3299999999997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890.3299999999997</v>
      </c>
      <c r="AZ22" s="157">
        <f t="shared" si="14"/>
        <v>2899.2799999999997</v>
      </c>
      <c r="BA22" s="21">
        <f t="shared" si="15"/>
        <v>6.5559609954601139E-2</v>
      </c>
      <c r="BB22" s="22">
        <f t="shared" si="20"/>
        <v>6</v>
      </c>
      <c r="BC22" s="22">
        <f t="shared" ca="1" si="16"/>
        <v>2899.2799999999997</v>
      </c>
      <c r="BE22" s="225">
        <f t="shared" ca="1" si="17"/>
        <v>395</v>
      </c>
      <c r="BF22" s="21">
        <f t="shared" ca="1" si="18"/>
        <v>0.96714166789089651</v>
      </c>
      <c r="BG22" s="22">
        <f t="shared" ca="1" si="21"/>
        <v>4</v>
      </c>
      <c r="BH22" s="22">
        <f t="shared" ca="1" si="19"/>
        <v>395</v>
      </c>
      <c r="BJ22" s="225">
        <f t="shared" ca="1" si="22"/>
        <v>338.09000000000003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26.9</v>
      </c>
      <c r="F23" s="151">
        <f t="shared" si="2"/>
        <v>334.05000000000013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338.4100000000002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361.89000000000021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430.89000000000021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388.04000000000019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390.39000000000021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418.19000000000023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411.5400000000003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418.64000000000027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435.26000000000033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467.06000000000034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652.0600000000004</v>
      </c>
      <c r="AZ23" s="152">
        <f t="shared" si="14"/>
        <v>1818.89</v>
      </c>
      <c r="BA23" s="21">
        <f t="shared" si="15"/>
        <v>4.1129424874563503E-2</v>
      </c>
      <c r="BB23" s="22">
        <f t="shared" si="20"/>
        <v>8</v>
      </c>
      <c r="BC23" s="22">
        <f t="shared" ca="1" si="16"/>
        <v>1818.89</v>
      </c>
      <c r="BE23" s="224">
        <f t="shared" ca="1" si="17"/>
        <v>180</v>
      </c>
      <c r="BF23" s="21">
        <f t="shared" ca="1" si="18"/>
        <v>0.44072278536800347</v>
      </c>
      <c r="BG23" s="22">
        <f t="shared" ca="1" si="21"/>
        <v>7</v>
      </c>
      <c r="BH23" s="22">
        <f t="shared" ca="1" si="19"/>
        <v>180</v>
      </c>
      <c r="BJ23" s="224">
        <f t="shared" ca="1" si="22"/>
        <v>153.10000000000002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6.9</v>
      </c>
      <c r="F24" s="156">
        <f t="shared" si="2"/>
        <v>429.72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442.56000000000006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506.47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553.08000000000004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537.6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504.74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609.64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625.81999999999994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621.16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560.98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667.7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817.7</v>
      </c>
      <c r="AZ24" s="157">
        <f t="shared" si="14"/>
        <v>1368.92</v>
      </c>
      <c r="BA24" s="21">
        <f t="shared" si="15"/>
        <v>3.0954533973625385E-2</v>
      </c>
      <c r="BB24" s="22">
        <f t="shared" si="20"/>
        <v>10</v>
      </c>
      <c r="BC24" s="22">
        <f t="shared" ca="1" si="16"/>
        <v>1368.92</v>
      </c>
      <c r="BE24" s="225">
        <f t="shared" ca="1" si="17"/>
        <v>200</v>
      </c>
      <c r="BF24" s="21">
        <f t="shared" ca="1" si="18"/>
        <v>0.48969198374222606</v>
      </c>
      <c r="BG24" s="22">
        <f t="shared" ca="1" si="21"/>
        <v>5</v>
      </c>
      <c r="BH24" s="22">
        <f t="shared" ca="1" si="19"/>
        <v>200</v>
      </c>
      <c r="BJ24" s="225">
        <f t="shared" ca="1" si="22"/>
        <v>193.1</v>
      </c>
    </row>
    <row r="25" spans="1:62" ht="15.75">
      <c r="A25" s="146" t="s">
        <v>865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258.47000000000003</v>
      </c>
      <c r="F25" s="151">
        <f t="shared" si="2"/>
        <v>5546.5215974244966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5624.1415974244965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4431.7615974244964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5973.7315974244966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5161.3515974244965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5278.9715974244964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5596.5915974244963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6264.2115974244962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6381.8315974244961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6815.7831948489938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6945.873194848994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7403.3431948489942</v>
      </c>
      <c r="AZ25" s="152">
        <f t="shared" si="14"/>
        <v>3596.2700000000009</v>
      </c>
      <c r="BA25" s="21">
        <f t="shared" si="15"/>
        <v>8.1320210014704866E-2</v>
      </c>
      <c r="BB25" s="22">
        <f t="shared" si="20"/>
        <v>4</v>
      </c>
      <c r="BC25" s="22">
        <f t="shared" ca="1" si="16"/>
        <v>3596.2700000000009</v>
      </c>
      <c r="BE25" s="224">
        <f t="shared" ca="1" si="17"/>
        <v>853.47</v>
      </c>
      <c r="BF25" s="21">
        <f t="shared" ca="1" si="18"/>
        <v>2.0896870868223885</v>
      </c>
      <c r="BG25" s="22">
        <f t="shared" ca="1" si="21"/>
        <v>2</v>
      </c>
      <c r="BH25" s="22">
        <f t="shared" ca="1" si="19"/>
        <v>853.47</v>
      </c>
      <c r="BJ25" s="224">
        <f t="shared" ca="1" si="22"/>
        <v>595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7.99</v>
      </c>
      <c r="F26" s="156">
        <f t="shared" si="2"/>
        <v>90.589999999999989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83.539999999999992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91.039999999999992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88.549999999999983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106.05999999999997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103.56999999999996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111.07999999999996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108.58999999999995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116.09999999999994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58.609999999999943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66.119999999999948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134.11999999999995</v>
      </c>
      <c r="AZ26" s="157">
        <f t="shared" si="14"/>
        <v>562.91000000000008</v>
      </c>
      <c r="BA26" s="21">
        <f t="shared" si="15"/>
        <v>1.2728732664504475E-2</v>
      </c>
      <c r="BB26" s="22">
        <f t="shared" si="20"/>
        <v>15</v>
      </c>
      <c r="BC26" s="22">
        <f t="shared" ca="1" si="16"/>
        <v>562.91000000000008</v>
      </c>
      <c r="BE26" s="225">
        <f t="shared" ca="1" si="17"/>
        <v>53</v>
      </c>
      <c r="BF26" s="21">
        <f t="shared" ca="1" si="18"/>
        <v>0.12976837569168989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45.010000000000005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9.4121754530446106E-3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>
        <f t="shared" ca="1" si="18"/>
        <v>9.7938396748445206E-2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6.8259753791925892E-2</v>
      </c>
      <c r="BB28" s="22">
        <f t="shared" si="20"/>
        <v>5</v>
      </c>
      <c r="BC28" s="22">
        <f t="shared" ca="1" si="16"/>
        <v>3018.6899999999996</v>
      </c>
      <c r="BE28" s="223">
        <f t="shared" ca="1" si="17"/>
        <v>200</v>
      </c>
      <c r="BF28" s="21">
        <f t="shared" ca="1" si="18"/>
        <v>0.48969198374222606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215.15999999999997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254.65999999999997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258.66999999999996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285.03999999999996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227.25999999999996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196.22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216.02000000000004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182.24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118.44999999999999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124.28999999999999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229.29</v>
      </c>
      <c r="AZ29" s="152">
        <f t="shared" si="23"/>
        <v>1086.9000000000001</v>
      </c>
      <c r="BA29" s="21">
        <f t="shared" si="15"/>
        <v>2.4577391648842466E-2</v>
      </c>
      <c r="BB29" s="22">
        <f t="shared" si="20"/>
        <v>11</v>
      </c>
      <c r="BC29" s="22">
        <f t="shared" ca="1" si="16"/>
        <v>1086.9000000000001</v>
      </c>
      <c r="BE29" s="224">
        <f t="shared" ca="1" si="17"/>
        <v>144.94999999999999</v>
      </c>
      <c r="BF29" s="21">
        <f t="shared" ca="1" si="18"/>
        <v>0.35490426521717833</v>
      </c>
      <c r="BG29" s="22">
        <f t="shared" ca="1" si="21"/>
        <v>8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5.069468611421467E-3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>
        <f t="shared" ca="1" si="18"/>
        <v>8.5696097154889558E-2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69.619999999999962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47.659999999999961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67.659999999999968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45.699999999999967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44.719999999999956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43.739999999999952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42.759999999999948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41.779999999999944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40.79999999999994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60.79999999999994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80.79999999999994</v>
      </c>
      <c r="AZ31" s="152">
        <f t="shared" si="23"/>
        <v>213.29999999999995</v>
      </c>
      <c r="BA31" s="21">
        <f t="shared" si="15"/>
        <v>4.8232198350336708E-3</v>
      </c>
      <c r="BB31" s="22">
        <f t="shared" si="20"/>
        <v>20</v>
      </c>
      <c r="BC31" s="22">
        <f t="shared" ca="1" si="16"/>
        <v>213.29999999999995</v>
      </c>
      <c r="BE31" s="224">
        <f t="shared" ca="1" si="17"/>
        <v>21</v>
      </c>
      <c r="BF31" s="21">
        <f t="shared" ca="1" si="18"/>
        <v>5.1417658292933738E-2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3.9882578453073789E-2</v>
      </c>
      <c r="BB32" s="22">
        <f t="shared" si="20"/>
        <v>9</v>
      </c>
      <c r="BC32" s="22">
        <f t="shared" ca="1" si="16"/>
        <v>1763.7500000000002</v>
      </c>
      <c r="BE32" s="225">
        <f t="shared" ca="1" si="17"/>
        <v>50</v>
      </c>
      <c r="BF32" s="21">
        <f t="shared" ca="1" si="18"/>
        <v>0.12242299593555651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8.6918582104520289E-2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>
        <f t="shared" ca="1" si="18"/>
        <v>2.4484599187111301E-2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110</v>
      </c>
      <c r="E34" s="155">
        <f>SUM('01'!D300:F300)</f>
        <v>82.2</v>
      </c>
      <c r="F34" s="161">
        <f t="shared" si="2"/>
        <v>42.629999999999811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132.62999999999982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222.62999999999982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268.62999999999982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32.989999999999782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132.98999999999972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39.729999999999734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115.43999999999974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134.43999999999974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178.53999999999974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268.53999999999974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363.53999999999974</v>
      </c>
      <c r="AZ34" s="152">
        <f t="shared" si="23"/>
        <v>1043.7</v>
      </c>
      <c r="BA34" s="21">
        <f t="shared" si="15"/>
        <v>2.3600536998709065E-2</v>
      </c>
      <c r="BB34" s="22">
        <f t="shared" si="20"/>
        <v>12</v>
      </c>
      <c r="BC34" s="22">
        <f t="shared" ca="1" si="16"/>
        <v>1043.7</v>
      </c>
      <c r="BE34" s="225">
        <f t="shared" ca="1" si="17"/>
        <v>110</v>
      </c>
      <c r="BF34" s="21">
        <f t="shared" ca="1" si="18"/>
        <v>0.26933059105822432</v>
      </c>
      <c r="BG34" s="22">
        <f t="shared" ca="1" si="21"/>
        <v>10</v>
      </c>
      <c r="BH34" s="22">
        <f t="shared" ca="1" si="19"/>
        <v>110</v>
      </c>
      <c r="BJ34" s="225">
        <f t="shared" ca="1" si="22"/>
        <v>27.799999999999997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202.62</v>
      </c>
      <c r="F35" s="187">
        <f t="shared" si="2"/>
        <v>1508.7400000000007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1645.1300000000008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1633.1500000000008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1605.7300000000007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1732.2200000000007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1709.6200000000008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1753.1500000000008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1795.9300000000007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1729.4200000000008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1411.7300000000007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1465.7000000000007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1595.7000000000007</v>
      </c>
      <c r="AZ35" s="188">
        <f t="shared" si="23"/>
        <v>2380.19</v>
      </c>
      <c r="BA35" s="21">
        <f t="shared" si="15"/>
        <v>5.3821751613449584E-2</v>
      </c>
      <c r="BB35" s="22">
        <f t="shared" si="20"/>
        <v>7</v>
      </c>
      <c r="BC35" s="22">
        <f t="shared" ca="1" si="16"/>
        <v>2380.19</v>
      </c>
      <c r="BE35" s="224">
        <f t="shared" ca="1" si="17"/>
        <v>130</v>
      </c>
      <c r="BF35" s="21">
        <f t="shared" ca="1" si="18"/>
        <v>0.31829978943244691</v>
      </c>
      <c r="BG35" s="22">
        <f t="shared" ca="1" si="21"/>
        <v>9</v>
      </c>
      <c r="BH35" s="22">
        <f t="shared" ca="1" si="19"/>
        <v>130</v>
      </c>
      <c r="BJ35" s="224">
        <f t="shared" ca="1" si="22"/>
        <v>-72.619999999999891</v>
      </c>
    </row>
    <row r="36" spans="1:62" ht="15.75">
      <c r="A36" s="163" t="s">
        <v>482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2.2916964867377286E-2</v>
      </c>
      <c r="BB36" s="22">
        <f t="shared" si="20"/>
        <v>13</v>
      </c>
      <c r="BC36" s="22">
        <f t="shared" ca="1" si="16"/>
        <v>1013.47</v>
      </c>
      <c r="BE36" s="223">
        <f t="shared" ca="1" si="17"/>
        <v>90</v>
      </c>
      <c r="BF36" s="21">
        <f t="shared" ca="1" si="18"/>
        <v>0.22036139268400173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851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1.1237220332958195E-2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>
        <f t="shared" ca="1" si="18"/>
        <v>1.2242299593555651E-2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1.3386526687013288E-2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>
        <f t="shared" ca="1" si="18"/>
        <v>0.14690759512266782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2.4484599187111301E-2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3.422609255652586E-3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>
        <f t="shared" ca="1" si="18"/>
        <v>7.7738602419078373E-2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-3956.5299999999997</v>
      </c>
      <c r="E41" s="165">
        <f>SUM('01'!D440:F440)</f>
        <v>0</v>
      </c>
      <c r="F41" s="151">
        <f t="shared" si="2"/>
        <v>4618.5900000000029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4738.6600000000026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4619.5000000000009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4619.5000000000027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4619.7800000000043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4618.9500000000053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5084.4000000000051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4783.5000000000055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4783.5000000000055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4746.0400000000054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4382.7000000000053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482.70000000000528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-3956.5299999999997</v>
      </c>
      <c r="BF41" s="21">
        <f t="shared" ca="1" si="18"/>
        <v>-9.6874051221781468</v>
      </c>
      <c r="BG41" s="22">
        <f t="shared" ca="1" si="21"/>
        <v>26</v>
      </c>
      <c r="BH41" s="22">
        <f t="shared" ca="1" si="19"/>
        <v>-3956.5299999999997</v>
      </c>
      <c r="BJ41" s="224">
        <f t="shared" ca="1" si="22"/>
        <v>-3956.5299999999997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4.4772504797780918E-5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1.1306188080247708E-2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3.6121009678775377E-3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>
        <f t="shared" ca="1" si="18"/>
        <v>1.2242299593555651E-2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408.42000000000007</v>
      </c>
      <c r="E46" s="219">
        <f>SUM(E20:E45)</f>
        <v>776.25000000000011</v>
      </c>
      <c r="F46" s="220">
        <f>SUM(F20:F45)</f>
        <v>33211.167680000006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33556.547680000003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34425.547680000003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35144.877680000005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36995.86768000001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37264.747680000008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37148.637680000007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37240.047680000011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38071.25768000001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38085.165360000014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39748.045360000011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39723.175360000008</v>
      </c>
      <c r="AZ46" s="227">
        <f>SUM(AZ20:AZ45)</f>
        <v>44223.569999999992</v>
      </c>
      <c r="BA46" s="1"/>
      <c r="BB46" s="1"/>
      <c r="BC46" s="124">
        <f ca="1">SUM(BC20:BC45)</f>
        <v>44223.569999999992</v>
      </c>
      <c r="BE46" s="227">
        <f ca="1">SUM(BE20:BE45)</f>
        <v>408.42000000000007</v>
      </c>
      <c r="BF46" s="1"/>
      <c r="BG46" s="1"/>
      <c r="BH46" s="124">
        <f ca="1">SUM(BH20:BH45)</f>
        <v>408.42000000000007</v>
      </c>
      <c r="BJ46" s="227">
        <f ca="1">SUM(BJ20:BJ45)</f>
        <v>-367.82999999999902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1080.5199999999998</v>
      </c>
      <c r="E47" s="125">
        <f>C17-E46</f>
        <v>712.68999999999971</v>
      </c>
      <c r="F47" s="125"/>
      <c r="G47" s="125">
        <f>G5-F46</f>
        <v>-7981.7876800000085</v>
      </c>
      <c r="H47" s="125">
        <f>G17-H46</f>
        <v>0</v>
      </c>
      <c r="I47" s="125">
        <f>G17-I46</f>
        <v>345.38000000000011</v>
      </c>
      <c r="J47" s="125"/>
      <c r="K47" s="125">
        <f>K5-J46</f>
        <v>-7981.7876800000013</v>
      </c>
      <c r="L47" s="125">
        <f>K17-L46</f>
        <v>0</v>
      </c>
      <c r="M47" s="125">
        <f>K17-M46</f>
        <v>868.99999999999818</v>
      </c>
      <c r="N47" s="125"/>
      <c r="O47" s="125">
        <f>O5-N46</f>
        <v>-7981.7876800000049</v>
      </c>
      <c r="P47" s="125">
        <f>O17-P46</f>
        <v>0</v>
      </c>
      <c r="Q47" s="125">
        <f>O17-Q46</f>
        <v>719.33000000000084</v>
      </c>
      <c r="R47" s="125"/>
      <c r="S47" s="125">
        <f>S5-R46</f>
        <v>-7981.7876800000013</v>
      </c>
      <c r="T47" s="125">
        <f>S17-T46</f>
        <v>0</v>
      </c>
      <c r="U47" s="125">
        <f>S17-U46</f>
        <v>1850.9900000000016</v>
      </c>
      <c r="V47" s="125"/>
      <c r="W47" s="125">
        <f>W5-V46</f>
        <v>-7981.7876800000122</v>
      </c>
      <c r="X47" s="125">
        <f>W17-X46</f>
        <v>0</v>
      </c>
      <c r="Y47" s="125">
        <f>W17-Y46</f>
        <v>268.88000000000056</v>
      </c>
      <c r="Z47" s="125"/>
      <c r="AA47" s="125">
        <f>AA5-Z46</f>
        <v>-7981.7876800000085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-7981.7876800000049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-7981.7876800000085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-7981.7876800000085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-7981.785360000009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-9644.6653600000063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530682.83999999985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5.75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894</v>
      </c>
      <c r="E54" s="376"/>
      <c r="F54" s="98"/>
      <c r="G54" s="95"/>
      <c r="H54" s="375"/>
      <c r="I54" s="376"/>
      <c r="J54" s="100"/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/>
      <c r="H55" s="379"/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/>
      <c r="D56" s="379"/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5.75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'08'!A7+(B7-SUM(D7:F7))</f>
        <v>368.04000000000008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75">
      <c r="A8" s="112">
        <f>'08'!A8+(B8-SUM(D8:F8))</f>
        <v>-112.30999999999996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'08'!A11+(B11-SUM(D11:F11))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75">
      <c r="A12" s="112">
        <f>'08'!A12+(B12-SUM(D12:F12))</f>
        <v>270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'08'!A13+(B13-SUM(D13:F13))</f>
        <v>524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1511.2400000000002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'08'!A27+(B27-SUM(D27:F27))</f>
        <v>271.14999999999986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'08'!A29+(B29-SUM(D29:F29))</f>
        <v>19.840000000000011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249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 t="s">
        <v>709</v>
      </c>
      <c r="K35" s="42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1087.8999999999999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699</v>
      </c>
      <c r="K45" s="42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705</v>
      </c>
      <c r="H46" s="1"/>
      <c r="I46" s="422"/>
      <c r="J46" s="426" t="s">
        <v>741</v>
      </c>
      <c r="K46" s="42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696</v>
      </c>
      <c r="D48" s="137">
        <v>67.47</v>
      </c>
      <c r="E48" s="138"/>
      <c r="F48" s="138"/>
      <c r="G48" s="16" t="s">
        <v>714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715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716</v>
      </c>
      <c r="H50" s="1"/>
      <c r="I50" s="421" t="str">
        <f>AÑO!A13</f>
        <v>Gubernamental</v>
      </c>
      <c r="J50" s="424" t="s">
        <v>707</v>
      </c>
      <c r="K50" s="42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724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725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733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708</v>
      </c>
      <c r="K60" s="42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'08'!A66+(B66-SUM(D66:F78))</f>
        <v>2.5400000000000773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694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717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740</v>
      </c>
      <c r="D79" s="135">
        <v>122.95</v>
      </c>
      <c r="E79" s="139"/>
      <c r="F79" s="139"/>
      <c r="G79" s="17" t="s">
        <v>734</v>
      </c>
      <c r="H79" s="1"/>
      <c r="M79" s="1"/>
      <c r="R79" s="3"/>
    </row>
    <row r="80" spans="1:18" ht="16.5" thickBot="1">
      <c r="A80" s="112">
        <f>SUM(A66:A79)</f>
        <v>64.590000000000074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704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71.74000000000008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801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338.58999999999969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4756.7815974244995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207</v>
      </c>
      <c r="D187" s="137">
        <v>20.98</v>
      </c>
      <c r="E187" s="138"/>
      <c r="F187" s="138"/>
      <c r="G187" s="16" t="s">
        <v>700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731</v>
      </c>
      <c r="H189" s="89">
        <f>9.99+8.99+6.99+3.99+7.99</f>
        <v>37.950000000000003</v>
      </c>
      <c r="I189" s="1" t="s">
        <v>729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735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736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739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320</v>
      </c>
      <c r="D246" s="137">
        <v>105.14</v>
      </c>
      <c r="E246" s="138"/>
      <c r="F246" s="138"/>
      <c r="G246" s="16" t="s">
        <v>697</v>
      </c>
    </row>
    <row r="247" spans="1:9" ht="15" customHeight="1">
      <c r="A247" s="112"/>
      <c r="B247" s="134">
        <v>343.08</v>
      </c>
      <c r="C247" s="16" t="s">
        <v>207</v>
      </c>
      <c r="D247" s="137">
        <v>203.92</v>
      </c>
      <c r="E247" s="138"/>
      <c r="F247" s="138"/>
      <c r="G247" s="16" t="s">
        <v>721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737</v>
      </c>
      <c r="H248" s="89">
        <f>33.98+1.99</f>
        <v>35.97</v>
      </c>
      <c r="I248" s="89" t="s">
        <v>729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739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646</v>
      </c>
      <c r="D257" s="137"/>
      <c r="E257" s="138">
        <f>100.67+100.67</f>
        <v>201.34</v>
      </c>
      <c r="F257" s="138"/>
      <c r="G257" s="16" t="s">
        <v>323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74.439999999999742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719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738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134.43999999999974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>
        <v>60</v>
      </c>
      <c r="G306" s="16" t="s">
        <v>712</v>
      </c>
    </row>
    <row r="307" spans="2:7">
      <c r="B307" s="134"/>
      <c r="C307" s="27"/>
      <c r="D307" s="137">
        <v>35.96</v>
      </c>
      <c r="E307" s="138"/>
      <c r="F307" s="138"/>
      <c r="G307" s="16" t="s">
        <v>713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718</v>
      </c>
    </row>
    <row r="309" spans="2:7">
      <c r="B309" s="134"/>
      <c r="C309" s="16"/>
      <c r="D309" s="137"/>
      <c r="E309" s="138"/>
      <c r="F309" s="138">
        <v>60</v>
      </c>
      <c r="G309" s="16" t="s">
        <v>742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698</v>
      </c>
    </row>
    <row r="327" spans="2:9">
      <c r="B327" s="134">
        <v>100</v>
      </c>
      <c r="C327" s="16" t="s">
        <v>699</v>
      </c>
      <c r="D327" s="137">
        <v>15</v>
      </c>
      <c r="E327" s="138"/>
      <c r="F327" s="138"/>
      <c r="G327" s="16" t="s">
        <v>726</v>
      </c>
    </row>
    <row r="328" spans="2:9">
      <c r="B328" s="134">
        <v>155.97</v>
      </c>
      <c r="C328" s="16" t="s">
        <v>207</v>
      </c>
      <c r="D328" s="137"/>
      <c r="E328" s="138">
        <v>46.98</v>
      </c>
      <c r="F328" s="138"/>
      <c r="G328" s="16" t="s">
        <v>739</v>
      </c>
      <c r="H328" s="89">
        <f>9.99+34.99+2</f>
        <v>46.980000000000004</v>
      </c>
      <c r="I328" s="89" t="s">
        <v>729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225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'09'!A7+(B7-SUM(D7:F7))</f>
        <v>435.22000000000008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75">
      <c r="A8" s="112">
        <f>'09'!A8+(B8-SUM(D8:F8))</f>
        <v>-210.18999999999994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'09'!A11+(B11-SUM(D11:F11))</f>
        <v>30.25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75">
      <c r="A12" s="112">
        <f>'09'!A12+(B12-SUM(D12:F12))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'09'!A13+(B13-SUM(D13:F13))</f>
        <v>530.5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1487.04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'09'!A27+(B27-SUM(D27:F27))</f>
        <v>275.15999999999985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'09'!A29+(B29-SUM(D29:F29))</f>
        <v>19.890000000000011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348</v>
      </c>
      <c r="K30" s="42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538</v>
      </c>
      <c r="K31" s="42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769</v>
      </c>
      <c r="K32" s="42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249</v>
      </c>
      <c r="K33" s="42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1027.77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342</v>
      </c>
      <c r="K40" s="42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772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747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750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751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758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765</v>
      </c>
      <c r="H50" s="1"/>
      <c r="I50" s="421" t="str">
        <f>AÑO!A13</f>
        <v>Gubernamental</v>
      </c>
      <c r="J50" s="424" t="s">
        <v>707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766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767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768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778</v>
      </c>
      <c r="H55" s="1"/>
      <c r="I55" s="421" t="str">
        <f>AÑO!A14</f>
        <v>Mutualite/DKV</v>
      </c>
      <c r="J55" s="424" t="s">
        <v>384</v>
      </c>
      <c r="K55" s="42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779</v>
      </c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'09'!A66+(B66-SUM(D66:F78))+B67</f>
        <v>57.390000000000072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749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764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796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226</v>
      </c>
      <c r="D79" s="135">
        <f>22.3+25.93</f>
        <v>48.230000000000004</v>
      </c>
      <c r="E79" s="139"/>
      <c r="F79" s="139"/>
      <c r="G79" s="17" t="s">
        <v>791</v>
      </c>
      <c r="H79" s="1"/>
      <c r="M79" s="1"/>
      <c r="R79" s="3"/>
    </row>
    <row r="80" spans="1:18" ht="16.5" thickBot="1">
      <c r="A80" s="112">
        <f>SUM(A66:A79)</f>
        <v>81.210000000000065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755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757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776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777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71.830000000000084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851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722.45159742449755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4806.8715974244988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794</v>
      </c>
      <c r="D130" s="137">
        <v>65</v>
      </c>
      <c r="E130" s="138"/>
      <c r="F130" s="138"/>
      <c r="G130" s="16" t="s">
        <v>795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747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763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787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788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320</v>
      </c>
      <c r="D246" s="137">
        <f>2.99+15.99-2.4</f>
        <v>16.580000000000002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768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775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789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706</v>
      </c>
      <c r="D257" s="137"/>
      <c r="E257" s="138">
        <v>100.67</v>
      </c>
      <c r="F257" s="138"/>
      <c r="G257" s="16" t="s">
        <v>323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745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78.539999999999736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753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754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793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178.53999999999974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f>37.5+37.5</f>
        <v>75</v>
      </c>
      <c r="E306" s="138"/>
      <c r="F306" s="138"/>
      <c r="G306" s="16" t="s">
        <v>756</v>
      </c>
    </row>
    <row r="307" spans="2:7">
      <c r="B307" s="134">
        <f>28.54*2</f>
        <v>57.08</v>
      </c>
      <c r="C307" s="27" t="s">
        <v>384</v>
      </c>
      <c r="D307" s="137"/>
      <c r="E307" s="138"/>
      <c r="F307" s="138">
        <v>50</v>
      </c>
      <c r="G307" s="16" t="s">
        <v>761</v>
      </c>
    </row>
    <row r="308" spans="2:7">
      <c r="B308" s="134"/>
      <c r="C308" s="27"/>
      <c r="D308" s="137">
        <v>35.96</v>
      </c>
      <c r="E308" s="138"/>
      <c r="F308" s="138"/>
      <c r="G308" s="16" t="s">
        <v>762</v>
      </c>
    </row>
    <row r="309" spans="2:7">
      <c r="B309" s="134"/>
      <c r="C309" s="16"/>
      <c r="D309" s="137">
        <v>16.21</v>
      </c>
      <c r="E309" s="138"/>
      <c r="F309" s="138"/>
      <c r="G309" s="16" t="s">
        <v>782</v>
      </c>
    </row>
    <row r="310" spans="2:7">
      <c r="B310" s="134"/>
      <c r="C310" s="16"/>
      <c r="D310" s="137"/>
      <c r="E310" s="138"/>
      <c r="F310" s="138">
        <v>50</v>
      </c>
      <c r="G310" s="16" t="s">
        <v>781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783</v>
      </c>
    </row>
    <row r="312" spans="2:7">
      <c r="B312" s="134"/>
      <c r="C312" s="16"/>
      <c r="D312" s="137"/>
      <c r="E312" s="138"/>
      <c r="F312" s="138">
        <v>60</v>
      </c>
      <c r="G312" s="16" t="s">
        <v>784</v>
      </c>
    </row>
    <row r="313" spans="2:7">
      <c r="B313" s="134"/>
      <c r="C313" s="16"/>
      <c r="D313" s="137">
        <v>5.3</v>
      </c>
      <c r="E313" s="138"/>
      <c r="F313" s="138"/>
      <c r="G313" s="16" t="s">
        <v>786</v>
      </c>
    </row>
    <row r="314" spans="2:7">
      <c r="B314" s="134"/>
      <c r="C314" s="16"/>
      <c r="D314" s="137">
        <v>12.95</v>
      </c>
      <c r="E314" s="138"/>
      <c r="F314" s="138"/>
      <c r="G314" s="16" t="s">
        <v>799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797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798</v>
      </c>
    </row>
    <row r="317" spans="2:7">
      <c r="B317" s="134"/>
      <c r="C317" s="16"/>
      <c r="D317" s="137"/>
      <c r="E317" s="138"/>
      <c r="F317" s="138">
        <v>4.5</v>
      </c>
      <c r="G317" s="16" t="s">
        <v>803</v>
      </c>
    </row>
    <row r="318" spans="2:7">
      <c r="B318" s="134"/>
      <c r="C318" s="16"/>
      <c r="D318" s="137"/>
      <c r="E318" s="138"/>
      <c r="F318" s="138">
        <v>84.93</v>
      </c>
      <c r="G318" s="16" t="s">
        <v>804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330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744</v>
      </c>
    </row>
    <row r="407" spans="2:7">
      <c r="B407" s="134">
        <v>0.89</v>
      </c>
      <c r="C407" s="16" t="s">
        <v>342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330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225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330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'10'!A7+(B7-SUM(D7:F7))</f>
        <v>502.40000000000009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'10'!A8+(B8-SUM(D8:F8))</f>
        <v>-112.30999999999995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'10'!A11+(B11-SUM(D11:F11))</f>
        <v>30.259999999999998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'10'!A12+(B12-SUM(D12:F12))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'10'!A13+(B13-SUM(D13:F13))</f>
        <v>537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2047.8700000000001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'10'!A27+(B27-SUM(D27:F27))</f>
        <v>279.16999999999985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'10'!A29+(B29-SUM(D29:F29))</f>
        <v>19.27000000000001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348</v>
      </c>
      <c r="K30" s="42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599</v>
      </c>
      <c r="K31" s="42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1071.1599999999999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807</v>
      </c>
      <c r="K40" s="42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813</v>
      </c>
      <c r="K45" s="42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812</v>
      </c>
      <c r="H46" s="1"/>
      <c r="I46" s="422"/>
      <c r="J46" s="426" t="s">
        <v>827</v>
      </c>
      <c r="K46" s="42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823</v>
      </c>
      <c r="H47" s="1"/>
      <c r="I47" s="422"/>
      <c r="J47" s="426" t="s">
        <v>828</v>
      </c>
      <c r="K47" s="42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825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831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836</v>
      </c>
      <c r="H50" s="1"/>
      <c r="I50" s="421" t="str">
        <f>AÑO!A13</f>
        <v>Gubernamental</v>
      </c>
      <c r="J50" s="424" t="s">
        <v>818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840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842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844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817</v>
      </c>
      <c r="K55" s="42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600</v>
      </c>
      <c r="K56" s="42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810</v>
      </c>
      <c r="K60" s="42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'10'!A66+(B66-SUM(D66:F78))+B67</f>
        <v>79.190000000000083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826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830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838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837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845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113.01000000000008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71.920000000000087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901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802.45159742449755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4856.9615974244989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833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774</v>
      </c>
      <c r="D257" s="137"/>
      <c r="E257" s="138"/>
      <c r="F257" s="138"/>
      <c r="G257" s="16" t="s">
        <v>323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128.53999999999974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268.53999999999974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633</v>
      </c>
      <c r="D306" s="137"/>
      <c r="E306" s="138"/>
      <c r="F306" s="138">
        <v>80</v>
      </c>
      <c r="G306" s="16" t="s">
        <v>816</v>
      </c>
    </row>
    <row r="307" spans="2:8">
      <c r="B307" s="134">
        <v>300</v>
      </c>
      <c r="C307" s="27" t="s">
        <v>820</v>
      </c>
      <c r="D307" s="137">
        <v>82.87</v>
      </c>
      <c r="E307" s="138"/>
      <c r="F307" s="138"/>
      <c r="G307" s="16" t="s">
        <v>819</v>
      </c>
    </row>
    <row r="308" spans="2:8">
      <c r="B308" s="134">
        <f>L56</f>
        <v>93.02</v>
      </c>
      <c r="C308" s="27" t="s">
        <v>384</v>
      </c>
      <c r="D308" s="137">
        <v>33</v>
      </c>
      <c r="E308" s="138"/>
      <c r="F308" s="138"/>
      <c r="G308" s="16" t="s">
        <v>822</v>
      </c>
    </row>
    <row r="309" spans="2:8">
      <c r="B309" s="134"/>
      <c r="C309" s="16"/>
      <c r="D309" s="137">
        <v>40.18</v>
      </c>
      <c r="E309" s="138"/>
      <c r="F309" s="138"/>
      <c r="G309" s="16" t="s">
        <v>824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829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832</v>
      </c>
    </row>
    <row r="312" spans="2:8">
      <c r="B312" s="134"/>
      <c r="C312" s="16"/>
      <c r="D312" s="137">
        <v>50</v>
      </c>
      <c r="E312" s="138"/>
      <c r="F312" s="138"/>
      <c r="G312" s="16" t="s">
        <v>835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815</v>
      </c>
    </row>
    <row r="327" spans="2:7">
      <c r="B327" s="134">
        <v>30</v>
      </c>
      <c r="C327" s="16" t="s">
        <v>814</v>
      </c>
      <c r="D327" s="137"/>
      <c r="E327" s="138"/>
      <c r="F327" s="138"/>
      <c r="G327" s="16"/>
    </row>
    <row r="328" spans="2:7">
      <c r="B328" s="134">
        <v>250</v>
      </c>
      <c r="C328" s="16" t="s">
        <v>827</v>
      </c>
      <c r="D328" s="137"/>
      <c r="E328" s="138"/>
      <c r="F328" s="138"/>
      <c r="G328" s="16"/>
    </row>
    <row r="329" spans="2:7">
      <c r="B329" s="134">
        <v>150</v>
      </c>
      <c r="C329" s="16" t="s">
        <v>828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773</v>
      </c>
      <c r="D359" s="135">
        <v>65</v>
      </c>
      <c r="E359" s="139"/>
      <c r="F359" s="139"/>
      <c r="G359" s="17" t="s">
        <v>806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834</v>
      </c>
    </row>
    <row r="368" spans="1:7">
      <c r="B368" s="134"/>
      <c r="C368" s="16"/>
      <c r="D368" s="137">
        <v>34</v>
      </c>
      <c r="E368" s="138"/>
      <c r="F368" s="138"/>
      <c r="G368" s="16" t="s">
        <v>841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805</v>
      </c>
    </row>
    <row r="407" spans="2:7">
      <c r="B407" s="134">
        <v>42.84</v>
      </c>
      <c r="C407" s="16" t="s">
        <v>807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225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843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>'11'!A7+(B7-SUM(D7:F7))</f>
        <v>569.58000000000015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75">
      <c r="A8" s="112">
        <f>'11'!A8+(B8-SUM(D8:F8))</f>
        <v>-112.30999999999995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'11'!A11+(B11-SUM(D11:F11))</f>
        <v>60.5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75">
      <c r="A12" s="112">
        <f>'11'!A12+(B12-SUM(D12:F12))</f>
        <v>6.9599999999999795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75">
      <c r="A13" s="112">
        <f>'11'!A13+(B13-SUM(D13:F13))</f>
        <v>543.5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2290.0100000000002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'11'!A27+(B27-SUM(D27:F27))</f>
        <v>469.16999999999985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'11'!A29+(B29-SUM(D29:F29))</f>
        <v>37.27000000000001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-336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348</v>
      </c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2224.1600000000003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818</v>
      </c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'11'!A66+(B66-SUM(D66:F78))+B67</f>
        <v>254.19000000000008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298.0100000000001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4142.5115974244991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140.92000000000007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951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882.45159742449755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5234.4315974244992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862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848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821</v>
      </c>
      <c r="D257" s="137"/>
      <c r="E257" s="138"/>
      <c r="F257" s="138"/>
      <c r="G257" s="16" t="s">
        <v>323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178.53999999999974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363.53999999999974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773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847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46" workbookViewId="0">
      <selection activeCell="E28" sqref="E28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887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888</v>
      </c>
    </row>
    <row r="66" spans="2:7">
      <c r="C66" t="s">
        <v>867</v>
      </c>
      <c r="D66">
        <v>16420</v>
      </c>
    </row>
    <row r="67" spans="2:7">
      <c r="C67" t="s">
        <v>866</v>
      </c>
      <c r="D67">
        <f>D66*0.2</f>
        <v>3284</v>
      </c>
    </row>
    <row r="68" spans="2:7">
      <c r="B68" t="s">
        <v>858</v>
      </c>
      <c r="C68" t="s">
        <v>859</v>
      </c>
      <c r="D68" t="s">
        <v>861</v>
      </c>
      <c r="E68" t="s">
        <v>860</v>
      </c>
      <c r="F68" t="s">
        <v>93</v>
      </c>
      <c r="G68" t="s">
        <v>863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674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234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418</v>
      </c>
      <c r="B1" s="240"/>
      <c r="C1" s="241"/>
      <c r="D1" s="319"/>
      <c r="E1" s="242"/>
      <c r="F1" s="243" t="s">
        <v>419</v>
      </c>
      <c r="G1" s="244"/>
      <c r="H1" s="244"/>
      <c r="I1" s="244"/>
      <c r="J1" s="244"/>
      <c r="K1" s="245" t="s">
        <v>420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421</v>
      </c>
      <c r="B2" s="252" t="s">
        <v>422</v>
      </c>
      <c r="C2" s="252" t="s">
        <v>423</v>
      </c>
      <c r="D2" s="320" t="s">
        <v>478</v>
      </c>
      <c r="E2" s="252" t="s">
        <v>424</v>
      </c>
      <c r="F2" s="253" t="s">
        <v>425</v>
      </c>
      <c r="G2" s="254" t="s">
        <v>426</v>
      </c>
      <c r="H2" s="254" t="s">
        <v>427</v>
      </c>
      <c r="I2" s="254" t="s">
        <v>428</v>
      </c>
      <c r="J2" s="254" t="s">
        <v>7</v>
      </c>
      <c r="K2" s="255" t="s">
        <v>425</v>
      </c>
      <c r="L2" s="256" t="s">
        <v>426</v>
      </c>
      <c r="M2" s="256" t="s">
        <v>428</v>
      </c>
      <c r="N2" s="257" t="s">
        <v>7</v>
      </c>
      <c r="O2" s="258" t="s">
        <v>7</v>
      </c>
      <c r="P2" s="259" t="s">
        <v>429</v>
      </c>
      <c r="Q2" s="259" t="s">
        <v>771</v>
      </c>
      <c r="R2" s="259" t="s">
        <v>93</v>
      </c>
      <c r="S2" s="260" t="s">
        <v>430</v>
      </c>
      <c r="T2" s="261"/>
    </row>
    <row r="3" spans="1:27">
      <c r="A3" s="262" t="s">
        <v>431</v>
      </c>
      <c r="B3" s="262" t="s">
        <v>432</v>
      </c>
      <c r="C3" s="263">
        <v>5600</v>
      </c>
      <c r="D3" s="321">
        <f ca="1">_xlfn.DAYS(K3,F3)</f>
        <v>1628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43837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452</v>
      </c>
    </row>
    <row r="4" spans="1:27">
      <c r="A4" s="262" t="s">
        <v>433</v>
      </c>
      <c r="B4" s="262" t="s">
        <v>330</v>
      </c>
      <c r="C4" s="263">
        <v>4090</v>
      </c>
      <c r="D4" s="321">
        <f ca="1">_xlfn.DAYS(K4,F4)</f>
        <v>232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43837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452</v>
      </c>
      <c r="T4" s="339"/>
    </row>
    <row r="5" spans="1:27">
      <c r="A5" s="262" t="s">
        <v>433</v>
      </c>
      <c r="B5" s="262" t="s">
        <v>434</v>
      </c>
      <c r="C5" s="263">
        <v>5100</v>
      </c>
      <c r="D5" s="321">
        <f ca="1">_xlfn.DAYS(K5,F5)</f>
        <v>683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43837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452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435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421</v>
      </c>
      <c r="B12" s="290" t="s">
        <v>422</v>
      </c>
      <c r="C12" s="290" t="s">
        <v>423</v>
      </c>
      <c r="D12" s="323" t="s">
        <v>478</v>
      </c>
      <c r="E12" s="290" t="s">
        <v>424</v>
      </c>
      <c r="F12" s="291" t="s">
        <v>425</v>
      </c>
      <c r="G12" s="292" t="s">
        <v>426</v>
      </c>
      <c r="H12" s="292" t="s">
        <v>427</v>
      </c>
      <c r="I12" s="292" t="s">
        <v>428</v>
      </c>
      <c r="J12" s="292" t="s">
        <v>7</v>
      </c>
      <c r="K12" s="293" t="s">
        <v>425</v>
      </c>
      <c r="L12" s="294" t="s">
        <v>426</v>
      </c>
      <c r="M12" s="294" t="s">
        <v>428</v>
      </c>
      <c r="N12" s="295" t="s">
        <v>7</v>
      </c>
      <c r="O12" s="296" t="s">
        <v>7</v>
      </c>
      <c r="P12" s="297" t="s">
        <v>429</v>
      </c>
      <c r="Q12" s="297" t="s">
        <v>771</v>
      </c>
      <c r="R12" s="297" t="s">
        <v>93</v>
      </c>
      <c r="S12" s="298" t="s">
        <v>430</v>
      </c>
      <c r="T12" s="338" t="s">
        <v>517</v>
      </c>
      <c r="U12" s="338" t="s">
        <v>690</v>
      </c>
      <c r="X12" s="329" t="s">
        <v>448</v>
      </c>
      <c r="Y12" s="329" t="s">
        <v>449</v>
      </c>
      <c r="Z12" s="329" t="s">
        <v>450</v>
      </c>
      <c r="AA12" s="329" t="s">
        <v>451</v>
      </c>
    </row>
    <row r="13" spans="1:27">
      <c r="A13" s="262" t="s">
        <v>431</v>
      </c>
      <c r="B13" s="262" t="s">
        <v>436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436</v>
      </c>
      <c r="T13" s="59">
        <f>R13+R14</f>
        <v>-4.7120556421087471E-2</v>
      </c>
      <c r="X13" s="39">
        <f t="shared" ref="X13:X41" ca="1" si="1">D13/D$43</f>
        <v>3.5167328417470223E-2</v>
      </c>
      <c r="Y13" s="119">
        <f ca="1">X13*E13</f>
        <v>141.3469511627907</v>
      </c>
      <c r="Z13" s="38"/>
    </row>
    <row r="14" spans="1:27">
      <c r="A14" s="262" t="s">
        <v>431</v>
      </c>
      <c r="B14" s="262" t="s">
        <v>436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437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431</v>
      </c>
      <c r="B15" s="262" t="s">
        <v>438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438</v>
      </c>
      <c r="X15" s="39">
        <f t="shared" ca="1" si="1"/>
        <v>3.1196823596142939E-2</v>
      </c>
      <c r="Y15" s="119">
        <f t="shared" ca="1" si="3"/>
        <v>0</v>
      </c>
    </row>
    <row r="16" spans="1:27">
      <c r="A16" s="262" t="s">
        <v>431</v>
      </c>
      <c r="B16" s="262" t="s">
        <v>439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439</v>
      </c>
      <c r="X16" s="39">
        <f t="shared" ca="1" si="1"/>
        <v>7.9410096426545656E-3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440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441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431</v>
      </c>
      <c r="B19" s="262" t="s">
        <v>439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439</v>
      </c>
      <c r="T19" s="59">
        <f>R19+R21+R24</f>
        <v>0.24013324659263452</v>
      </c>
      <c r="X19" s="39">
        <f t="shared" ca="1" si="1"/>
        <v>0.49290981281905843</v>
      </c>
      <c r="Y19" s="119">
        <f t="shared" ca="1" si="3"/>
        <v>2180.3372265910384</v>
      </c>
    </row>
    <row r="20" spans="1:25">
      <c r="A20" s="262" t="s">
        <v>431</v>
      </c>
      <c r="B20" s="262" t="s">
        <v>439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479</v>
      </c>
      <c r="X20" s="39">
        <f t="shared" ca="1" si="1"/>
        <v>0.35847986386840613</v>
      </c>
      <c r="Y20" s="119">
        <f t="shared" ca="1" si="3"/>
        <v>215.30300623936472</v>
      </c>
    </row>
    <row r="21" spans="1:25">
      <c r="A21" s="262" t="s">
        <v>431</v>
      </c>
      <c r="B21" s="262" t="s">
        <v>439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442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440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443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431</v>
      </c>
      <c r="B24" s="262" t="s">
        <v>439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444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431</v>
      </c>
      <c r="B25" s="262" t="s">
        <v>439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439</v>
      </c>
      <c r="X25" s="39">
        <f t="shared" ca="1" si="1"/>
        <v>0.16335791264889393</v>
      </c>
      <c r="Y25" s="119">
        <f t="shared" ca="1" si="3"/>
        <v>99.315603566647752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445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445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433</v>
      </c>
      <c r="B28" s="262" t="s">
        <v>434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434</v>
      </c>
      <c r="T28" s="59">
        <f>R28+R29+R30+R34</f>
        <v>0.15363527784681297</v>
      </c>
      <c r="U28" s="59">
        <f>(L28/L5)-1</f>
        <v>0</v>
      </c>
      <c r="X28" s="39">
        <f t="shared" ca="1" si="1"/>
        <v>0.37209302325581395</v>
      </c>
      <c r="Y28" s="119">
        <f t="shared" ca="1" si="3"/>
        <v>1915.5694437209302</v>
      </c>
    </row>
    <row r="29" spans="1:25">
      <c r="A29" s="262" t="s">
        <v>433</v>
      </c>
      <c r="B29" s="262" t="s">
        <v>434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390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433</v>
      </c>
      <c r="B30" s="262" t="s">
        <v>434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390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433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446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433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447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433</v>
      </c>
      <c r="B33" s="262" t="s">
        <v>330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330</v>
      </c>
      <c r="X33" s="39">
        <f t="shared" ca="1" si="1"/>
        <v>1.2478729438457176E-2</v>
      </c>
      <c r="Y33" s="119">
        <f t="shared" ca="1" si="3"/>
        <v>51.526248667044811</v>
      </c>
    </row>
    <row r="34" spans="1:27">
      <c r="A34" s="262" t="s">
        <v>433</v>
      </c>
      <c r="B34" s="262" t="s">
        <v>434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390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433</v>
      </c>
      <c r="B35" s="262" t="s">
        <v>330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330</v>
      </c>
      <c r="U35" s="59"/>
      <c r="X35" s="39">
        <f t="shared" ca="1" si="1"/>
        <v>8.451503119682359E-2</v>
      </c>
      <c r="Y35" s="119">
        <f t="shared" ca="1" si="3"/>
        <v>345.56056842881452</v>
      </c>
    </row>
    <row r="36" spans="1:27">
      <c r="A36" s="262" t="s">
        <v>433</v>
      </c>
      <c r="B36" s="262" t="s">
        <v>434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390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886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1.558139534883721</v>
      </c>
      <c r="Y42" s="327">
        <f ca="1">SUM(Y13:Y41)</f>
        <v>4948.9590483766315</v>
      </c>
      <c r="Z42" s="328">
        <f ca="1">P42/Y42</f>
        <v>0.88885057241339105</v>
      </c>
      <c r="AA42" s="328">
        <f ca="1">Z42/(D$43/365)</f>
        <v>0.18402181448150184</v>
      </c>
    </row>
    <row r="43" spans="1:27">
      <c r="C43" s="119" t="s">
        <v>481</v>
      </c>
      <c r="D43" s="46">
        <f ca="1">_xlfn.DAYS(TODAY(),F13)</f>
        <v>1763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453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454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455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456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457</v>
      </c>
      <c r="U62" s="41" t="s">
        <v>458</v>
      </c>
      <c r="V62" s="38"/>
    </row>
    <row r="63" spans="3:29" ht="15.75">
      <c r="G63" s="38"/>
      <c r="S63" t="s">
        <v>459</v>
      </c>
      <c r="T63" s="308" t="s">
        <v>460</v>
      </c>
      <c r="U63" s="309"/>
      <c r="V63" s="38"/>
    </row>
    <row r="64" spans="3:29">
      <c r="F64" s="38"/>
      <c r="G64" s="38"/>
      <c r="S64" t="s">
        <v>461</v>
      </c>
      <c r="T64" s="308" t="s">
        <v>462</v>
      </c>
      <c r="U64" t="s">
        <v>463</v>
      </c>
    </row>
    <row r="65" spans="6:22">
      <c r="F65" s="38"/>
      <c r="G65" s="38"/>
      <c r="H65" s="38"/>
      <c r="K65" t="s">
        <v>464</v>
      </c>
      <c r="T65" s="38"/>
      <c r="U65" t="s">
        <v>465</v>
      </c>
      <c r="V65" s="38"/>
    </row>
    <row r="66" spans="6:22">
      <c r="K66" s="310">
        <v>43587</v>
      </c>
      <c r="T66" s="305"/>
    </row>
    <row r="67" spans="6:22">
      <c r="K67" t="s">
        <v>466</v>
      </c>
      <c r="T67" s="311"/>
    </row>
    <row r="68" spans="6:22">
      <c r="K68" t="s">
        <v>467</v>
      </c>
      <c r="M68" t="s">
        <v>146</v>
      </c>
      <c r="T68" s="308"/>
      <c r="U68">
        <f>5000/12</f>
        <v>416.66666666666669</v>
      </c>
    </row>
    <row r="69" spans="6:22">
      <c r="K69" t="s">
        <v>468</v>
      </c>
      <c r="U69">
        <f>2.2/U68</f>
        <v>5.28E-3</v>
      </c>
    </row>
    <row r="70" spans="6:22">
      <c r="K70" t="s">
        <v>469</v>
      </c>
      <c r="U70">
        <f>100*U69</f>
        <v>0.52800000000000002</v>
      </c>
    </row>
    <row r="71" spans="6:22">
      <c r="K71" t="s">
        <v>470</v>
      </c>
      <c r="U71">
        <f>2.2*12</f>
        <v>26.400000000000002</v>
      </c>
    </row>
    <row r="72" spans="6:22">
      <c r="K72" t="s">
        <v>471</v>
      </c>
    </row>
    <row r="73" spans="6:22">
      <c r="K73" t="s">
        <v>472</v>
      </c>
    </row>
    <row r="74" spans="6:22">
      <c r="K74" t="s">
        <v>473</v>
      </c>
    </row>
    <row r="75" spans="6:22">
      <c r="K75" t="s">
        <v>474</v>
      </c>
    </row>
    <row r="76" spans="6:22">
      <c r="K76" t="s">
        <v>475</v>
      </c>
    </row>
    <row r="77" spans="6:22">
      <c r="K77" t="s">
        <v>476</v>
      </c>
    </row>
    <row r="78" spans="6:22">
      <c r="K78" t="s">
        <v>477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487</v>
      </c>
      <c r="B1" s="449"/>
      <c r="C1" s="449"/>
      <c r="D1" s="449"/>
      <c r="E1" s="449"/>
    </row>
    <row r="2" spans="1:5">
      <c r="A2" s="331" t="s">
        <v>483</v>
      </c>
      <c r="B2" s="332" t="s">
        <v>86</v>
      </c>
      <c r="C2" s="332" t="s">
        <v>484</v>
      </c>
      <c r="D2" s="332" t="s">
        <v>485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516</v>
      </c>
      <c r="B15" s="447"/>
      <c r="C15" s="447"/>
      <c r="D15" s="447"/>
      <c r="E15" s="447"/>
    </row>
    <row r="17" spans="1:4">
      <c r="A17" s="330" t="s">
        <v>488</v>
      </c>
    </row>
    <row r="19" spans="1:4">
      <c r="A19" t="s">
        <v>489</v>
      </c>
    </row>
    <row r="20" spans="1:4">
      <c r="A20" t="s">
        <v>490</v>
      </c>
    </row>
    <row r="21" spans="1:4">
      <c r="A21" t="s">
        <v>491</v>
      </c>
    </row>
    <row r="22" spans="1:4">
      <c r="A22" t="s">
        <v>492</v>
      </c>
    </row>
    <row r="23" spans="1:4">
      <c r="A23" t="s">
        <v>493</v>
      </c>
    </row>
    <row r="24" spans="1:4">
      <c r="A24" t="s">
        <v>494</v>
      </c>
    </row>
    <row r="25" spans="1:4">
      <c r="A25" t="s">
        <v>495</v>
      </c>
    </row>
    <row r="26" spans="1:4">
      <c r="A26" t="s">
        <v>856</v>
      </c>
    </row>
    <row r="27" spans="1:4">
      <c r="A27" t="s">
        <v>857</v>
      </c>
    </row>
    <row r="30" spans="1:4">
      <c r="A30" s="330" t="s">
        <v>496</v>
      </c>
      <c r="B30" s="330" t="s">
        <v>497</v>
      </c>
      <c r="C30" s="330" t="s">
        <v>498</v>
      </c>
      <c r="D30" s="330" t="s">
        <v>499</v>
      </c>
    </row>
    <row r="32" spans="1:4">
      <c r="A32" t="s">
        <v>500</v>
      </c>
      <c r="B32" t="s">
        <v>501</v>
      </c>
      <c r="C32" t="s">
        <v>502</v>
      </c>
      <c r="D32" t="s">
        <v>503</v>
      </c>
    </row>
    <row r="33" spans="1:4">
      <c r="A33" t="s">
        <v>504</v>
      </c>
      <c r="B33" t="s">
        <v>505</v>
      </c>
      <c r="C33" t="s">
        <v>506</v>
      </c>
      <c r="D33" t="s">
        <v>501</v>
      </c>
    </row>
    <row r="34" spans="1:4">
      <c r="A34" t="s">
        <v>507</v>
      </c>
      <c r="B34" t="s">
        <v>508</v>
      </c>
      <c r="C34" t="s">
        <v>509</v>
      </c>
      <c r="D34" t="s">
        <v>503</v>
      </c>
    </row>
    <row r="35" spans="1:4">
      <c r="A35" t="s">
        <v>510</v>
      </c>
      <c r="B35" t="s">
        <v>501</v>
      </c>
      <c r="C35" t="s">
        <v>506</v>
      </c>
      <c r="D35" t="s">
        <v>511</v>
      </c>
    </row>
    <row r="36" spans="1:4">
      <c r="A36" t="s">
        <v>342</v>
      </c>
      <c r="B36" t="s">
        <v>501</v>
      </c>
      <c r="C36" t="s">
        <v>502</v>
      </c>
      <c r="D36" t="s">
        <v>511</v>
      </c>
    </row>
    <row r="37" spans="1:4">
      <c r="A37" t="s">
        <v>512</v>
      </c>
      <c r="B37" t="s">
        <v>503</v>
      </c>
      <c r="C37" t="s">
        <v>509</v>
      </c>
      <c r="D37" t="s">
        <v>508</v>
      </c>
    </row>
    <row r="38" spans="1:4">
      <c r="A38" t="s">
        <v>513</v>
      </c>
      <c r="B38" t="s">
        <v>501</v>
      </c>
      <c r="C38" t="s">
        <v>509</v>
      </c>
      <c r="D38" t="s">
        <v>501</v>
      </c>
    </row>
    <row r="39" spans="1:4">
      <c r="A39" t="s">
        <v>514</v>
      </c>
      <c r="B39" t="s">
        <v>503</v>
      </c>
      <c r="C39" t="s">
        <v>502</v>
      </c>
      <c r="D39" t="s">
        <v>501</v>
      </c>
    </row>
    <row r="40" spans="1:4">
      <c r="A40" t="s">
        <v>515</v>
      </c>
      <c r="B40" t="s">
        <v>503</v>
      </c>
      <c r="C40" t="s">
        <v>502</v>
      </c>
      <c r="D40" t="s">
        <v>508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37" workbookViewId="0">
      <selection activeCell="C59" sqref="C59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258</v>
      </c>
      <c r="I7" t="s">
        <v>259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274</v>
      </c>
      <c r="I10" t="s">
        <v>275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189</v>
      </c>
      <c r="B51" t="s">
        <v>165</v>
      </c>
    </row>
    <row r="52" spans="1:3">
      <c r="A52" t="s">
        <v>198</v>
      </c>
      <c r="B52" t="s">
        <v>197</v>
      </c>
    </row>
    <row r="53" spans="1:3">
      <c r="A53" t="s">
        <v>201</v>
      </c>
      <c r="B53" t="s">
        <v>202</v>
      </c>
    </row>
    <row r="54" spans="1:3">
      <c r="A54" t="s">
        <v>33</v>
      </c>
      <c r="B54" t="s">
        <v>166</v>
      </c>
    </row>
    <row r="55" spans="1:3">
      <c r="A55" t="s">
        <v>727</v>
      </c>
      <c r="B55" t="s">
        <v>728</v>
      </c>
    </row>
    <row r="56" spans="1:3">
      <c r="A56" t="s">
        <v>855</v>
      </c>
      <c r="B56" t="s">
        <v>166</v>
      </c>
    </row>
    <row r="58" spans="1:3">
      <c r="A58" t="s">
        <v>808</v>
      </c>
      <c r="B58" t="s">
        <v>809</v>
      </c>
    </row>
    <row r="59" spans="1:3">
      <c r="A59" t="s">
        <v>890</v>
      </c>
      <c r="B59" t="s">
        <v>892</v>
      </c>
      <c r="C59" t="s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workbookViewId="0">
      <selection activeCell="J78" sqref="J78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75">
      <c r="A11" s="112">
        <f t="shared" si="0"/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247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269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371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6.5" thickBot="1">
      <c r="A20" s="112">
        <f>SUM(A6:A15)</f>
        <v>3060.539190556492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21" t="str">
        <f>AÑO!A8</f>
        <v>Manolo Salario</v>
      </c>
      <c r="J25" s="424" t="s">
        <v>319</v>
      </c>
      <c r="K25" s="42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348</v>
      </c>
      <c r="K30" s="425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773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210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342</v>
      </c>
      <c r="K40" s="42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870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889</v>
      </c>
      <c r="K45" s="425"/>
      <c r="L45" s="231">
        <v>1142.8599999999999</v>
      </c>
      <c r="M45" s="112" t="s">
        <v>900</v>
      </c>
      <c r="N45" s="113">
        <f>L45-B187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898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21" t="str">
        <f>AÑO!A13</f>
        <v>Gubernamental</v>
      </c>
      <c r="J50" s="424" t="s">
        <v>818</v>
      </c>
      <c r="K50" s="425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56.91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895</v>
      </c>
      <c r="H66" s="112"/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897</v>
      </c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18</v>
      </c>
      <c r="M72" s="1" t="s">
        <v>882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885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884</v>
      </c>
      <c r="K74">
        <f ca="1">DAY(TODAY())</f>
        <v>7</v>
      </c>
      <c r="L74">
        <f ca="1">K74*L73</f>
        <v>22.58064516129032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4.5806451612903203</v>
      </c>
      <c r="M75" s="1" t="s">
        <v>883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26.9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873</v>
      </c>
      <c r="D86" s="137"/>
      <c r="E86" s="138">
        <v>4.9000000000000004</v>
      </c>
      <c r="F86" s="138"/>
      <c r="G86" s="16" t="s">
        <v>904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904</v>
      </c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876</v>
      </c>
      <c r="D106" s="137">
        <v>258.47000000000003</v>
      </c>
      <c r="E106" s="138"/>
      <c r="F106" s="138"/>
      <c r="G106" s="31" t="s">
        <v>874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71.020000000000053</v>
      </c>
      <c r="B107" s="134">
        <v>70</v>
      </c>
      <c r="C107" s="18" t="s">
        <v>875</v>
      </c>
      <c r="D107" s="137"/>
      <c r="E107" s="138"/>
      <c r="F107" s="138"/>
      <c r="G107" s="31" t="s">
        <v>875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877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878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879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4460.0615974244993</v>
      </c>
      <c r="B120" s="135">
        <f>SUM(B106:B119)</f>
        <v>853.47</v>
      </c>
      <c r="C120" s="17" t="s">
        <v>51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785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880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75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881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852</v>
      </c>
      <c r="D186" s="137">
        <v>64.95</v>
      </c>
      <c r="E186" s="138"/>
      <c r="F186" s="138"/>
      <c r="G186" s="16" t="s">
        <v>896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899</v>
      </c>
      <c r="D187" s="137">
        <v>25.99</v>
      </c>
      <c r="E187" s="138"/>
      <c r="F187" s="138"/>
      <c r="G187" s="16" t="s">
        <v>902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903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320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327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853</v>
      </c>
      <c r="D257" s="137"/>
      <c r="E257" s="138"/>
      <c r="F257" s="138"/>
      <c r="G257" s="16" t="s">
        <v>323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-7.3700000000002177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905</v>
      </c>
      <c r="H286" s="112">
        <v>14.829999999999785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854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42.629999999999782</v>
      </c>
      <c r="B300" s="135">
        <f>SUM(B286:B299)</f>
        <v>110</v>
      </c>
      <c r="C300" s="17" t="s">
        <v>51</v>
      </c>
      <c r="D300" s="135">
        <f>SUM(D286:D299)</f>
        <v>82.2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224</v>
      </c>
      <c r="D306" s="137">
        <v>170.25</v>
      </c>
      <c r="E306" s="138"/>
      <c r="F306" s="138"/>
      <c r="G306" s="16" t="s">
        <v>893</v>
      </c>
      <c r="H306" s="112"/>
    </row>
    <row r="307" spans="2:8" ht="15.75">
      <c r="B307" s="134"/>
      <c r="C307" s="27"/>
      <c r="D307" s="137">
        <v>32.369999999999997</v>
      </c>
      <c r="E307" s="138"/>
      <c r="F307" s="138"/>
      <c r="G307" s="16" t="s">
        <v>901</v>
      </c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202.62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868</v>
      </c>
      <c r="H406" s="112"/>
    </row>
    <row r="407" spans="2:8" ht="15.75">
      <c r="B407" s="134">
        <v>0.63</v>
      </c>
      <c r="C407" s="16" t="s">
        <v>871</v>
      </c>
      <c r="D407" s="137">
        <v>4.45</v>
      </c>
      <c r="E407" s="138"/>
      <c r="F407" s="138"/>
      <c r="G407" s="16" t="s">
        <v>872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113">
        <f>AÑO!C17</f>
        <v>1488.9399999999998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-3956.5299999999997</v>
      </c>
      <c r="C426" s="19" t="s">
        <v>225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-3956.5299999999997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869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847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177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'01'!A7+(B7-SUM(D7:F7))</f>
        <v>643.29</v>
      </c>
      <c r="B7" s="134">
        <v>70.180000000000007</v>
      </c>
      <c r="C7" s="16" t="s">
        <v>195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-224.42000000000002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'01'!A11+(B11-SUM(D11:F11))</f>
        <v>30.259999999999998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557</v>
      </c>
      <c r="B13" s="134">
        <v>7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1520.3899999999999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247.08999999999992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19.490000000000006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66.279999999999973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237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242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249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237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 t="s">
        <v>279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1462.78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231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232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235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246</v>
      </c>
      <c r="H50" s="1"/>
      <c r="I50" s="421" t="str">
        <f>AÑO!A13</f>
        <v>Gubernamental</v>
      </c>
      <c r="J50" s="424" t="s">
        <v>228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252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253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266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270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271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21" t="str">
        <f>AÑO!A15</f>
        <v>Alquiler Cartama</v>
      </c>
      <c r="J60" s="424" t="s">
        <v>238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-25.639999999999986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243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255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257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262</v>
      </c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-5.6399999999999864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48.45</v>
      </c>
      <c r="E86" s="138"/>
      <c r="F86" s="138"/>
      <c r="G86" s="16" t="s">
        <v>250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265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264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71.110000000000056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515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67.53</v>
      </c>
      <c r="B109" s="134">
        <v>27.53</v>
      </c>
      <c r="C109" s="18" t="s">
        <v>199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4470.1515974244994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232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248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261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157</v>
      </c>
      <c r="D173" s="137">
        <v>225.14</v>
      </c>
      <c r="E173" s="138"/>
      <c r="F173" s="138"/>
      <c r="G173" s="16" t="s">
        <v>239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</v>
      </c>
      <c r="E186" s="138"/>
      <c r="F186" s="138"/>
      <c r="G186" s="16" t="s">
        <v>245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271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271</v>
      </c>
    </row>
    <row r="247" spans="2:7" ht="15" customHeight="1">
      <c r="B247" s="134">
        <v>40</v>
      </c>
      <c r="C247" s="16" t="s">
        <v>281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240</v>
      </c>
    </row>
    <row r="267" spans="2:7">
      <c r="B267" s="134"/>
      <c r="C267" s="16"/>
      <c r="D267" s="137">
        <v>10.45</v>
      </c>
      <c r="E267" s="138"/>
      <c r="F267" s="138"/>
      <c r="G267" s="16" t="s">
        <v>244</v>
      </c>
    </row>
    <row r="268" spans="2:7">
      <c r="B268" s="134"/>
      <c r="C268" s="16"/>
      <c r="D268" s="137"/>
      <c r="E268" s="138">
        <v>57.96</v>
      </c>
      <c r="F268" s="138"/>
      <c r="G268" s="16" t="s">
        <v>268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254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267</v>
      </c>
    </row>
    <row r="308" spans="2:7">
      <c r="B308" s="134">
        <v>61.11</v>
      </c>
      <c r="C308" s="27" t="s">
        <v>280</v>
      </c>
      <c r="D308" s="137">
        <v>11.12</v>
      </c>
      <c r="E308" s="138"/>
      <c r="F308" s="138"/>
      <c r="G308" s="16" t="s">
        <v>272</v>
      </c>
    </row>
    <row r="309" spans="2:7">
      <c r="B309" s="134"/>
      <c r="C309" s="16"/>
      <c r="D309" s="137">
        <v>6</v>
      </c>
      <c r="E309" s="138"/>
      <c r="F309" s="138"/>
      <c r="G309" s="16" t="s">
        <v>271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241</v>
      </c>
    </row>
    <row r="347" spans="2:7">
      <c r="B347" s="134"/>
      <c r="C347" s="16"/>
      <c r="D347" s="137"/>
      <c r="E347" s="138"/>
      <c r="F347" s="138">
        <v>30</v>
      </c>
      <c r="G347" s="16" t="s">
        <v>263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248</v>
      </c>
    </row>
    <row r="368" spans="2:7">
      <c r="B368" s="134"/>
      <c r="C368" s="16"/>
      <c r="D368" s="137">
        <v>60</v>
      </c>
      <c r="E368" s="138"/>
      <c r="F368" s="138"/>
      <c r="G368" s="16" t="s">
        <v>256</v>
      </c>
    </row>
    <row r="369" spans="2:7">
      <c r="B369" s="134"/>
      <c r="C369" s="16"/>
      <c r="D369" s="137">
        <v>26.58</v>
      </c>
      <c r="E369" s="138"/>
      <c r="F369" s="138"/>
      <c r="G369" s="16" t="s">
        <v>260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229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276</v>
      </c>
    </row>
    <row r="426" spans="1:8" ht="15.75">
      <c r="A426" s="112">
        <v>3900</v>
      </c>
      <c r="B426" s="134">
        <f>A425-SUM(A426:A439)</f>
        <v>120.06999999999971</v>
      </c>
      <c r="C426" s="19" t="s">
        <v>225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-3381.3399999999974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181</v>
      </c>
      <c r="D467" s="137"/>
      <c r="E467" s="138">
        <v>500</v>
      </c>
      <c r="F467" s="138"/>
      <c r="G467" s="16" t="s">
        <v>233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278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'02'!A7+(B7-SUM(D7:F7))</f>
        <v>-35.059999999999945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-112.31000000000002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'02'!A11+(B11-SUM(D11:F11))</f>
        <v>30.25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485</v>
      </c>
      <c r="B13" s="134">
        <v>7</v>
      </c>
      <c r="C13" s="16" t="s">
        <v>247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919.1400000000001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247.08999999999992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19.540000000000006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-341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282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227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249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1095.55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299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283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284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291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295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294</v>
      </c>
      <c r="H50" s="1"/>
      <c r="I50" s="421" t="str">
        <f>AÑO!A13</f>
        <v>Gubernamental</v>
      </c>
      <c r="J50" s="424" t="s">
        <v>228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301</v>
      </c>
      <c r="H51" s="1"/>
      <c r="I51" s="422"/>
      <c r="J51" s="426" t="s">
        <v>335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305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306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325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339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286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-22.159999999999968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285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293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297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307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308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338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287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7.8400000000000318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310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312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71.20000000000006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565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-1174.94</v>
      </c>
      <c r="B109" s="134">
        <f>37.53-1370+80+10</f>
        <v>-1242.47</v>
      </c>
      <c r="C109" s="18" t="s">
        <v>332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4520.2415974244996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785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292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328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326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298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317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327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323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322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288</v>
      </c>
    </row>
    <row r="267" spans="1:7">
      <c r="B267" s="134">
        <v>4021.94</v>
      </c>
      <c r="C267" s="16" t="s">
        <v>335</v>
      </c>
      <c r="D267" s="137"/>
      <c r="E267" s="138"/>
      <c r="F267" s="138">
        <v>15</v>
      </c>
      <c r="G267" s="16" t="s">
        <v>341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300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313</v>
      </c>
    </row>
    <row r="308" spans="2:7">
      <c r="B308" s="134">
        <f>L55</f>
        <v>9.44</v>
      </c>
      <c r="C308" s="27" t="s">
        <v>324</v>
      </c>
      <c r="D308" s="137">
        <v>8.27</v>
      </c>
      <c r="E308" s="138"/>
      <c r="F308" s="138"/>
      <c r="G308" s="16" t="s">
        <v>314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334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309</v>
      </c>
    </row>
    <row r="327" spans="2:7">
      <c r="B327" s="134">
        <v>100</v>
      </c>
      <c r="C327" s="16" t="s">
        <v>299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289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290</v>
      </c>
    </row>
    <row r="348" spans="2:7">
      <c r="B348" s="134"/>
      <c r="C348" s="16"/>
      <c r="D348" s="137">
        <v>16</v>
      </c>
      <c r="E348" s="138"/>
      <c r="F348" s="138"/>
      <c r="G348" s="16" t="s">
        <v>303</v>
      </c>
    </row>
    <row r="349" spans="2:7">
      <c r="B349" s="134"/>
      <c r="C349" s="16"/>
      <c r="D349" s="137">
        <v>10</v>
      </c>
      <c r="E349" s="138"/>
      <c r="F349" s="138"/>
      <c r="G349" s="16" t="s">
        <v>304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229</v>
      </c>
    </row>
    <row r="407" spans="2:7">
      <c r="B407" s="134">
        <v>-984.2</v>
      </c>
      <c r="C407" s="16" t="s">
        <v>330</v>
      </c>
      <c r="D407" s="137">
        <v>44.93</v>
      </c>
      <c r="E407" s="138"/>
      <c r="F407" s="138"/>
      <c r="G407" s="16" t="s">
        <v>329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225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331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75">
      <c r="A7" s="112">
        <f>'03'!A7+(B7-SUM(D7:F7))</f>
        <v>32.130000000000052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-214.75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'03'!A11+(B11-SUM(D11:F11))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491.5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915.38000000000011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251.09999999999991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19.590000000000007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282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348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249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1139.6099999999999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342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362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363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369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347</v>
      </c>
      <c r="D48" s="137">
        <v>5.35</v>
      </c>
      <c r="E48" s="138"/>
      <c r="F48" s="138"/>
      <c r="G48" s="16" t="s">
        <v>374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379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382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351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366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36.840000000000032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382</v>
      </c>
      <c r="D67" s="137">
        <v>41</v>
      </c>
      <c r="E67" s="138"/>
      <c r="F67" s="138"/>
      <c r="G67" s="31" t="s">
        <v>376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76.840000000000032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360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377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383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71.290000000000063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551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372</v>
      </c>
      <c r="H108" s="1"/>
      <c r="M108" s="1"/>
      <c r="R108" s="3"/>
    </row>
    <row r="109" spans="1:18" ht="15.75">
      <c r="A109" s="112">
        <f>'03'!A109+(B109+B110+B111-SUM(D110:F119))</f>
        <v>380.93999999999983</v>
      </c>
      <c r="B109" s="134">
        <v>67.53</v>
      </c>
      <c r="C109" s="18" t="s">
        <v>373</v>
      </c>
      <c r="D109" s="137">
        <v>11</v>
      </c>
      <c r="E109" s="138"/>
      <c r="F109" s="138">
        <v>3</v>
      </c>
      <c r="G109" s="31" t="s">
        <v>378</v>
      </c>
      <c r="H109" s="1"/>
      <c r="M109" s="1"/>
      <c r="R109" s="3"/>
    </row>
    <row r="110" spans="1:18" ht="15.75">
      <c r="B110" s="134">
        <v>1370</v>
      </c>
      <c r="C110" s="18" t="s">
        <v>361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4506.3315974244997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344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357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346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349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322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350</v>
      </c>
    </row>
    <row r="287" spans="2:8">
      <c r="B287" s="134"/>
      <c r="C287" s="16"/>
      <c r="D287" s="137">
        <v>9.65</v>
      </c>
      <c r="E287" s="138"/>
      <c r="F287" s="138"/>
      <c r="G287" s="16" t="s">
        <v>356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f>37.5+37.5</f>
        <v>75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359</v>
      </c>
    </row>
    <row r="308" spans="2:7">
      <c r="B308" s="134">
        <f>L55+L56+L57</f>
        <v>37.980000000000004</v>
      </c>
      <c r="C308" s="27" t="s">
        <v>384</v>
      </c>
      <c r="D308" s="137"/>
      <c r="E308" s="138"/>
      <c r="F308" s="138">
        <v>50</v>
      </c>
      <c r="G308" s="16" t="s">
        <v>366</v>
      </c>
    </row>
    <row r="309" spans="2:7">
      <c r="B309" s="134"/>
      <c r="C309" s="16"/>
      <c r="D309" s="137">
        <v>63.9</v>
      </c>
      <c r="E309" s="138"/>
      <c r="F309" s="138"/>
      <c r="G309" s="16" t="s">
        <v>386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361</v>
      </c>
      <c r="D387" s="137"/>
      <c r="E387" s="138"/>
      <c r="F387" s="138"/>
      <c r="G387" s="16"/>
    </row>
    <row r="388" spans="2:7">
      <c r="B388" s="134">
        <v>106.26</v>
      </c>
      <c r="C388" s="27" t="s">
        <v>362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343</v>
      </c>
    </row>
    <row r="407" spans="2:7">
      <c r="B407" s="134">
        <v>3.75</v>
      </c>
      <c r="C407" s="16" t="s">
        <v>342</v>
      </c>
      <c r="D407" s="137"/>
      <c r="E407" s="138">
        <f>10+10</f>
        <v>20</v>
      </c>
      <c r="F407" s="138"/>
      <c r="G407" s="16" t="s">
        <v>367</v>
      </c>
    </row>
    <row r="408" spans="2:7">
      <c r="B408" s="134">
        <v>984.2</v>
      </c>
      <c r="C408" s="18" t="s">
        <v>361</v>
      </c>
      <c r="D408" s="137"/>
      <c r="E408" s="138"/>
      <c r="F408" s="138"/>
      <c r="G408" s="16"/>
    </row>
    <row r="409" spans="2:7">
      <c r="B409" s="134">
        <v>85.02</v>
      </c>
      <c r="C409" s="27" t="s">
        <v>362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225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385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361</v>
      </c>
      <c r="D469" s="137"/>
      <c r="E469" s="138"/>
      <c r="F469" s="138"/>
      <c r="G469" s="16"/>
    </row>
    <row r="470" spans="1:7">
      <c r="B470" s="134">
        <v>43.19</v>
      </c>
      <c r="C470" s="27" t="s">
        <v>362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'04'!A7+(B7-SUM(D7:F7))</f>
        <v>99.32000000000005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-112.31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'04'!A11+(B11-SUM(D11:F11))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498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1116.5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255.1099999999999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19.640000000000008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348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282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249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1015.8500000000001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390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389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375</v>
      </c>
      <c r="D48" s="137">
        <v>27.34</v>
      </c>
      <c r="E48" s="138"/>
      <c r="F48" s="138"/>
      <c r="G48" s="16" t="s">
        <v>398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399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406</v>
      </c>
      <c r="H50" s="1"/>
      <c r="I50" s="421" t="str">
        <f>AÑO!A13</f>
        <v>Gubernamental</v>
      </c>
      <c r="J50" s="424" t="s">
        <v>400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407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411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414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519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520</v>
      </c>
      <c r="H55" s="1"/>
      <c r="I55" s="421" t="str">
        <f>AÑO!A14</f>
        <v>Mutualite/DKV</v>
      </c>
      <c r="J55" s="424" t="s">
        <v>394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-16.009999999999962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388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396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397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404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405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33.990000000000038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408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417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71.380000000000067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601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-481.5300000000002</v>
      </c>
      <c r="B109" s="134">
        <f>67.53+120</f>
        <v>187.53</v>
      </c>
      <c r="C109" s="18" t="s">
        <v>526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4556.4215974244999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392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413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409</v>
      </c>
    </row>
    <row r="207" spans="2:12">
      <c r="B207" s="134">
        <v>15</v>
      </c>
      <c r="C207" s="16" t="s">
        <v>480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320</v>
      </c>
      <c r="D246" s="137">
        <v>15</v>
      </c>
      <c r="E246" s="138"/>
      <c r="F246" s="138"/>
      <c r="G246" s="16" t="s">
        <v>407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349</v>
      </c>
      <c r="D257" s="137"/>
      <c r="E257" s="138">
        <f>100.67</f>
        <v>100.67</v>
      </c>
      <c r="F257" s="138"/>
      <c r="G257" s="16" t="s">
        <v>524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321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395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402</v>
      </c>
    </row>
    <row r="287" spans="2:8">
      <c r="B287" s="134">
        <v>35</v>
      </c>
      <c r="C287" s="16" t="s">
        <v>525</v>
      </c>
      <c r="D287" s="137">
        <v>54.8</v>
      </c>
      <c r="E287" s="138"/>
      <c r="F287" s="138"/>
      <c r="G287" s="16" t="s">
        <v>527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v>4.4000000000000004</v>
      </c>
      <c r="E306" s="138"/>
      <c r="F306" s="138"/>
      <c r="G306" s="16" t="s">
        <v>387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394</v>
      </c>
    </row>
    <row r="308" spans="2:7">
      <c r="B308" s="134">
        <v>17.45</v>
      </c>
      <c r="C308" s="27" t="s">
        <v>403</v>
      </c>
      <c r="D308" s="137">
        <f>51.89+44.67</f>
        <v>96.56</v>
      </c>
      <c r="E308" s="138"/>
      <c r="F308" s="138"/>
      <c r="G308" s="16" t="s">
        <v>518</v>
      </c>
    </row>
    <row r="309" spans="2:7">
      <c r="B309" s="134">
        <v>170</v>
      </c>
      <c r="C309" s="16" t="s">
        <v>480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546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391</v>
      </c>
    </row>
    <row r="407" spans="2:7">
      <c r="B407" s="134">
        <v>45.86</v>
      </c>
      <c r="C407" s="16" t="s">
        <v>390</v>
      </c>
      <c r="D407" s="137"/>
      <c r="E407" s="138"/>
      <c r="F407" s="138"/>
      <c r="G407" s="16"/>
    </row>
    <row r="408" spans="2:7">
      <c r="B408" s="134">
        <v>-1094.26</v>
      </c>
      <c r="C408" s="16" t="s">
        <v>330</v>
      </c>
      <c r="D408" s="137">
        <v>44.48</v>
      </c>
      <c r="E408" s="138"/>
      <c r="F408" s="138"/>
      <c r="G408" s="16" t="s">
        <v>416</v>
      </c>
    </row>
    <row r="409" spans="2:7">
      <c r="B409" s="134">
        <f>29.29+20</f>
        <v>49.29</v>
      </c>
      <c r="C409" s="16" t="s">
        <v>480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225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331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523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'05'!A7+(B7-SUM(D7:F7))</f>
        <v>166.50000000000006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-211.32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'05'!A11+(B11-SUM(D11:F11))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504.5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1116.17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259.11999999999989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19.690000000000008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538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348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249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 t="s">
        <v>279</v>
      </c>
      <c r="K35" s="42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1059.9099999999999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27.2</v>
      </c>
      <c r="E48" s="138"/>
      <c r="F48" s="138"/>
      <c r="G48" s="16" t="s">
        <v>555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556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560</v>
      </c>
      <c r="H50" s="1"/>
      <c r="I50" s="421" t="str">
        <f>AÑO!A13</f>
        <v>Gubernamental</v>
      </c>
      <c r="J50" s="424" t="s">
        <v>551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567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569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575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580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584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539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'05'!A66+(B66-SUM(D66:F78))+B67+B68</f>
        <v>-23.659999999999968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540</v>
      </c>
      <c r="D67" s="137">
        <v>36.049999999999997</v>
      </c>
      <c r="E67" s="138"/>
      <c r="F67" s="138"/>
      <c r="G67" s="31" t="s">
        <v>563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564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566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578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36.340000000000032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534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536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576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577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71.47000000000007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651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-414.00000000000023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4606.5115974245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583</v>
      </c>
      <c r="H146" s="1"/>
      <c r="M146" s="1"/>
      <c r="R146" s="3"/>
    </row>
    <row r="147" spans="1:22" ht="15.75">
      <c r="A147" s="1"/>
      <c r="B147" s="134">
        <v>-60</v>
      </c>
      <c r="C147" s="16" t="s">
        <v>532</v>
      </c>
      <c r="D147" s="137"/>
      <c r="E147" s="138"/>
      <c r="F147" s="138"/>
      <c r="G147" s="16" t="s">
        <v>533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565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567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568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585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320</v>
      </c>
      <c r="D246" s="137"/>
      <c r="E246" s="138">
        <v>21.08</v>
      </c>
      <c r="F246" s="138"/>
      <c r="G246" s="16" t="s">
        <v>559</v>
      </c>
    </row>
    <row r="247" spans="1:7" ht="15" customHeight="1">
      <c r="A247" s="112"/>
      <c r="B247" s="134">
        <f>-10</f>
        <v>-10</v>
      </c>
      <c r="C247" s="16" t="s">
        <v>587</v>
      </c>
      <c r="D247" s="137">
        <v>12.99</v>
      </c>
      <c r="E247" s="138"/>
      <c r="F247" s="138"/>
      <c r="G247" s="16" t="s">
        <v>567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349</v>
      </c>
      <c r="D257" s="137"/>
      <c r="E257" s="138">
        <v>100.67</v>
      </c>
      <c r="F257" s="138"/>
      <c r="G257" s="16" t="s">
        <v>323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321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573</v>
      </c>
      <c r="H267" s="89" t="s">
        <v>572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579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547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558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528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537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549</v>
      </c>
    </row>
    <row r="308" spans="2:7">
      <c r="B308" s="134"/>
      <c r="C308" s="27"/>
      <c r="D308" s="137"/>
      <c r="E308" s="138"/>
      <c r="F308" s="138">
        <v>50</v>
      </c>
      <c r="G308" s="16" t="s">
        <v>550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529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580</v>
      </c>
    </row>
    <row r="369" spans="2:7">
      <c r="B369" s="134"/>
      <c r="C369" s="16"/>
      <c r="D369" s="137">
        <v>11</v>
      </c>
      <c r="E369" s="138"/>
      <c r="F369" s="138"/>
      <c r="G369" s="16" t="s">
        <v>581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225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535</v>
      </c>
      <c r="D469" s="137"/>
      <c r="E469" s="138"/>
      <c r="F469" s="138"/>
      <c r="G469" s="16" t="s">
        <v>230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75">
      <c r="A7" s="112">
        <f>'06'!A7+(B7-SUM(D7:F7))</f>
        <v>233.68000000000006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75">
      <c r="A8" s="112">
        <f>'06'!A8+(B8-SUM(D8:F8))</f>
        <v>-112.21999999999997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'06'!A11+(B11-SUM(D11:F11))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75">
      <c r="A12" s="112">
        <f>'06'!A12+(B12-SUM(D12:F12))</f>
        <v>220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511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1313.96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263.12999999999988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19.740000000000009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348</v>
      </c>
      <c r="K30" s="42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538</v>
      </c>
      <c r="K31" s="42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599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/>
      <c r="K35" s="42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1103.97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586</v>
      </c>
      <c r="K40" s="42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591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597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8.1</v>
      </c>
      <c r="E48" s="138"/>
      <c r="F48" s="138"/>
      <c r="G48" s="16" t="s">
        <v>616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594</v>
      </c>
      <c r="D49" s="137">
        <v>2.5499999999999998</v>
      </c>
      <c r="E49" s="138"/>
      <c r="F49" s="138"/>
      <c r="G49" s="16" t="s">
        <v>625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621</v>
      </c>
      <c r="D50" s="137">
        <v>69.97</v>
      </c>
      <c r="E50" s="138"/>
      <c r="F50" s="138"/>
      <c r="G50" s="16" t="s">
        <v>636</v>
      </c>
      <c r="H50" s="1"/>
      <c r="I50" s="421" t="str">
        <f>AÑO!A13</f>
        <v>Gubernamental</v>
      </c>
      <c r="J50" s="424" t="s">
        <v>551</v>
      </c>
      <c r="K50" s="42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639</v>
      </c>
      <c r="D51" s="137">
        <v>5.29</v>
      </c>
      <c r="E51" s="138"/>
      <c r="F51" s="138"/>
      <c r="G51" s="16" t="s">
        <v>638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600</v>
      </c>
      <c r="K55" s="42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600</v>
      </c>
      <c r="K56" s="42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600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615</v>
      </c>
      <c r="K60" s="42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'06'!A66+(B66-SUM(D66:F78))+B67</f>
        <v>-5.8599999999999568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601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623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622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635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64.140000000000043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71.560000000000073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701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-346.47000000000025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4656.6015974244992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608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618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597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626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637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609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320</v>
      </c>
      <c r="D246" s="137">
        <v>33.729999999999997</v>
      </c>
      <c r="E246" s="138"/>
      <c r="F246" s="138"/>
      <c r="G246" s="16" t="s">
        <v>634</v>
      </c>
    </row>
    <row r="247" spans="1:7" ht="15" customHeight="1">
      <c r="A247" s="112"/>
      <c r="B247" s="134">
        <v>-5</v>
      </c>
      <c r="C247" s="16" t="s">
        <v>621</v>
      </c>
      <c r="D247" s="137">
        <v>20</v>
      </c>
      <c r="E247" s="138"/>
      <c r="F247" s="138"/>
      <c r="G247" s="16" t="s">
        <v>636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619</v>
      </c>
      <c r="D257" s="137"/>
      <c r="E257" s="138">
        <v>100.67</v>
      </c>
      <c r="F257" s="138"/>
      <c r="G257" s="16" t="s">
        <v>645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628</v>
      </c>
      <c r="D258" s="137">
        <v>349</v>
      </c>
      <c r="E258" s="138"/>
      <c r="F258" s="138"/>
      <c r="G258" s="16" t="s">
        <v>595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597</v>
      </c>
    </row>
    <row r="287" spans="2:8">
      <c r="B287" s="134"/>
      <c r="C287" s="16"/>
      <c r="D287" s="137"/>
      <c r="E287" s="138"/>
      <c r="F287" s="138">
        <v>50</v>
      </c>
      <c r="G287" s="16" t="s">
        <v>606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607</v>
      </c>
    </row>
    <row r="289" spans="2:8">
      <c r="B289" s="134"/>
      <c r="C289" s="16"/>
      <c r="D289" s="137">
        <v>26.31</v>
      </c>
      <c r="E289" s="138"/>
      <c r="F289" s="138"/>
      <c r="G289" s="16" t="s">
        <v>609</v>
      </c>
    </row>
    <row r="290" spans="2:8">
      <c r="B290" s="134"/>
      <c r="C290" s="16"/>
      <c r="D290" s="137"/>
      <c r="E290" s="138">
        <v>31.95</v>
      </c>
      <c r="F290" s="138"/>
      <c r="G290" s="16" t="s">
        <v>627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588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590</v>
      </c>
    </row>
    <row r="308" spans="2:7">
      <c r="B308" s="134">
        <f>37.49+14.27+14.27</f>
        <v>66.03</v>
      </c>
      <c r="C308" s="27" t="s">
        <v>600</v>
      </c>
      <c r="D308" s="137">
        <f>37.5+37.5</f>
        <v>75</v>
      </c>
      <c r="E308" s="138"/>
      <c r="F308" s="138"/>
      <c r="G308" s="16" t="s">
        <v>617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614</v>
      </c>
    </row>
    <row r="327" spans="2:7">
      <c r="B327" s="134">
        <v>100</v>
      </c>
      <c r="C327" s="16" t="s">
        <v>605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631</v>
      </c>
      <c r="D358" s="137">
        <v>64.3</v>
      </c>
      <c r="E358" s="138"/>
      <c r="F358" s="138"/>
      <c r="G358" s="16" t="s">
        <v>629</v>
      </c>
    </row>
    <row r="359" spans="1:7" ht="16.5" thickBot="1">
      <c r="A359" s="112"/>
      <c r="B359" s="135">
        <f>12.64+6.66</f>
        <v>19.3</v>
      </c>
      <c r="C359" s="17" t="s">
        <v>639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589</v>
      </c>
    </row>
    <row r="407" spans="2:7">
      <c r="B407" s="134">
        <v>1</v>
      </c>
      <c r="C407" s="16" t="s">
        <v>586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225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647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75">
      <c r="A7" s="112">
        <f>'07'!A7+(B7-SUM(D7:F7))</f>
        <v>300.86000000000007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75">
      <c r="A8" s="112">
        <f>'07'!A8+(B8-SUM(D8:F8))</f>
        <v>-215.97999999999996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75">
      <c r="A11" s="112">
        <f>'07'!A11+(B11-SUM(D11:F11))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75">
      <c r="A12" s="112">
        <f>'07'!A12+(B12-SUM(D12:F12))</f>
        <v>245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'07'!A13+(B13-SUM(D13:F13))</f>
        <v>517.5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1308.8800000000001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319</v>
      </c>
      <c r="K25" s="42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'07'!A27+(B27-SUM(D27:F27))</f>
        <v>267.13999999999987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'07'!A29+(B29-SUM(D29:F29))</f>
        <v>19.79000000000001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249</v>
      </c>
      <c r="K30" s="42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210</v>
      </c>
      <c r="J35" s="424" t="s">
        <v>315</v>
      </c>
      <c r="K35" s="42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1043.8399999999999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686</v>
      </c>
      <c r="K45" s="42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654</v>
      </c>
      <c r="H46" s="1"/>
      <c r="I46" s="422"/>
      <c r="J46" s="426" t="s">
        <v>687</v>
      </c>
      <c r="K46" s="42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651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632</v>
      </c>
      <c r="D48" s="137">
        <v>22.34</v>
      </c>
      <c r="E48" s="138"/>
      <c r="F48" s="138"/>
      <c r="G48" s="16" t="s">
        <v>655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75">
      <c r="A49" s="1"/>
      <c r="B49" s="134">
        <v>23.87</v>
      </c>
      <c r="C49" s="16" t="s">
        <v>639</v>
      </c>
      <c r="D49" s="137">
        <v>49.31</v>
      </c>
      <c r="E49" s="138"/>
      <c r="F49" s="138"/>
      <c r="G49" s="16" t="s">
        <v>661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668</v>
      </c>
      <c r="H50" s="1"/>
      <c r="I50" s="421" t="str">
        <f>AÑO!A13</f>
        <v>Gubernamental</v>
      </c>
      <c r="J50" s="424" t="s">
        <v>551</v>
      </c>
      <c r="K50" s="42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669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'07'!A66+(SUM(B66:B78)-SUM(D66:F78))</f>
        <v>-22.509999999999934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660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>
        <v>10</v>
      </c>
      <c r="C68" s="16" t="s">
        <v>639</v>
      </c>
      <c r="D68" s="137">
        <v>19.5</v>
      </c>
      <c r="E68" s="138"/>
      <c r="F68" s="138">
        <v>5.5</v>
      </c>
      <c r="G68" s="16" t="s">
        <v>665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666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678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688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57.490000000000066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657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658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3884.0415974244993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71.650000000000077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751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271.05999999999972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4706.6915974244994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691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603</v>
      </c>
    </row>
    <row r="207" spans="2:12">
      <c r="B207" s="134"/>
      <c r="C207" s="16"/>
      <c r="D207" s="137">
        <v>23</v>
      </c>
      <c r="E207" s="138"/>
      <c r="F207" s="138"/>
      <c r="G207" s="16" t="s">
        <v>672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320</v>
      </c>
      <c r="D246" s="137">
        <f>55.4-D327</f>
        <v>45.4</v>
      </c>
      <c r="E246" s="138"/>
      <c r="F246" s="138"/>
      <c r="G246" s="16" t="s">
        <v>652</v>
      </c>
    </row>
    <row r="247" spans="1:7" ht="15" customHeight="1">
      <c r="A247" s="112"/>
      <c r="B247" s="134">
        <v>12.12</v>
      </c>
      <c r="C247" s="16" t="s">
        <v>639</v>
      </c>
      <c r="D247" s="137">
        <v>16.52</v>
      </c>
      <c r="E247" s="138"/>
      <c r="F247" s="138"/>
      <c r="G247" s="16" t="s">
        <v>667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648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95.439999999999742</v>
      </c>
      <c r="B286" s="133">
        <v>70</v>
      </c>
      <c r="C286" s="19" t="s">
        <v>31</v>
      </c>
      <c r="D286" s="137"/>
      <c r="E286" s="138"/>
      <c r="F286" s="138"/>
      <c r="G286" s="16" t="s">
        <v>602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679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115.43999999999974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v>35.96</v>
      </c>
      <c r="E306" s="138"/>
      <c r="F306" s="138"/>
      <c r="G306" s="16" t="s">
        <v>662</v>
      </c>
    </row>
    <row r="307" spans="2:7">
      <c r="B307" s="134">
        <v>13.15</v>
      </c>
      <c r="C307" s="27" t="s">
        <v>670</v>
      </c>
      <c r="D307" s="137"/>
      <c r="E307" s="138"/>
      <c r="F307" s="138">
        <v>70</v>
      </c>
      <c r="G307" s="16" t="s">
        <v>664</v>
      </c>
    </row>
    <row r="308" spans="2:7">
      <c r="B308" s="134">
        <v>14.27</v>
      </c>
      <c r="C308" s="27" t="s">
        <v>682</v>
      </c>
      <c r="D308" s="137">
        <v>8.68</v>
      </c>
      <c r="E308" s="138"/>
      <c r="F308" s="138"/>
      <c r="G308" s="16" t="s">
        <v>677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650</v>
      </c>
    </row>
    <row r="327" spans="2:7">
      <c r="B327" s="134">
        <v>192.98</v>
      </c>
      <c r="C327" s="16" t="s">
        <v>689</v>
      </c>
      <c r="D327" s="137">
        <v>10</v>
      </c>
      <c r="E327" s="138"/>
      <c r="F327" s="138"/>
      <c r="G327" s="16" t="s">
        <v>652</v>
      </c>
    </row>
    <row r="328" spans="2:7">
      <c r="B328" s="134"/>
      <c r="C328" s="16"/>
      <c r="D328" s="137">
        <v>187.13</v>
      </c>
      <c r="E328" s="138"/>
      <c r="F328" s="138"/>
      <c r="G328" s="16" t="s">
        <v>656</v>
      </c>
    </row>
    <row r="329" spans="2:7">
      <c r="B329" s="134"/>
      <c r="C329" s="16"/>
      <c r="D329" s="137">
        <v>32.14</v>
      </c>
      <c r="E329" s="138"/>
      <c r="F329" s="138"/>
      <c r="G329" s="16" t="s">
        <v>680</v>
      </c>
    </row>
    <row r="330" spans="2:7">
      <c r="B330" s="134"/>
      <c r="C330" s="16"/>
      <c r="D330" s="137">
        <v>7.49</v>
      </c>
      <c r="E330" s="138"/>
      <c r="F330" s="138"/>
      <c r="G330" s="16" t="s">
        <v>681</v>
      </c>
    </row>
    <row r="331" spans="2:7">
      <c r="B331" s="134"/>
      <c r="C331" s="16"/>
      <c r="D331" s="137"/>
      <c r="E331" s="138">
        <v>192.98</v>
      </c>
      <c r="F331" s="138"/>
      <c r="G331" s="16" t="s">
        <v>684</v>
      </c>
    </row>
    <row r="332" spans="2:7">
      <c r="B332" s="134"/>
      <c r="C332" s="16"/>
      <c r="D332" s="137"/>
      <c r="E332" s="138">
        <v>96.65</v>
      </c>
      <c r="F332" s="138"/>
      <c r="G332" s="16" t="s">
        <v>685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225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639</v>
      </c>
      <c r="D506" s="137">
        <v>23.43</v>
      </c>
      <c r="E506" s="138"/>
      <c r="F506" s="138"/>
      <c r="G506" s="16" t="s">
        <v>663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2020-01-07T12:51:03Z</dcterms:modified>
</cp:coreProperties>
</file>