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F6E8AC4A-DB67-4168-B7AF-5567C2AD89B3}" xr6:coauthVersionLast="36" xr6:coauthVersionMax="36" xr10:uidLastSave="{00000000-0000-0000-0000-000000000000}"/>
  <bookViews>
    <workbookView xWindow="0" yWindow="0" windowWidth="27330" windowHeight="5790" firstSheet="1" activeTab="7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6" i="8" l="1"/>
  <c r="P32" i="18"/>
  <c r="F366" i="8" l="1"/>
  <c r="A66" i="7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K5" i="9"/>
  <c r="B2" i="9"/>
  <c r="BC17" i="1"/>
  <c r="B247" i="7"/>
  <c r="W10" i="1"/>
  <c r="K5" i="8"/>
  <c r="F366" i="7" l="1"/>
  <c r="A129" i="8"/>
  <c r="A127" i="8"/>
  <c r="A126" i="8"/>
  <c r="A79" i="8"/>
  <c r="A66" i="8"/>
  <c r="Z79" i="1"/>
  <c r="Z80" i="1"/>
  <c r="Z81" i="1"/>
  <c r="Z78" i="1"/>
  <c r="E268" i="7"/>
  <c r="D248" i="7"/>
  <c r="D368" i="7"/>
  <c r="A258" i="8"/>
  <c r="A256" i="8"/>
  <c r="A140" i="8" l="1"/>
  <c r="A80" i="8"/>
  <c r="F267" i="7" l="1"/>
  <c r="D51" i="7" l="1"/>
  <c r="D367" i="7"/>
  <c r="D366" i="7"/>
  <c r="D89" i="7"/>
  <c r="H289" i="7" l="1"/>
  <c r="E287" i="7"/>
  <c r="A258" i="7" l="1"/>
  <c r="A260" i="6"/>
  <c r="A256" i="7"/>
  <c r="A257" i="7"/>
  <c r="A257" i="8" s="1"/>
  <c r="A257" i="6" l="1"/>
  <c r="E257" i="6"/>
  <c r="D87" i="7"/>
  <c r="A468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8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K5" i="7"/>
  <c r="D226" i="6"/>
  <c r="M5" i="7"/>
  <c r="D308" i="6" l="1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S19" i="18" s="1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I4" i="18" l="1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A109" i="6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A256" i="6"/>
  <c r="A258" i="6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46" i="6" l="1"/>
  <c r="A246" i="7" s="1"/>
  <c r="A260" i="7" l="1"/>
  <c r="A246" i="8"/>
  <c r="A260" i="8" s="1"/>
  <c r="A468" i="5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l="1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80" i="7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60" i="5" l="1"/>
</calcChain>
</file>

<file path=xl/sharedStrings.xml><?xml version="1.0" encoding="utf-8"?>
<sst xmlns="http://schemas.openxmlformats.org/spreadsheetml/2006/main" count="5457" uniqueCount="686">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</sst>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64" zoomScaleNormal="100" workbookViewId="0">
      <pane xSplit="1" topLeftCell="V1" activePane="topRight" state="frozen"/>
      <selection pane="topRight" activeCell="AD27" sqref="AD27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3" t="s">
        <v>0</v>
      </c>
      <c r="D4" s="384"/>
      <c r="E4" s="384"/>
      <c r="F4" s="385"/>
      <c r="G4" s="383" t="s">
        <v>1</v>
      </c>
      <c r="H4" s="384"/>
      <c r="I4" s="384"/>
      <c r="J4" s="385"/>
      <c r="K4" s="383" t="s">
        <v>2</v>
      </c>
      <c r="L4" s="384"/>
      <c r="M4" s="384"/>
      <c r="N4" s="385"/>
      <c r="O4" s="383" t="s">
        <v>3</v>
      </c>
      <c r="P4" s="384"/>
      <c r="Q4" s="384"/>
      <c r="R4" s="385"/>
      <c r="S4" s="383" t="s">
        <v>71</v>
      </c>
      <c r="T4" s="384"/>
      <c r="U4" s="384"/>
      <c r="V4" s="385"/>
      <c r="W4" s="383" t="s">
        <v>70</v>
      </c>
      <c r="X4" s="384"/>
      <c r="Y4" s="384"/>
      <c r="Z4" s="385"/>
      <c r="AA4" s="383" t="s">
        <v>72</v>
      </c>
      <c r="AB4" s="384"/>
      <c r="AC4" s="384"/>
      <c r="AD4" s="385"/>
      <c r="AE4" s="383" t="s">
        <v>73</v>
      </c>
      <c r="AF4" s="384"/>
      <c r="AG4" s="384"/>
      <c r="AH4" s="385"/>
      <c r="AI4" s="383" t="s">
        <v>75</v>
      </c>
      <c r="AJ4" s="384"/>
      <c r="AK4" s="384"/>
      <c r="AL4" s="385"/>
      <c r="AM4" s="383" t="s">
        <v>77</v>
      </c>
      <c r="AN4" s="384"/>
      <c r="AO4" s="384"/>
      <c r="AP4" s="385"/>
      <c r="AQ4" s="383" t="s">
        <v>79</v>
      </c>
      <c r="AR4" s="384"/>
      <c r="AS4" s="384"/>
      <c r="AT4" s="385"/>
      <c r="AU4" s="383" t="s">
        <v>84</v>
      </c>
      <c r="AV4" s="384"/>
      <c r="AW4" s="384"/>
      <c r="AX4" s="38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2">
        <f>'01'!K19</f>
        <v>26383.54</v>
      </c>
      <c r="D5" s="390"/>
      <c r="E5" s="390"/>
      <c r="F5" s="391"/>
      <c r="G5" s="392">
        <f>'02'!K19</f>
        <v>25229.379999999997</v>
      </c>
      <c r="H5" s="390"/>
      <c r="I5" s="390"/>
      <c r="J5" s="391"/>
      <c r="K5" s="389">
        <f>'03'!K19</f>
        <v>25574.760000000002</v>
      </c>
      <c r="L5" s="390"/>
      <c r="M5" s="390"/>
      <c r="N5" s="391"/>
      <c r="O5" s="389">
        <f>'04'!K19</f>
        <v>26443.759999999998</v>
      </c>
      <c r="P5" s="390"/>
      <c r="Q5" s="390"/>
      <c r="R5" s="391"/>
      <c r="S5" s="389">
        <f>'05'!K19</f>
        <v>27163.090000000004</v>
      </c>
      <c r="T5" s="390"/>
      <c r="U5" s="390"/>
      <c r="V5" s="391"/>
      <c r="W5" s="389">
        <f>'06'!K19</f>
        <v>29014.079999999998</v>
      </c>
      <c r="X5" s="390"/>
      <c r="Y5" s="390"/>
      <c r="Z5" s="391"/>
      <c r="AA5" s="389">
        <f>'07'!K19</f>
        <v>29282.959999999999</v>
      </c>
      <c r="AB5" s="390"/>
      <c r="AC5" s="390"/>
      <c r="AD5" s="391"/>
      <c r="AE5" s="389">
        <f>'08'!K19</f>
        <v>29282.959999999999</v>
      </c>
      <c r="AF5" s="390"/>
      <c r="AG5" s="390"/>
      <c r="AH5" s="391"/>
      <c r="AI5" s="389">
        <f>'09'!K19</f>
        <v>15101.890000000001</v>
      </c>
      <c r="AJ5" s="390"/>
      <c r="AK5" s="390"/>
      <c r="AL5" s="391"/>
      <c r="AM5" s="389">
        <f>'10'!K19</f>
        <v>15101.890000000001</v>
      </c>
      <c r="AN5" s="390"/>
      <c r="AO5" s="390"/>
      <c r="AP5" s="391"/>
      <c r="AQ5" s="389">
        <f>'11'!K19</f>
        <v>15101.890000000001</v>
      </c>
      <c r="AR5" s="390"/>
      <c r="AS5" s="390"/>
      <c r="AT5" s="391"/>
      <c r="AU5" s="389">
        <f>'12'!K19</f>
        <v>15101.890000000001</v>
      </c>
      <c r="AV5" s="390"/>
      <c r="AW5" s="390"/>
      <c r="AX5" s="391"/>
      <c r="AZ5" s="6"/>
      <c r="BA5" s="7"/>
      <c r="BB5" s="1"/>
      <c r="BC5" s="1"/>
    </row>
    <row r="6" spans="1:55" ht="17.25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6" t="s">
        <v>230</v>
      </c>
      <c r="D7" s="387"/>
      <c r="E7" s="387"/>
      <c r="F7" s="388"/>
      <c r="G7" s="386" t="s">
        <v>230</v>
      </c>
      <c r="H7" s="387"/>
      <c r="I7" s="387"/>
      <c r="J7" s="388"/>
      <c r="K7" s="386" t="s">
        <v>230</v>
      </c>
      <c r="L7" s="387"/>
      <c r="M7" s="387"/>
      <c r="N7" s="388"/>
      <c r="O7" s="386" t="s">
        <v>230</v>
      </c>
      <c r="P7" s="387"/>
      <c r="Q7" s="387"/>
      <c r="R7" s="388"/>
      <c r="S7" s="386" t="s">
        <v>230</v>
      </c>
      <c r="T7" s="387"/>
      <c r="U7" s="387"/>
      <c r="V7" s="388"/>
      <c r="W7" s="386" t="s">
        <v>230</v>
      </c>
      <c r="X7" s="387"/>
      <c r="Y7" s="387"/>
      <c r="Z7" s="388"/>
      <c r="AA7" s="386" t="s">
        <v>230</v>
      </c>
      <c r="AB7" s="387"/>
      <c r="AC7" s="387"/>
      <c r="AD7" s="388"/>
      <c r="AE7" s="386" t="s">
        <v>230</v>
      </c>
      <c r="AF7" s="387"/>
      <c r="AG7" s="387"/>
      <c r="AH7" s="388"/>
      <c r="AI7" s="386" t="s">
        <v>230</v>
      </c>
      <c r="AJ7" s="387"/>
      <c r="AK7" s="387"/>
      <c r="AL7" s="388"/>
      <c r="AM7" s="386" t="s">
        <v>230</v>
      </c>
      <c r="AN7" s="387"/>
      <c r="AO7" s="387"/>
      <c r="AP7" s="388"/>
      <c r="AQ7" s="386" t="s">
        <v>230</v>
      </c>
      <c r="AR7" s="387"/>
      <c r="AS7" s="387"/>
      <c r="AT7" s="388"/>
      <c r="AU7" s="386" t="s">
        <v>230</v>
      </c>
      <c r="AV7" s="387"/>
      <c r="AW7" s="387"/>
      <c r="AX7" s="388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3">
        <f>SUM('01'!L25:'01'!L29)</f>
        <v>2593.46</v>
      </c>
      <c r="D8" s="394"/>
      <c r="E8" s="394"/>
      <c r="F8" s="395"/>
      <c r="G8" s="393">
        <f>SUM('02'!L25:'02'!L29)</f>
        <v>2592.42</v>
      </c>
      <c r="H8" s="394"/>
      <c r="I8" s="394"/>
      <c r="J8" s="395"/>
      <c r="K8" s="393">
        <f>SUM('03'!L25:'03'!L29)</f>
        <v>2526.87</v>
      </c>
      <c r="L8" s="394"/>
      <c r="M8" s="394"/>
      <c r="N8" s="395"/>
      <c r="O8" s="393">
        <f>SUM('04'!L25:'04'!L29)</f>
        <v>2570.56</v>
      </c>
      <c r="P8" s="394"/>
      <c r="Q8" s="394"/>
      <c r="R8" s="395"/>
      <c r="S8" s="393">
        <f>SUM('05'!L25:'05'!L29)</f>
        <v>4448.8500000000004</v>
      </c>
      <c r="T8" s="394"/>
      <c r="U8" s="394"/>
      <c r="V8" s="395"/>
      <c r="W8" s="393">
        <f>SUM('06'!L25:'06'!L29)</f>
        <v>2574.61</v>
      </c>
      <c r="X8" s="394"/>
      <c r="Y8" s="394"/>
      <c r="Z8" s="395"/>
      <c r="AA8" s="393">
        <f>SUM('07'!L25:'07'!L29)</f>
        <v>0</v>
      </c>
      <c r="AB8" s="394"/>
      <c r="AC8" s="394"/>
      <c r="AD8" s="395"/>
      <c r="AE8" s="393">
        <f>SUM('08'!L25:'08'!L29)</f>
        <v>0</v>
      </c>
      <c r="AF8" s="394"/>
      <c r="AG8" s="394"/>
      <c r="AH8" s="395"/>
      <c r="AI8" s="393">
        <f>SUM('09'!L25:'09'!L29)</f>
        <v>0</v>
      </c>
      <c r="AJ8" s="394"/>
      <c r="AK8" s="394"/>
      <c r="AL8" s="395"/>
      <c r="AM8" s="393">
        <f>SUM('10'!L25:'10'!L29)</f>
        <v>0</v>
      </c>
      <c r="AN8" s="394"/>
      <c r="AO8" s="394"/>
      <c r="AP8" s="395"/>
      <c r="AQ8" s="393">
        <f>SUM('11'!L25:'11'!L29)</f>
        <v>0</v>
      </c>
      <c r="AR8" s="394"/>
      <c r="AS8" s="394"/>
      <c r="AT8" s="395"/>
      <c r="AU8" s="393">
        <f>SUM('12'!L25:'12'!L29)</f>
        <v>0</v>
      </c>
      <c r="AV8" s="394"/>
      <c r="AW8" s="394"/>
      <c r="AX8" s="395"/>
      <c r="AZ8" s="209">
        <f>SUM(C8:AU8)</f>
        <v>17306.77</v>
      </c>
      <c r="BA8" s="112">
        <f t="shared" ref="BA8:BA16" ca="1" si="0">AZ8/BC$17</f>
        <v>2472.3957142857143</v>
      </c>
      <c r="BB8" s="1"/>
      <c r="BC8" s="1"/>
    </row>
    <row r="9" spans="1:55" ht="15.75">
      <c r="A9" s="189" t="s">
        <v>213</v>
      </c>
      <c r="B9" s="193">
        <v>5835.74</v>
      </c>
      <c r="C9" s="380">
        <f>SUM('01'!L30:'01'!L34)</f>
        <v>655.59</v>
      </c>
      <c r="D9" s="381"/>
      <c r="E9" s="381"/>
      <c r="F9" s="382"/>
      <c r="G9" s="380">
        <f>SUM('02'!L30:'02'!L34)</f>
        <v>760.26</v>
      </c>
      <c r="H9" s="381"/>
      <c r="I9" s="381"/>
      <c r="J9" s="382"/>
      <c r="K9" s="380">
        <f>SUM('03'!L30:'03'!L34)</f>
        <v>516.44000000000005</v>
      </c>
      <c r="L9" s="381"/>
      <c r="M9" s="381"/>
      <c r="N9" s="382"/>
      <c r="O9" s="380">
        <f>SUM('04'!L30:'04'!L34)</f>
        <v>507.54</v>
      </c>
      <c r="P9" s="381"/>
      <c r="Q9" s="381"/>
      <c r="R9" s="382"/>
      <c r="S9" s="380">
        <f>SUM('05'!L30:'05'!L34)</f>
        <v>578.16999999999996</v>
      </c>
      <c r="T9" s="381"/>
      <c r="U9" s="381"/>
      <c r="V9" s="382"/>
      <c r="W9" s="380">
        <f>SUM('06'!L30:'06'!L34)</f>
        <v>613.67000000000007</v>
      </c>
      <c r="X9" s="381"/>
      <c r="Y9" s="381"/>
      <c r="Z9" s="382"/>
      <c r="AA9" s="380">
        <f>SUM('07'!L30:'07'!L34)</f>
        <v>956.9</v>
      </c>
      <c r="AB9" s="381"/>
      <c r="AC9" s="381"/>
      <c r="AD9" s="382"/>
      <c r="AE9" s="380">
        <f>SUM('08'!L30:'08'!L34)</f>
        <v>0</v>
      </c>
      <c r="AF9" s="381"/>
      <c r="AG9" s="381"/>
      <c r="AH9" s="382"/>
      <c r="AI9" s="380">
        <f>SUM('09'!L30:'09'!L34)</f>
        <v>0</v>
      </c>
      <c r="AJ9" s="381"/>
      <c r="AK9" s="381"/>
      <c r="AL9" s="382"/>
      <c r="AM9" s="380">
        <f>SUM('10'!L30:'10'!L34)</f>
        <v>0</v>
      </c>
      <c r="AN9" s="381"/>
      <c r="AO9" s="381"/>
      <c r="AP9" s="382"/>
      <c r="AQ9" s="380">
        <f>SUM('11'!L30:'11'!L34)</f>
        <v>0</v>
      </c>
      <c r="AR9" s="381"/>
      <c r="AS9" s="381"/>
      <c r="AT9" s="382"/>
      <c r="AU9" s="380">
        <f>SUM('12'!L30:'12'!L34)</f>
        <v>0</v>
      </c>
      <c r="AV9" s="381"/>
      <c r="AW9" s="381"/>
      <c r="AX9" s="382"/>
      <c r="AZ9" s="210">
        <f t="shared" ref="AZ9:AZ16" si="1">SUM(C9:AW9)</f>
        <v>4588.57</v>
      </c>
      <c r="BA9" s="112">
        <f t="shared" ca="1" si="0"/>
        <v>655.51</v>
      </c>
      <c r="BB9" s="1"/>
      <c r="BC9" s="1"/>
    </row>
    <row r="10" spans="1:55" ht="15.75">
      <c r="A10" s="190" t="s">
        <v>218</v>
      </c>
      <c r="B10" s="194">
        <v>2731.18</v>
      </c>
      <c r="C10" s="380">
        <f>SUM('01'!L35:'01'!L39)</f>
        <v>120.85</v>
      </c>
      <c r="D10" s="381"/>
      <c r="E10" s="381"/>
      <c r="F10" s="382"/>
      <c r="G10" s="380">
        <f>SUM('02'!L35:'02'!L39)</f>
        <v>107.38</v>
      </c>
      <c r="H10" s="381"/>
      <c r="I10" s="381"/>
      <c r="J10" s="382"/>
      <c r="K10" s="380">
        <f>SUM('03'!L35:'03'!L39)</f>
        <v>91.73</v>
      </c>
      <c r="L10" s="381"/>
      <c r="M10" s="381"/>
      <c r="N10" s="382"/>
      <c r="O10" s="380">
        <f>SUM('04'!L35:'04'!L39)</f>
        <v>204.23</v>
      </c>
      <c r="P10" s="381"/>
      <c r="Q10" s="381"/>
      <c r="R10" s="382"/>
      <c r="S10" s="380">
        <f>SUM('05'!L35:'05'!L39)</f>
        <v>119.85</v>
      </c>
      <c r="T10" s="381"/>
      <c r="U10" s="381"/>
      <c r="V10" s="382"/>
      <c r="W10" s="396">
        <f>SUM('06'!L35:'06'!L39)</f>
        <v>55.09</v>
      </c>
      <c r="X10" s="397"/>
      <c r="Y10" s="397"/>
      <c r="Z10" s="398"/>
      <c r="AA10" s="396">
        <f>SUM('07'!L35:'07'!L39)</f>
        <v>0</v>
      </c>
      <c r="AB10" s="397"/>
      <c r="AC10" s="397"/>
      <c r="AD10" s="398"/>
      <c r="AE10" s="396">
        <f>SUM('08'!L35:'08'!L39)</f>
        <v>0</v>
      </c>
      <c r="AF10" s="397"/>
      <c r="AG10" s="397"/>
      <c r="AH10" s="398"/>
      <c r="AI10" s="396">
        <f>SUM('09'!L35:'09'!L39)</f>
        <v>0</v>
      </c>
      <c r="AJ10" s="397"/>
      <c r="AK10" s="397"/>
      <c r="AL10" s="398"/>
      <c r="AM10" s="396">
        <f>SUM('10'!L35:'10'!L39)</f>
        <v>0</v>
      </c>
      <c r="AN10" s="397"/>
      <c r="AO10" s="397"/>
      <c r="AP10" s="398"/>
      <c r="AQ10" s="396">
        <f>SUM('11'!L35:'11'!L39)</f>
        <v>0</v>
      </c>
      <c r="AR10" s="397"/>
      <c r="AS10" s="397"/>
      <c r="AT10" s="398"/>
      <c r="AU10" s="396">
        <f>SUM('12'!L35:'12'!L39)</f>
        <v>0</v>
      </c>
      <c r="AV10" s="397"/>
      <c r="AW10" s="397"/>
      <c r="AX10" s="398"/>
      <c r="AZ10" s="211">
        <f t="shared" si="1"/>
        <v>699.13</v>
      </c>
      <c r="BA10" s="112">
        <f t="shared" ca="1" si="0"/>
        <v>99.875714285714281</v>
      </c>
      <c r="BB10" s="1"/>
      <c r="BC10" s="1"/>
    </row>
    <row r="11" spans="1:55" ht="15.75">
      <c r="A11" s="189" t="s">
        <v>214</v>
      </c>
      <c r="B11" s="193">
        <v>2906.88</v>
      </c>
      <c r="C11" s="380">
        <f>SUM('01'!L40:'01'!L44)</f>
        <v>3.87</v>
      </c>
      <c r="D11" s="381"/>
      <c r="E11" s="381"/>
      <c r="F11" s="382"/>
      <c r="G11" s="380">
        <f>SUM('02'!L40:'02'!L44)</f>
        <v>0</v>
      </c>
      <c r="H11" s="381"/>
      <c r="I11" s="381"/>
      <c r="J11" s="382"/>
      <c r="K11" s="380">
        <f>SUM('03'!L40:'03'!L44)</f>
        <v>0</v>
      </c>
      <c r="L11" s="381"/>
      <c r="M11" s="381"/>
      <c r="N11" s="382"/>
      <c r="O11" s="380">
        <f>SUM('04'!L40:'04'!L44)</f>
        <v>356.59</v>
      </c>
      <c r="P11" s="381"/>
      <c r="Q11" s="381"/>
      <c r="R11" s="382"/>
      <c r="S11" s="380">
        <f>SUM('05'!L40:'05'!L44)</f>
        <v>45.86</v>
      </c>
      <c r="T11" s="381"/>
      <c r="U11" s="381"/>
      <c r="V11" s="382"/>
      <c r="W11" s="380">
        <f>SUM('06'!L40:'06'!L44)</f>
        <v>0</v>
      </c>
      <c r="X11" s="381"/>
      <c r="Y11" s="381"/>
      <c r="Z11" s="382"/>
      <c r="AA11" s="380">
        <f>SUM('07'!L40:'07'!L44)</f>
        <v>1</v>
      </c>
      <c r="AB11" s="381"/>
      <c r="AC11" s="381"/>
      <c r="AD11" s="382"/>
      <c r="AE11" s="380">
        <f>SUM('08'!L40:'08'!L44)</f>
        <v>0</v>
      </c>
      <c r="AF11" s="381"/>
      <c r="AG11" s="381"/>
      <c r="AH11" s="382"/>
      <c r="AI11" s="380">
        <f>SUM('09'!L40:'09'!L44)</f>
        <v>0</v>
      </c>
      <c r="AJ11" s="381"/>
      <c r="AK11" s="381"/>
      <c r="AL11" s="382"/>
      <c r="AM11" s="380">
        <f>SUM('10'!L40:'10'!L44)</f>
        <v>0</v>
      </c>
      <c r="AN11" s="381"/>
      <c r="AO11" s="381"/>
      <c r="AP11" s="382"/>
      <c r="AQ11" s="380">
        <f>SUM('11'!L40:'11'!L44)</f>
        <v>0</v>
      </c>
      <c r="AR11" s="381"/>
      <c r="AS11" s="381"/>
      <c r="AT11" s="382"/>
      <c r="AU11" s="380">
        <f>SUM('12'!L40:'12'!L44)</f>
        <v>0</v>
      </c>
      <c r="AV11" s="381"/>
      <c r="AW11" s="381"/>
      <c r="AX11" s="382"/>
      <c r="AZ11" s="210">
        <f t="shared" si="1"/>
        <v>407.32</v>
      </c>
      <c r="BA11" s="112">
        <f t="shared" ca="1" si="0"/>
        <v>58.188571428571429</v>
      </c>
      <c r="BB11" s="1"/>
      <c r="BC11" s="1"/>
    </row>
    <row r="12" spans="1:55" ht="15.75">
      <c r="A12" s="190" t="s">
        <v>23</v>
      </c>
      <c r="B12" s="194">
        <v>3325.31</v>
      </c>
      <c r="C12" s="380">
        <f>SUM('01'!L45:'01'!L49)</f>
        <v>137</v>
      </c>
      <c r="D12" s="381"/>
      <c r="E12" s="381"/>
      <c r="F12" s="382"/>
      <c r="G12" s="380">
        <f>SUM('02'!L45:'02'!L49)</f>
        <v>600.04</v>
      </c>
      <c r="H12" s="381"/>
      <c r="I12" s="381"/>
      <c r="J12" s="382"/>
      <c r="K12" s="380">
        <f>SUM('03'!L45:'03'!L49)</f>
        <v>380</v>
      </c>
      <c r="L12" s="381"/>
      <c r="M12" s="381"/>
      <c r="N12" s="382"/>
      <c r="O12" s="380">
        <f>SUM('04'!L45:'04'!L49)</f>
        <v>0</v>
      </c>
      <c r="P12" s="381"/>
      <c r="Q12" s="381"/>
      <c r="R12" s="382"/>
      <c r="S12" s="380">
        <f>SUM('05'!L45:'05'!L49)</f>
        <v>0</v>
      </c>
      <c r="T12" s="381"/>
      <c r="U12" s="381"/>
      <c r="V12" s="382"/>
      <c r="W12" s="396">
        <f>SUM('06'!L45:'06'!L49)</f>
        <v>242.41</v>
      </c>
      <c r="X12" s="397"/>
      <c r="Y12" s="397"/>
      <c r="Z12" s="398"/>
      <c r="AA12" s="396">
        <f>SUM('07'!L45:'07'!L49)</f>
        <v>0</v>
      </c>
      <c r="AB12" s="397"/>
      <c r="AC12" s="397"/>
      <c r="AD12" s="398"/>
      <c r="AE12" s="396">
        <f>SUM('08'!L45:'08'!L49)</f>
        <v>0</v>
      </c>
      <c r="AF12" s="397"/>
      <c r="AG12" s="397"/>
      <c r="AH12" s="398"/>
      <c r="AI12" s="396">
        <f>SUM('09'!L45:'09'!L49)</f>
        <v>0</v>
      </c>
      <c r="AJ12" s="397"/>
      <c r="AK12" s="397"/>
      <c r="AL12" s="398"/>
      <c r="AM12" s="396">
        <f>SUM('10'!L45:'10'!L49)</f>
        <v>0</v>
      </c>
      <c r="AN12" s="397"/>
      <c r="AO12" s="397"/>
      <c r="AP12" s="398"/>
      <c r="AQ12" s="396">
        <f>SUM('11'!L45:'11'!L49)</f>
        <v>0</v>
      </c>
      <c r="AR12" s="397"/>
      <c r="AS12" s="397"/>
      <c r="AT12" s="398"/>
      <c r="AU12" s="396">
        <f>SUM('12'!L45:'12'!L49)</f>
        <v>0</v>
      </c>
      <c r="AV12" s="397"/>
      <c r="AW12" s="397"/>
      <c r="AX12" s="398"/>
      <c r="AZ12" s="211">
        <f t="shared" si="1"/>
        <v>1359.45</v>
      </c>
      <c r="BA12" s="112">
        <f t="shared" ca="1" si="0"/>
        <v>194.20714285714286</v>
      </c>
      <c r="BB12" s="1"/>
      <c r="BC12" s="1"/>
    </row>
    <row r="13" spans="1:55" ht="15.75">
      <c r="A13" s="189" t="s">
        <v>215</v>
      </c>
      <c r="B13" s="195">
        <v>3443.8099999999995</v>
      </c>
      <c r="C13" s="380">
        <f>SUM('01'!L50:'01'!L54)</f>
        <v>95.8</v>
      </c>
      <c r="D13" s="381"/>
      <c r="E13" s="381"/>
      <c r="F13" s="382"/>
      <c r="G13" s="380">
        <f>SUM('02'!L50:'02'!L54)</f>
        <v>95.8</v>
      </c>
      <c r="H13" s="381"/>
      <c r="I13" s="381"/>
      <c r="J13" s="382"/>
      <c r="K13" s="380">
        <f>SUM('03'!L50:'03'!L54)</f>
        <v>4517.74</v>
      </c>
      <c r="L13" s="381"/>
      <c r="M13" s="381"/>
      <c r="N13" s="382"/>
      <c r="O13" s="380">
        <f>SUM('04'!L50:'04'!L54)</f>
        <v>95.8</v>
      </c>
      <c r="P13" s="381"/>
      <c r="Q13" s="381"/>
      <c r="R13" s="382"/>
      <c r="S13" s="380">
        <f>SUM('05'!L50:'05'!L54)</f>
        <v>95.8</v>
      </c>
      <c r="T13" s="381"/>
      <c r="U13" s="381"/>
      <c r="V13" s="382"/>
      <c r="W13" s="380">
        <f>SUM('06'!L50:'06'!L54)</f>
        <v>95.8</v>
      </c>
      <c r="X13" s="381"/>
      <c r="Y13" s="381"/>
      <c r="Z13" s="382"/>
      <c r="AA13" s="380">
        <f>SUM('07'!L50:'07'!L54)</f>
        <v>0</v>
      </c>
      <c r="AB13" s="381"/>
      <c r="AC13" s="381"/>
      <c r="AD13" s="382"/>
      <c r="AE13" s="380">
        <f>SUM('08'!L50:'08'!L54)</f>
        <v>0</v>
      </c>
      <c r="AF13" s="381"/>
      <c r="AG13" s="381"/>
      <c r="AH13" s="382"/>
      <c r="AI13" s="380">
        <f>SUM('09'!L50:'09'!L54)</f>
        <v>0</v>
      </c>
      <c r="AJ13" s="381"/>
      <c r="AK13" s="381"/>
      <c r="AL13" s="382"/>
      <c r="AM13" s="380">
        <f>SUM('10'!L50:'10'!L54)</f>
        <v>0</v>
      </c>
      <c r="AN13" s="381"/>
      <c r="AO13" s="381"/>
      <c r="AP13" s="382"/>
      <c r="AQ13" s="380">
        <f>SUM('11'!L50:'11'!L54)</f>
        <v>0</v>
      </c>
      <c r="AR13" s="381"/>
      <c r="AS13" s="381"/>
      <c r="AT13" s="382"/>
      <c r="AU13" s="380">
        <f>SUM('12'!L50:'12'!L54)</f>
        <v>0</v>
      </c>
      <c r="AV13" s="381"/>
      <c r="AW13" s="381"/>
      <c r="AX13" s="382"/>
      <c r="AZ13" s="212">
        <f t="shared" si="1"/>
        <v>4996.7400000000007</v>
      </c>
      <c r="BA13" s="112">
        <f t="shared" ca="1" si="0"/>
        <v>713.82</v>
      </c>
      <c r="BB13" s="1"/>
      <c r="BC13" s="1"/>
    </row>
    <row r="14" spans="1:55" ht="15.75">
      <c r="A14" s="190" t="s">
        <v>216</v>
      </c>
      <c r="B14" s="194">
        <v>364.62</v>
      </c>
      <c r="C14" s="380">
        <f>SUM('01'!L55:'01'!L59)</f>
        <v>0</v>
      </c>
      <c r="D14" s="381"/>
      <c r="E14" s="381"/>
      <c r="F14" s="382"/>
      <c r="G14" s="380">
        <f>SUM('02'!L55:'02'!L59)</f>
        <v>0</v>
      </c>
      <c r="H14" s="381"/>
      <c r="I14" s="381"/>
      <c r="J14" s="382"/>
      <c r="K14" s="380">
        <f>SUM('03'!L55:'03'!L59)</f>
        <v>9.44</v>
      </c>
      <c r="L14" s="381"/>
      <c r="M14" s="381"/>
      <c r="N14" s="382"/>
      <c r="O14" s="380">
        <f>SUM('04'!L55:'04'!L59)</f>
        <v>37.980000000000004</v>
      </c>
      <c r="P14" s="381"/>
      <c r="Q14" s="381"/>
      <c r="R14" s="382"/>
      <c r="S14" s="380">
        <f>SUM('05'!L55:'05'!L59)</f>
        <v>17.350000000000001</v>
      </c>
      <c r="T14" s="381"/>
      <c r="U14" s="381"/>
      <c r="V14" s="382"/>
      <c r="W14" s="396">
        <f>SUM('06'!L55:'06'!L59)</f>
        <v>0</v>
      </c>
      <c r="X14" s="397"/>
      <c r="Y14" s="397"/>
      <c r="Z14" s="398"/>
      <c r="AA14" s="396">
        <f>SUM('07'!L55:'07'!L59)</f>
        <v>0</v>
      </c>
      <c r="AB14" s="397"/>
      <c r="AC14" s="397"/>
      <c r="AD14" s="398"/>
      <c r="AE14" s="396">
        <f>SUM('08'!L55:'08'!L59)</f>
        <v>0</v>
      </c>
      <c r="AF14" s="397"/>
      <c r="AG14" s="397"/>
      <c r="AH14" s="398"/>
      <c r="AI14" s="396">
        <f>SUM('09'!L55:'09'!L59)</f>
        <v>0</v>
      </c>
      <c r="AJ14" s="397"/>
      <c r="AK14" s="397"/>
      <c r="AL14" s="398"/>
      <c r="AM14" s="396">
        <f>SUM('10'!L55:'10'!L59)</f>
        <v>0</v>
      </c>
      <c r="AN14" s="397"/>
      <c r="AO14" s="397"/>
      <c r="AP14" s="398"/>
      <c r="AQ14" s="396">
        <f>SUM('11'!L55:'11'!L59)</f>
        <v>0</v>
      </c>
      <c r="AR14" s="397"/>
      <c r="AS14" s="397"/>
      <c r="AT14" s="398"/>
      <c r="AU14" s="396">
        <f>SUM('12'!L55:'12'!L59)</f>
        <v>0</v>
      </c>
      <c r="AV14" s="397"/>
      <c r="AW14" s="397"/>
      <c r="AX14" s="398"/>
      <c r="AZ14" s="211">
        <f t="shared" si="1"/>
        <v>64.77000000000001</v>
      </c>
      <c r="BA14" s="112">
        <f t="shared" ca="1" si="0"/>
        <v>9.2528571428571436</v>
      </c>
      <c r="BB14" s="3"/>
      <c r="BC14" s="3"/>
    </row>
    <row r="15" spans="1:55" ht="15.75">
      <c r="A15" s="189" t="s">
        <v>217</v>
      </c>
      <c r="B15" s="193">
        <v>7756.04</v>
      </c>
      <c r="C15" s="380">
        <f>SUM('01'!L60:'01'!L64)</f>
        <v>0</v>
      </c>
      <c r="D15" s="381"/>
      <c r="E15" s="381"/>
      <c r="F15" s="382"/>
      <c r="G15" s="380">
        <f>SUM('02'!L60:'02'!L64)</f>
        <v>665.77</v>
      </c>
      <c r="H15" s="381"/>
      <c r="I15" s="381"/>
      <c r="J15" s="382"/>
      <c r="K15" s="380">
        <f>SUM('03'!L60:'03'!L64)</f>
        <v>682.39</v>
      </c>
      <c r="L15" s="381"/>
      <c r="M15" s="381"/>
      <c r="N15" s="382"/>
      <c r="O15" s="380">
        <f>SUM('04'!L60:'04'!L64)</f>
        <v>550</v>
      </c>
      <c r="P15" s="381"/>
      <c r="Q15" s="381"/>
      <c r="R15" s="382"/>
      <c r="S15" s="380">
        <f>SUM('05'!L60:'05'!L64)</f>
        <v>652.44000000000005</v>
      </c>
      <c r="T15" s="381"/>
      <c r="U15" s="381"/>
      <c r="V15" s="382"/>
      <c r="W15" s="380">
        <f>SUM('06'!L60:'06'!L64)</f>
        <v>511.74</v>
      </c>
      <c r="X15" s="381"/>
      <c r="Y15" s="381"/>
      <c r="Z15" s="382"/>
      <c r="AA15" s="380">
        <f>SUM('07'!L60:'07'!L64)</f>
        <v>649.1</v>
      </c>
      <c r="AB15" s="381"/>
      <c r="AC15" s="381"/>
      <c r="AD15" s="382"/>
      <c r="AE15" s="380">
        <f>SUM('08'!L60:'08'!L64)</f>
        <v>0</v>
      </c>
      <c r="AF15" s="381"/>
      <c r="AG15" s="381"/>
      <c r="AH15" s="382"/>
      <c r="AI15" s="380">
        <f>SUM('09'!L60:'09'!L64)</f>
        <v>0</v>
      </c>
      <c r="AJ15" s="381"/>
      <c r="AK15" s="381"/>
      <c r="AL15" s="382"/>
      <c r="AM15" s="380">
        <f>SUM('10'!L60:'10'!L64)</f>
        <v>0</v>
      </c>
      <c r="AN15" s="381"/>
      <c r="AO15" s="381"/>
      <c r="AP15" s="382"/>
      <c r="AQ15" s="380">
        <f>SUM('11'!L60:'11'!L64)</f>
        <v>0</v>
      </c>
      <c r="AR15" s="381"/>
      <c r="AS15" s="381"/>
      <c r="AT15" s="382"/>
      <c r="AU15" s="380">
        <f>SUM('12'!L60:'12'!L64)</f>
        <v>0</v>
      </c>
      <c r="AV15" s="381"/>
      <c r="AW15" s="381"/>
      <c r="AX15" s="382"/>
      <c r="AZ15" s="210">
        <f t="shared" si="1"/>
        <v>3711.44</v>
      </c>
      <c r="BA15" s="112">
        <f t="shared" ca="1" si="0"/>
        <v>530.20571428571429</v>
      </c>
      <c r="BB15" s="1"/>
      <c r="BC15" s="1"/>
    </row>
    <row r="16" spans="1:55" ht="16.5" thickBot="1">
      <c r="A16" s="191" t="s">
        <v>42</v>
      </c>
      <c r="B16" s="196">
        <v>2018.96</v>
      </c>
      <c r="C16" s="380">
        <f>SUM('01'!L65:'01'!L69)</f>
        <v>85</v>
      </c>
      <c r="D16" s="381"/>
      <c r="E16" s="381"/>
      <c r="F16" s="382"/>
      <c r="G16" s="380">
        <f>SUM('02'!L65:'02'!L69)</f>
        <v>0</v>
      </c>
      <c r="H16" s="381"/>
      <c r="I16" s="381"/>
      <c r="J16" s="382"/>
      <c r="K16" s="380">
        <f>SUM('03'!L65:'03'!L69)</f>
        <v>0</v>
      </c>
      <c r="L16" s="381"/>
      <c r="M16" s="381"/>
      <c r="N16" s="382"/>
      <c r="O16" s="380">
        <f>SUM('04'!L65:'04'!L69)</f>
        <v>0</v>
      </c>
      <c r="P16" s="381"/>
      <c r="Q16" s="381"/>
      <c r="R16" s="382"/>
      <c r="S16" s="380">
        <f>SUM('05'!L65:'05'!L69)</f>
        <v>0</v>
      </c>
      <c r="T16" s="381"/>
      <c r="U16" s="381"/>
      <c r="V16" s="382"/>
      <c r="W16" s="399">
        <f>SUM('06'!L65:'06'!L69)</f>
        <v>0</v>
      </c>
      <c r="X16" s="400"/>
      <c r="Y16" s="400"/>
      <c r="Z16" s="401"/>
      <c r="AA16" s="399">
        <f>SUM('07'!L65:'07'!L69)</f>
        <v>0</v>
      </c>
      <c r="AB16" s="400"/>
      <c r="AC16" s="400"/>
      <c r="AD16" s="401"/>
      <c r="AE16" s="399">
        <f>SUM('08'!L65:'08'!L69)</f>
        <v>0</v>
      </c>
      <c r="AF16" s="400"/>
      <c r="AG16" s="400"/>
      <c r="AH16" s="401"/>
      <c r="AI16" s="399">
        <f>SUM('09'!L65:'09'!L69)</f>
        <v>0</v>
      </c>
      <c r="AJ16" s="400"/>
      <c r="AK16" s="400"/>
      <c r="AL16" s="401"/>
      <c r="AM16" s="399">
        <f>SUM('10'!L65:'10'!L69)</f>
        <v>0</v>
      </c>
      <c r="AN16" s="400"/>
      <c r="AO16" s="400"/>
      <c r="AP16" s="401"/>
      <c r="AQ16" s="399">
        <f>SUM('11'!L65:'11'!L69)</f>
        <v>0</v>
      </c>
      <c r="AR16" s="400"/>
      <c r="AS16" s="400"/>
      <c r="AT16" s="401"/>
      <c r="AU16" s="399">
        <f>SUM('12'!L65:'12'!L69)</f>
        <v>0</v>
      </c>
      <c r="AV16" s="400"/>
      <c r="AW16" s="400"/>
      <c r="AX16" s="401"/>
      <c r="AZ16" s="213">
        <f t="shared" si="1"/>
        <v>85</v>
      </c>
      <c r="BA16" s="112">
        <f t="shared" ca="1" si="0"/>
        <v>12.142857142857142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6">
        <f>SUM(C8:C16)</f>
        <v>3691.57</v>
      </c>
      <c r="D17" s="377"/>
      <c r="E17" s="377"/>
      <c r="F17" s="378"/>
      <c r="G17" s="376">
        <f>SUM(G8:G16)</f>
        <v>4821.67</v>
      </c>
      <c r="H17" s="377"/>
      <c r="I17" s="377"/>
      <c r="J17" s="378"/>
      <c r="K17" s="376">
        <f>SUM(K8:K16)</f>
        <v>8724.6099999999988</v>
      </c>
      <c r="L17" s="377"/>
      <c r="M17" s="377"/>
      <c r="N17" s="378"/>
      <c r="O17" s="376">
        <f>SUM(O8:O16)</f>
        <v>4322.7000000000007</v>
      </c>
      <c r="P17" s="377"/>
      <c r="Q17" s="377"/>
      <c r="R17" s="378"/>
      <c r="S17" s="376">
        <f>SUM(S8:S16)</f>
        <v>5958.3200000000015</v>
      </c>
      <c r="T17" s="377"/>
      <c r="U17" s="377"/>
      <c r="V17" s="378"/>
      <c r="W17" s="376">
        <f>SUM(W8:W16)</f>
        <v>4093.3200000000006</v>
      </c>
      <c r="X17" s="377"/>
      <c r="Y17" s="377"/>
      <c r="Z17" s="378"/>
      <c r="AA17" s="376">
        <f>SUM(AA8:AA16)</f>
        <v>1607</v>
      </c>
      <c r="AB17" s="377"/>
      <c r="AC17" s="377"/>
      <c r="AD17" s="378"/>
      <c r="AE17" s="376">
        <f>SUM(AE8:AE16)</f>
        <v>0</v>
      </c>
      <c r="AF17" s="377"/>
      <c r="AG17" s="377"/>
      <c r="AH17" s="378"/>
      <c r="AI17" s="376">
        <f>SUM(AI8:AI16)</f>
        <v>0</v>
      </c>
      <c r="AJ17" s="377"/>
      <c r="AK17" s="377"/>
      <c r="AL17" s="378"/>
      <c r="AM17" s="376">
        <f>SUM(AM8:AM16)</f>
        <v>0</v>
      </c>
      <c r="AN17" s="377"/>
      <c r="AO17" s="377"/>
      <c r="AP17" s="378"/>
      <c r="AQ17" s="376">
        <f>SUM(AQ8:AQ16)</f>
        <v>0</v>
      </c>
      <c r="AR17" s="377"/>
      <c r="AS17" s="377"/>
      <c r="AT17" s="378"/>
      <c r="AU17" s="376">
        <f>SUM(AU8:AU16)</f>
        <v>0</v>
      </c>
      <c r="AV17" s="377"/>
      <c r="AW17" s="377"/>
      <c r="AX17" s="378"/>
      <c r="AZ17" s="227">
        <f>SUM(AZ8:AZ16)</f>
        <v>33219.19</v>
      </c>
      <c r="BA17" s="112">
        <f ca="1">AZ17/BC$17</f>
        <v>4745.5985714285716</v>
      </c>
      <c r="BB17" s="1" t="s">
        <v>83</v>
      </c>
      <c r="BC17" s="1">
        <f ca="1">MONTH(TODAY())</f>
        <v>7</v>
      </c>
      <c r="BD17" s="39"/>
    </row>
    <row r="18" spans="1:62" ht="32.25" customHeight="1" thickTop="1" thickBot="1">
      <c r="A18" s="10"/>
      <c r="B18" s="10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 t="s">
        <v>173</v>
      </c>
      <c r="AV18" s="379"/>
      <c r="AW18" s="379"/>
      <c r="AX18" s="379"/>
      <c r="AZ18" s="131">
        <f>(2500*13)+(600*12)+(550*12)+(95*12)</f>
        <v>47440</v>
      </c>
      <c r="BA18" s="131">
        <f ca="1">12*BA17</f>
        <v>56947.182857142863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766.34999999999991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1310.3499999999999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1854.35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2398.35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2942.35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3486.35</v>
      </c>
      <c r="AZ20" s="123">
        <f t="shared" ref="AZ20:AZ27" si="14">E20+I20+M20+Q20+U20+Y20+AC20+AG20+AK20+AO20+AS20+AW20</f>
        <v>3690.3500000000004</v>
      </c>
      <c r="BA20" s="21">
        <f t="shared" ref="BA20:BA45" si="15">AZ20/AZ$46</f>
        <v>0.12786344509063066</v>
      </c>
      <c r="BB20" s="22">
        <f>_xlfn.RANK.EQ(BA20,$BA$20:$BA$45,)</f>
        <v>3</v>
      </c>
      <c r="BC20" s="22">
        <f t="shared" ref="BC20:BC45" ca="1" si="16">AZ20/BC$17</f>
        <v>527.19285714285718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4007.92</v>
      </c>
      <c r="BF20" s="21">
        <f t="shared" ref="BF20:BF45" ca="1" si="18">BE20/BE$46</f>
        <v>0.12065074434385666</v>
      </c>
      <c r="BG20" s="22">
        <f ca="1">_xlfn.RANK.EQ(BF20,$BF$20:$BF$45,)</f>
        <v>4</v>
      </c>
      <c r="BH20" s="22">
        <f t="shared" ref="BH20:BH45" ca="1" si="19">BE20/BC$17</f>
        <v>572.56000000000006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317.57000000000028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0</v>
      </c>
      <c r="AD21" s="151">
        <f t="shared" si="8"/>
        <v>1484.0899999999995</v>
      </c>
      <c r="AE21" s="148" t="s">
        <v>73</v>
      </c>
      <c r="AF21" s="149">
        <f>'08'!B40</f>
        <v>1148</v>
      </c>
      <c r="AG21" s="150">
        <f>SUM('08'!D40:F40)</f>
        <v>0</v>
      </c>
      <c r="AH21" s="151">
        <f t="shared" si="9"/>
        <v>2632.0899999999992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3760.0899999999992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4888.0899999999992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6016.0899999999992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7144.0899999999992</v>
      </c>
      <c r="AZ21" s="152">
        <f t="shared" si="14"/>
        <v>7229.77</v>
      </c>
      <c r="BA21" s="21">
        <f t="shared" si="15"/>
        <v>0.25049745943146007</v>
      </c>
      <c r="BB21" s="22">
        <f t="shared" ref="BB21:BB45" si="20">_xlfn.RANK.EQ(BA21,$BA$20:$BA$45,)</f>
        <v>1</v>
      </c>
      <c r="BC21" s="22">
        <f t="shared" ca="1" si="16"/>
        <v>1032.8242857142857</v>
      </c>
      <c r="BE21" s="224">
        <f t="shared" ca="1" si="17"/>
        <v>8061</v>
      </c>
      <c r="BF21" s="21">
        <f t="shared" ca="1" si="18"/>
        <v>0.24266094387009435</v>
      </c>
      <c r="BG21" s="22">
        <f t="shared" ref="BG21:BG45" ca="1" si="21">_xlfn.RANK.EQ(BF21,$BF$20:$BF$45,)</f>
        <v>1</v>
      </c>
      <c r="BH21" s="22">
        <f t="shared" ca="1" si="19"/>
        <v>1151.5714285714287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831.22999999999979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300</v>
      </c>
      <c r="AC22" s="155">
        <f>SUM('07'!D60:F60)</f>
        <v>15.8</v>
      </c>
      <c r="AD22" s="156">
        <f t="shared" si="8"/>
        <v>773.88000000000022</v>
      </c>
      <c r="AE22" s="143" t="s">
        <v>73</v>
      </c>
      <c r="AF22" s="155">
        <f>'08'!B60</f>
        <v>300</v>
      </c>
      <c r="AG22" s="155">
        <f>SUM('08'!D60:F60)</f>
        <v>0</v>
      </c>
      <c r="AH22" s="156">
        <f t="shared" si="9"/>
        <v>1073.8800000000001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1563.88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2053.88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2543.88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3033.88</v>
      </c>
      <c r="AZ22" s="157">
        <f t="shared" si="14"/>
        <v>1926.19</v>
      </c>
      <c r="BA22" s="21">
        <f t="shared" si="15"/>
        <v>6.6738734618429649E-2</v>
      </c>
      <c r="BB22" s="22">
        <f t="shared" si="20"/>
        <v>6</v>
      </c>
      <c r="BC22" s="22">
        <f t="shared" ca="1" si="16"/>
        <v>275.17</v>
      </c>
      <c r="BE22" s="225">
        <f t="shared" ca="1" si="17"/>
        <v>2454</v>
      </c>
      <c r="BF22" s="21">
        <f t="shared" ca="1" si="18"/>
        <v>7.3872963187844129E-2</v>
      </c>
      <c r="BG22" s="22">
        <f t="shared" ca="1" si="21"/>
        <v>6</v>
      </c>
      <c r="BH22" s="22">
        <f t="shared" ca="1" si="19"/>
        <v>350.57142857142856</v>
      </c>
      <c r="BJ22" s="225">
        <f t="shared" ca="1" si="22"/>
        <v>527.81000000000006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0</v>
      </c>
      <c r="AD23" s="151">
        <f t="shared" si="8"/>
        <v>271.68000000000006</v>
      </c>
      <c r="AE23" s="148" t="s">
        <v>73</v>
      </c>
      <c r="AF23" s="149">
        <f>'08'!B80</f>
        <v>170</v>
      </c>
      <c r="AG23" s="150">
        <f>SUM('08'!D80:F80)</f>
        <v>0</v>
      </c>
      <c r="AH23" s="151">
        <f t="shared" si="9"/>
        <v>441.68000000000006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591.68000000000006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741.68000000000006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891.68000000000006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1041.68</v>
      </c>
      <c r="AZ23" s="152">
        <f t="shared" si="14"/>
        <v>1005.4499999999999</v>
      </c>
      <c r="BA23" s="21">
        <f t="shared" si="15"/>
        <v>3.4836885625042224E-2</v>
      </c>
      <c r="BB23" s="22">
        <f t="shared" si="20"/>
        <v>7</v>
      </c>
      <c r="BC23" s="22">
        <f t="shared" ca="1" si="16"/>
        <v>143.63571428571427</v>
      </c>
      <c r="BE23" s="224">
        <f t="shared" ca="1" si="17"/>
        <v>1235</v>
      </c>
      <c r="BF23" s="21">
        <f t="shared" ca="1" si="18"/>
        <v>3.717730624979116E-2</v>
      </c>
      <c r="BG23" s="22">
        <f t="shared" ca="1" si="21"/>
        <v>9</v>
      </c>
      <c r="BH23" s="22">
        <f t="shared" ca="1" si="19"/>
        <v>176.42857142857142</v>
      </c>
      <c r="BJ23" s="224">
        <f t="shared" ca="1" si="22"/>
        <v>229.55000000000004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250.01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410.01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570.01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730.01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890.01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1050.01</v>
      </c>
      <c r="AZ24" s="157">
        <f t="shared" si="14"/>
        <v>899.99</v>
      </c>
      <c r="BA24" s="21">
        <f t="shared" si="15"/>
        <v>3.1182901878444233E-2</v>
      </c>
      <c r="BB24" s="22">
        <f t="shared" si="20"/>
        <v>9</v>
      </c>
      <c r="BC24" s="22">
        <f t="shared" ca="1" si="16"/>
        <v>128.57</v>
      </c>
      <c r="BE24" s="225">
        <f t="shared" ca="1" si="17"/>
        <v>1150</v>
      </c>
      <c r="BF24" s="21">
        <f t="shared" ca="1" si="18"/>
        <v>3.4618544281182051E-2</v>
      </c>
      <c r="BG24" s="22">
        <f t="shared" ca="1" si="21"/>
        <v>11</v>
      </c>
      <c r="BH24" s="22">
        <f t="shared" ca="1" si="19"/>
        <v>164.28571428571428</v>
      </c>
      <c r="BJ24" s="225">
        <f t="shared" ca="1" si="22"/>
        <v>250.01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445</v>
      </c>
      <c r="AC25" s="150">
        <f>SUM('07'!D120:F120)</f>
        <v>0</v>
      </c>
      <c r="AD25" s="151">
        <f t="shared" si="8"/>
        <v>3417.6199999999976</v>
      </c>
      <c r="AE25" s="148" t="s">
        <v>73</v>
      </c>
      <c r="AF25" s="149">
        <f>'08'!B120</f>
        <v>445</v>
      </c>
      <c r="AG25" s="150">
        <f>SUM('08'!D120:F120)</f>
        <v>0</v>
      </c>
      <c r="AH25" s="151">
        <f t="shared" si="9"/>
        <v>3862.6199999999976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4267.6199999999972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4672.6199999999972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5077.6199999999972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5482.6199999999972</v>
      </c>
      <c r="AZ25" s="152">
        <f t="shared" si="14"/>
        <v>2028.2800000000002</v>
      </c>
      <c r="BA25" s="21">
        <f t="shared" si="15"/>
        <v>7.0275954423950127E-2</v>
      </c>
      <c r="BB25" s="22">
        <f t="shared" si="20"/>
        <v>4</v>
      </c>
      <c r="BC25" s="22">
        <f t="shared" ca="1" si="16"/>
        <v>289.75428571428574</v>
      </c>
      <c r="BE25" s="224">
        <f t="shared" ca="1" si="17"/>
        <v>2283.35</v>
      </c>
      <c r="BF25" s="21">
        <f t="shared" ca="1" si="18"/>
        <v>6.8735872247336544E-2</v>
      </c>
      <c r="BG25" s="22">
        <f t="shared" ca="1" si="21"/>
        <v>7</v>
      </c>
      <c r="BH25" s="22">
        <f t="shared" ca="1" si="19"/>
        <v>326.19285714285712</v>
      </c>
      <c r="BJ25" s="224">
        <f t="shared" ca="1" si="22"/>
        <v>255.06999999999925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0</v>
      </c>
      <c r="AD26" s="156">
        <f t="shared" si="8"/>
        <v>73.03</v>
      </c>
      <c r="AE26" s="143" t="s">
        <v>73</v>
      </c>
      <c r="AF26" s="155">
        <f>'08'!B140</f>
        <v>53</v>
      </c>
      <c r="AG26" s="155">
        <f>SUM('08'!D140:F140)</f>
        <v>0</v>
      </c>
      <c r="AH26" s="156">
        <f t="shared" si="9"/>
        <v>126.03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174.03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222.03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270.02999999999997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318.02999999999997</v>
      </c>
      <c r="AZ26" s="157">
        <f t="shared" si="14"/>
        <v>312.96000000000004</v>
      </c>
      <c r="BA26" s="21">
        <f t="shared" si="15"/>
        <v>1.0843454896029853E-2</v>
      </c>
      <c r="BB26" s="22">
        <f t="shared" si="20"/>
        <v>17</v>
      </c>
      <c r="BC26" s="22">
        <f t="shared" ca="1" si="16"/>
        <v>44.708571428571432</v>
      </c>
      <c r="BE26" s="225">
        <f t="shared" ca="1" si="17"/>
        <v>366.45</v>
      </c>
      <c r="BF26" s="21">
        <f t="shared" ca="1" si="18"/>
        <v>1.1031274392903618E-2</v>
      </c>
      <c r="BG26" s="22">
        <f t="shared" ca="1" si="21"/>
        <v>17</v>
      </c>
      <c r="BH26" s="22">
        <f t="shared" ca="1" si="19"/>
        <v>52.35</v>
      </c>
      <c r="BJ26" s="225">
        <f t="shared" ca="1" si="22"/>
        <v>53.490000000000052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1.0893694573941544E-2</v>
      </c>
      <c r="BB27" s="22">
        <f t="shared" si="20"/>
        <v>16</v>
      </c>
      <c r="BC27" s="22">
        <f t="shared" ca="1" si="16"/>
        <v>44.91571428571428</v>
      </c>
      <c r="BE27" s="224">
        <f t="shared" ca="1" si="17"/>
        <v>290</v>
      </c>
      <c r="BF27" s="21">
        <f t="shared" ca="1" si="18"/>
        <v>8.7298937752546043E-3</v>
      </c>
      <c r="BG27" s="22">
        <f t="shared" ca="1" si="21"/>
        <v>18</v>
      </c>
      <c r="BH27" s="22">
        <f t="shared" ca="1" si="19"/>
        <v>41.428571428571431</v>
      </c>
      <c r="BJ27" s="224">
        <f t="shared" ca="1" si="22"/>
        <v>-24.409999999999968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1696.2800000000002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1896.2800000000002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2096.2800000000002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2296.2800000000002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2496.2800000000002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2696.28</v>
      </c>
      <c r="AZ28" s="182">
        <f t="shared" ref="AZ28:AZ45" si="23">E28+I28+M28+Q28+U28+Y28+AC28+AG28+AK28+AO28+AS28+AW28</f>
        <v>1992.81</v>
      </c>
      <c r="BA28" s="21">
        <f t="shared" si="15"/>
        <v>6.904698795806892E-2</v>
      </c>
      <c r="BB28" s="22">
        <f t="shared" si="20"/>
        <v>5</v>
      </c>
      <c r="BC28" s="22">
        <f t="shared" ca="1" si="16"/>
        <v>284.68714285714287</v>
      </c>
      <c r="BE28" s="223">
        <f t="shared" ca="1" si="17"/>
        <v>3080.04</v>
      </c>
      <c r="BF28" s="21">
        <f t="shared" ca="1" si="18"/>
        <v>9.271869663287996E-2</v>
      </c>
      <c r="BG28" s="22">
        <f t="shared" ca="1" si="21"/>
        <v>5</v>
      </c>
      <c r="BH28" s="22">
        <f t="shared" ca="1" si="19"/>
        <v>440.0057142857143</v>
      </c>
      <c r="BJ28" s="223">
        <f t="shared" ca="1" si="22"/>
        <v>1087.23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115.02000000000007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185.02000000000007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255.02000000000007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325.0200000000001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395.0200000000001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465.0200000000001</v>
      </c>
      <c r="AZ29" s="152">
        <f t="shared" si="23"/>
        <v>312.31</v>
      </c>
      <c r="BA29" s="21">
        <f t="shared" si="15"/>
        <v>1.0820933661103921E-2</v>
      </c>
      <c r="BB29" s="22">
        <f t="shared" si="20"/>
        <v>18</v>
      </c>
      <c r="BC29" s="22">
        <f t="shared" ca="1" si="16"/>
        <v>44.615714285714283</v>
      </c>
      <c r="BE29" s="224">
        <f t="shared" ca="1" si="17"/>
        <v>474</v>
      </c>
      <c r="BF29" s="21">
        <f t="shared" ca="1" si="18"/>
        <v>1.4268860860243732E-2</v>
      </c>
      <c r="BG29" s="22">
        <f t="shared" ca="1" si="21"/>
        <v>15</v>
      </c>
      <c r="BH29" s="22">
        <f t="shared" ca="1" si="19"/>
        <v>67.714285714285708</v>
      </c>
      <c r="BJ29" s="224">
        <f t="shared" ca="1" si="22"/>
        <v>161.69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48.519999999999996</v>
      </c>
      <c r="AD30" s="161">
        <f t="shared" si="8"/>
        <v>78.569999999999979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113.56999999999998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148.57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183.57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218.57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253.57</v>
      </c>
      <c r="AZ30" s="157">
        <f t="shared" si="23"/>
        <v>179.59999999999997</v>
      </c>
      <c r="BA30" s="21">
        <f t="shared" si="15"/>
        <v>6.2227904503034288E-3</v>
      </c>
      <c r="BB30" s="22">
        <f t="shared" si="20"/>
        <v>19</v>
      </c>
      <c r="BC30" s="22">
        <f t="shared" ca="1" si="16"/>
        <v>25.657142857142851</v>
      </c>
      <c r="BE30" s="225">
        <f t="shared" ca="1" si="17"/>
        <v>285</v>
      </c>
      <c r="BF30" s="21">
        <f t="shared" ca="1" si="18"/>
        <v>8.5793783653364212E-3</v>
      </c>
      <c r="BG30" s="22">
        <f t="shared" ca="1" si="21"/>
        <v>19</v>
      </c>
      <c r="BH30" s="22">
        <f t="shared" ca="1" si="19"/>
        <v>40.714285714285715</v>
      </c>
      <c r="BJ30" s="225">
        <f t="shared" ca="1" si="22"/>
        <v>105.4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79.659999999999982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99.659999999999982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119.65999999999998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139.65999999999997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159.65999999999997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179.65999999999997</v>
      </c>
      <c r="AZ31" s="152">
        <f t="shared" si="23"/>
        <v>136.38</v>
      </c>
      <c r="BA31" s="21">
        <f t="shared" si="15"/>
        <v>4.7253015679976709E-3</v>
      </c>
      <c r="BB31" s="22">
        <f t="shared" si="20"/>
        <v>21</v>
      </c>
      <c r="BC31" s="22">
        <f t="shared" ca="1" si="16"/>
        <v>19.482857142857142</v>
      </c>
      <c r="BE31" s="224">
        <f t="shared" ca="1" si="17"/>
        <v>140</v>
      </c>
      <c r="BF31" s="21">
        <f t="shared" ca="1" si="18"/>
        <v>4.214431477709119E-3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3.6199999999999761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100</v>
      </c>
      <c r="AC32" s="155">
        <f>SUM('07'!D260:F260)</f>
        <v>0</v>
      </c>
      <c r="AD32" s="161">
        <f t="shared" si="8"/>
        <v>913.29</v>
      </c>
      <c r="AE32" s="143" t="s">
        <v>73</v>
      </c>
      <c r="AF32" s="155">
        <f>'08'!B260</f>
        <v>100</v>
      </c>
      <c r="AG32" s="155">
        <f>SUM('08'!D260:F260)</f>
        <v>0</v>
      </c>
      <c r="AH32" s="161">
        <f t="shared" si="9"/>
        <v>1013.29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1063.29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1113.29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1163.29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1213.29</v>
      </c>
      <c r="AZ32" s="157">
        <f t="shared" si="23"/>
        <v>485.59</v>
      </c>
      <c r="BA32" s="21">
        <f t="shared" si="15"/>
        <v>1.6824748411819836E-2</v>
      </c>
      <c r="BB32" s="22">
        <f t="shared" si="20"/>
        <v>13</v>
      </c>
      <c r="BC32" s="22">
        <f t="shared" ca="1" si="16"/>
        <v>69.36999999999999</v>
      </c>
      <c r="BE32" s="225">
        <f t="shared" ca="1" si="17"/>
        <v>1413.13</v>
      </c>
      <c r="BF32" s="21">
        <f t="shared" ca="1" si="18"/>
        <v>4.2539568243536344E-2</v>
      </c>
      <c r="BG32" s="22">
        <f t="shared" ca="1" si="21"/>
        <v>8</v>
      </c>
      <c r="BH32" s="22">
        <f t="shared" ca="1" si="19"/>
        <v>201.87571428571431</v>
      </c>
      <c r="BJ32" s="225">
        <f t="shared" ca="1" si="22"/>
        <v>927.54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446.09000000000026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496.09000000000026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546.09000000000026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596.09000000000026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646.09000000000026</v>
      </c>
      <c r="AZ33" s="152">
        <f t="shared" si="23"/>
        <v>4395.8500000000004</v>
      </c>
      <c r="BA33" s="21">
        <f t="shared" si="15"/>
        <v>0.15230764699869898</v>
      </c>
      <c r="BB33" s="22">
        <f t="shared" si="20"/>
        <v>2</v>
      </c>
      <c r="BC33" s="22">
        <f t="shared" ca="1" si="16"/>
        <v>627.97857142857151</v>
      </c>
      <c r="BE33" s="224">
        <f t="shared" ca="1" si="17"/>
        <v>4371.9400000000005</v>
      </c>
      <c r="BF33" s="21">
        <f t="shared" ca="1" si="18"/>
        <v>0.13160886824754006</v>
      </c>
      <c r="BG33" s="22">
        <f t="shared" ca="1" si="21"/>
        <v>2</v>
      </c>
      <c r="BH33" s="22">
        <f t="shared" ca="1" si="19"/>
        <v>624.56285714285718</v>
      </c>
      <c r="BJ33" s="224">
        <f t="shared" ca="1" si="22"/>
        <v>-23.909999999999741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172.9099999999998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262.9099999999998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352.9099999999998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442.9099999999998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532.90999999999985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622.90999999999985</v>
      </c>
      <c r="AZ34" s="152">
        <f t="shared" si="23"/>
        <v>983.10000000000014</v>
      </c>
      <c r="BA34" s="21">
        <f t="shared" si="15"/>
        <v>3.4062501624127522E-2</v>
      </c>
      <c r="BB34" s="22">
        <f t="shared" si="20"/>
        <v>8</v>
      </c>
      <c r="BC34" s="22">
        <f t="shared" ca="1" si="16"/>
        <v>140.44285714285715</v>
      </c>
      <c r="BE34" s="225">
        <f t="shared" ca="1" si="17"/>
        <v>1054.4099999999999</v>
      </c>
      <c r="BF34" s="21">
        <f t="shared" ca="1" si="18"/>
        <v>3.1740990674366226E-2</v>
      </c>
      <c r="BG34" s="22">
        <f t="shared" ca="1" si="21"/>
        <v>12</v>
      </c>
      <c r="BH34" s="22">
        <f t="shared" ca="1" si="19"/>
        <v>150.62999999999997</v>
      </c>
      <c r="BJ34" s="225">
        <f t="shared" ca="1" si="22"/>
        <v>71.309999999999889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130</v>
      </c>
      <c r="AC35" s="186">
        <f>SUM('07'!D320:F320)</f>
        <v>77.5</v>
      </c>
      <c r="AD35" s="187">
        <f t="shared" si="8"/>
        <v>1782.9800000000005</v>
      </c>
      <c r="AE35" s="185" t="s">
        <v>73</v>
      </c>
      <c r="AF35" s="186">
        <f>'08'!B320</f>
        <v>130</v>
      </c>
      <c r="AG35" s="186">
        <f>SUM('08'!D320:F320)</f>
        <v>0</v>
      </c>
      <c r="AH35" s="187">
        <f t="shared" si="9"/>
        <v>1912.9800000000005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2027.9800000000005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2142.9800000000005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2257.9800000000005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2372.9800000000005</v>
      </c>
      <c r="AZ35" s="188">
        <f t="shared" si="23"/>
        <v>892.6</v>
      </c>
      <c r="BA35" s="21">
        <f t="shared" si="15"/>
        <v>3.0926852761363262E-2</v>
      </c>
      <c r="BB35" s="22">
        <f t="shared" si="20"/>
        <v>10</v>
      </c>
      <c r="BC35" s="22">
        <f t="shared" ca="1" si="16"/>
        <v>127.51428571428572</v>
      </c>
      <c r="BE35" s="224">
        <f t="shared" ca="1" si="17"/>
        <v>1185.98</v>
      </c>
      <c r="BF35" s="21">
        <f t="shared" ca="1" si="18"/>
        <v>3.5701653170953293E-2</v>
      </c>
      <c r="BG35" s="22">
        <f t="shared" ca="1" si="21"/>
        <v>10</v>
      </c>
      <c r="BH35" s="22">
        <f t="shared" ca="1" si="19"/>
        <v>169.42571428571429</v>
      </c>
      <c r="BJ35" s="224">
        <f t="shared" ca="1" si="22"/>
        <v>293.38000000000011</v>
      </c>
    </row>
    <row r="36" spans="1:62" ht="15.75">
      <c r="A36" s="163" t="s">
        <v>570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309.92000000000007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399.92000000000007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489.92000000000007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579.92000000000007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669.92000000000007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759.92000000000007</v>
      </c>
      <c r="AZ36" s="182">
        <f t="shared" si="23"/>
        <v>531.08999999999992</v>
      </c>
      <c r="BA36" s="21">
        <f t="shared" si="15"/>
        <v>1.8401234856635012E-2</v>
      </c>
      <c r="BB36" s="22">
        <f t="shared" si="20"/>
        <v>11</v>
      </c>
      <c r="BC36" s="22">
        <f t="shared" ca="1" si="16"/>
        <v>75.86999999999999</v>
      </c>
      <c r="BE36" s="223">
        <f t="shared" ca="1" si="17"/>
        <v>740.02</v>
      </c>
      <c r="BF36" s="21">
        <f t="shared" ca="1" si="18"/>
        <v>2.2276882729530729E-2</v>
      </c>
      <c r="BG36" s="22">
        <f t="shared" ca="1" si="21"/>
        <v>13</v>
      </c>
      <c r="BH36" s="22">
        <f t="shared" ca="1" si="19"/>
        <v>105.71714285714286</v>
      </c>
      <c r="BJ36" s="223">
        <f t="shared" ca="1" si="22"/>
        <v>208.93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50</v>
      </c>
      <c r="AC37" s="165">
        <f>SUM('07'!D360:F360)</f>
        <v>0</v>
      </c>
      <c r="AD37" s="151">
        <f t="shared" si="8"/>
        <v>275.73</v>
      </c>
      <c r="AE37" s="148" t="s">
        <v>73</v>
      </c>
      <c r="AF37" s="165">
        <f>'08'!B360</f>
        <v>50</v>
      </c>
      <c r="AG37" s="165">
        <f>SUM('08'!D360:F360)</f>
        <v>0</v>
      </c>
      <c r="AH37" s="151">
        <f t="shared" si="9"/>
        <v>325.73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370.73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415.73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460.73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505.73</v>
      </c>
      <c r="AZ37" s="152">
        <f t="shared" si="23"/>
        <v>367.65</v>
      </c>
      <c r="BA37" s="21">
        <f t="shared" si="15"/>
        <v>1.2738356954643964E-2</v>
      </c>
      <c r="BB37" s="22">
        <f t="shared" si="20"/>
        <v>15</v>
      </c>
      <c r="BC37" s="22">
        <f t="shared" ca="1" si="16"/>
        <v>52.521428571428565</v>
      </c>
      <c r="BE37" s="224">
        <f t="shared" ca="1" si="17"/>
        <v>370</v>
      </c>
      <c r="BF37" s="21">
        <f t="shared" ca="1" si="18"/>
        <v>1.1138140333945529E-2</v>
      </c>
      <c r="BG37" s="22">
        <f t="shared" ca="1" si="21"/>
        <v>16</v>
      </c>
      <c r="BH37" s="22">
        <f t="shared" ca="1" si="19"/>
        <v>52.857142857142854</v>
      </c>
      <c r="BJ37" s="224">
        <f t="shared" ca="1" si="22"/>
        <v>2.3500000000000227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</v>
      </c>
      <c r="AD38" s="156">
        <f t="shared" si="8"/>
        <v>107.63000000000005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177.63000000000005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247.63000000000005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317.63000000000005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387.63000000000005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457.63000000000005</v>
      </c>
      <c r="AZ38" s="157">
        <f t="shared" si="23"/>
        <v>451.57000000000005</v>
      </c>
      <c r="BA38" s="21">
        <f t="shared" si="15"/>
        <v>1.5646021623850336E-2</v>
      </c>
      <c r="BB38" s="22">
        <f t="shared" si="20"/>
        <v>14</v>
      </c>
      <c r="BC38" s="22">
        <f t="shared" ca="1" si="16"/>
        <v>64.510000000000005</v>
      </c>
      <c r="BE38" s="225">
        <f t="shared" ca="1" si="17"/>
        <v>520</v>
      </c>
      <c r="BF38" s="21">
        <f t="shared" ca="1" si="18"/>
        <v>1.5653602631491015E-2</v>
      </c>
      <c r="BG38" s="22">
        <f t="shared" ca="1" si="21"/>
        <v>14</v>
      </c>
      <c r="BH38" s="22">
        <f t="shared" ca="1" si="19"/>
        <v>74.285714285714292</v>
      </c>
      <c r="BJ38" s="225">
        <f t="shared" ca="1" si="22"/>
        <v>68.430000000000021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46.259999999999991</v>
      </c>
      <c r="AE39" s="148" t="s">
        <v>73</v>
      </c>
      <c r="AF39" s="165">
        <f>'08'!B400</f>
        <v>10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-1133.74</v>
      </c>
      <c r="BF39" s="21">
        <f t="shared" ca="1" si="18"/>
        <v>-3.4129068168128121E-2</v>
      </c>
      <c r="BG39" s="22">
        <f t="shared" ca="1" si="21"/>
        <v>25</v>
      </c>
      <c r="BH39" s="22">
        <f t="shared" ca="1" si="19"/>
        <v>-161.96285714285713</v>
      </c>
      <c r="BJ39" s="224">
        <f t="shared" ca="1" si="22"/>
        <v>-1133.74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51</v>
      </c>
      <c r="AC40" s="166">
        <f>SUM('07'!D420:F420)</f>
        <v>3.06</v>
      </c>
      <c r="AD40" s="156">
        <f t="shared" si="8"/>
        <v>130.92000000000058</v>
      </c>
      <c r="AE40" s="143" t="s">
        <v>73</v>
      </c>
      <c r="AF40" s="166">
        <f>'08'!B420</f>
        <v>50</v>
      </c>
      <c r="AG40" s="166">
        <f>SUM('08'!D420:F420)</f>
        <v>0</v>
      </c>
      <c r="AH40" s="156">
        <f t="shared" si="9"/>
        <v>180.92000000000058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200.92000000000058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220.92000000000058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240.92000000000058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260.92000000000058</v>
      </c>
      <c r="AZ40" s="157">
        <f t="shared" si="23"/>
        <v>161.12</v>
      </c>
      <c r="BA40" s="21">
        <f t="shared" si="15"/>
        <v>5.5824944173323426E-3</v>
      </c>
      <c r="BB40" s="22">
        <f t="shared" si="20"/>
        <v>20</v>
      </c>
      <c r="BC40" s="22">
        <f t="shared" ca="1" si="16"/>
        <v>23.017142857142858</v>
      </c>
      <c r="BE40" s="225">
        <f t="shared" ca="1" si="17"/>
        <v>-512.47</v>
      </c>
      <c r="BF40" s="21">
        <f t="shared" ca="1" si="18"/>
        <v>-1.5426926424154231E-2</v>
      </c>
      <c r="BG40" s="22">
        <f t="shared" ca="1" si="21"/>
        <v>24</v>
      </c>
      <c r="BH40" s="22">
        <f t="shared" ca="1" si="19"/>
        <v>-73.210000000000008</v>
      </c>
      <c r="BJ40" s="225">
        <f t="shared" ca="1" si="22"/>
        <v>-673.58999999999992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-2294</v>
      </c>
      <c r="AC41" s="165">
        <f>SUM('07'!D440:F440)</f>
        <v>0</v>
      </c>
      <c r="AD41" s="151">
        <f t="shared" si="8"/>
        <v>5706.2900000000009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1806.2900000000009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-2093.7099999999991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-5993.7099999999991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-9893.7099999999991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-13793.71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-2843.7099999999973</v>
      </c>
      <c r="BF41" s="21">
        <f t="shared" ca="1" si="18"/>
        <v>-8.560443526768706E-2</v>
      </c>
      <c r="BG41" s="22">
        <f t="shared" ca="1" si="21"/>
        <v>26</v>
      </c>
      <c r="BH41" s="22">
        <f t="shared" ca="1" si="19"/>
        <v>-406.24428571428535</v>
      </c>
      <c r="BJ41" s="224">
        <f t="shared" ca="1" si="22"/>
        <v>-2843.7099999999973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0.12180429444546963</v>
      </c>
      <c r="BG42" s="22">
        <f t="shared" ca="1" si="21"/>
        <v>3</v>
      </c>
      <c r="BH42" s="22">
        <f t="shared" ca="1" si="19"/>
        <v>578.03428571428572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65</v>
      </c>
      <c r="AG43" s="149">
        <f>SUM('08'!D480:F480)</f>
        <v>0</v>
      </c>
      <c r="AH43" s="151">
        <f t="shared" si="9"/>
        <v>708.63000000000011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758.63000000000011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808.63000000000011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858.63000000000011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908.63000000000011</v>
      </c>
      <c r="AZ43" s="152">
        <f t="shared" si="23"/>
        <v>500</v>
      </c>
      <c r="BA43" s="21">
        <f t="shared" si="15"/>
        <v>1.7324026866100864E-2</v>
      </c>
      <c r="BB43" s="22">
        <f t="shared" si="20"/>
        <v>12</v>
      </c>
      <c r="BC43" s="22">
        <f t="shared" ca="1" si="16"/>
        <v>71.428571428571431</v>
      </c>
      <c r="BE43" s="224">
        <f t="shared" ca="1" si="17"/>
        <v>180.63000000000005</v>
      </c>
      <c r="BF43" s="21">
        <f t="shared" ca="1" si="18"/>
        <v>5.4375196987042742E-3</v>
      </c>
      <c r="BG43" s="22">
        <f t="shared" ca="1" si="21"/>
        <v>20</v>
      </c>
      <c r="BH43" s="22">
        <f t="shared" ca="1" si="19"/>
        <v>25.804285714285722</v>
      </c>
      <c r="BJ43" s="224">
        <f t="shared" ca="1" si="22"/>
        <v>-319.36999999999989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2.2375713100255875E-3</v>
      </c>
      <c r="BB45" s="22">
        <f t="shared" si="20"/>
        <v>22</v>
      </c>
      <c r="BC45" s="22">
        <f t="shared" ca="1" si="16"/>
        <v>9.225714285714286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1607</v>
      </c>
      <c r="AC46" s="219">
        <f>SUM(AC20:AC45)</f>
        <v>148.88</v>
      </c>
      <c r="AD46" s="220">
        <f>SUM(AD20:AD45)</f>
        <v>30741.079999999998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30741.08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30741.08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30741.08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30741.08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30741.08</v>
      </c>
      <c r="AZ46" s="227">
        <f>SUM(AZ20:AZ45)</f>
        <v>28861.65</v>
      </c>
      <c r="BA46" s="1"/>
      <c r="BB46" s="1"/>
      <c r="BC46" s="124">
        <f ca="1">SUM(BC20:BC45)</f>
        <v>4123.0928571428567</v>
      </c>
      <c r="BE46" s="227">
        <f ca="1">SUM(BE20:BE45)</f>
        <v>33219.19</v>
      </c>
      <c r="BF46" s="1"/>
      <c r="BG46" s="1"/>
      <c r="BH46" s="124">
        <f ca="1">SUM(BH20:BH45)</f>
        <v>4745.5985714285725</v>
      </c>
      <c r="BJ46" s="227">
        <f ca="1">SUM(BJ20:BJ45)</f>
        <v>4357.5400000000036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1458.12</v>
      </c>
      <c r="AD47" s="125"/>
      <c r="AE47" s="125">
        <f>AE5-AD46</f>
        <v>-1458.119999999999</v>
      </c>
      <c r="AF47" s="125">
        <f>AE17-AF46</f>
        <v>0</v>
      </c>
      <c r="AG47" s="125">
        <f>AE17-AG46</f>
        <v>0</v>
      </c>
      <c r="AH47" s="125"/>
      <c r="AI47" s="125">
        <f>AI5-AH46</f>
        <v>-15639.19</v>
      </c>
      <c r="AJ47" s="125">
        <f>AI17-AJ46</f>
        <v>0</v>
      </c>
      <c r="AK47" s="125">
        <f>AI17-AK46</f>
        <v>0</v>
      </c>
      <c r="AL47" s="125"/>
      <c r="AM47" s="125">
        <f>AM5-AL46</f>
        <v>-15639.19</v>
      </c>
      <c r="AN47" s="125">
        <f>AM17-AN46</f>
        <v>0</v>
      </c>
      <c r="AO47" s="125">
        <f>AM17-AO46</f>
        <v>0</v>
      </c>
      <c r="AP47" s="125"/>
      <c r="AQ47" s="125">
        <f>AQ5-AP46</f>
        <v>-15639.19</v>
      </c>
      <c r="AR47" s="125">
        <f>AQ17-AR46</f>
        <v>0</v>
      </c>
      <c r="AS47" s="125">
        <f>AQ17-AS46</f>
        <v>0</v>
      </c>
      <c r="AT47" s="140"/>
      <c r="AU47" s="125">
        <f>AU5-AT46</f>
        <v>-15639.19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49477.114285714284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611</v>
      </c>
      <c r="W50" s="119"/>
      <c r="X50" s="119"/>
      <c r="Y50" s="119">
        <f>Y22+(N59/2)</f>
        <v>300.02000000000004</v>
      </c>
      <c r="Z50" s="119" t="s">
        <v>653</v>
      </c>
      <c r="AA50" s="119"/>
      <c r="AB50" s="119"/>
      <c r="AC50" s="119">
        <f>AC22</f>
        <v>15.8</v>
      </c>
      <c r="AD50" s="119" t="s">
        <v>611</v>
      </c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6" t="s">
        <v>149</v>
      </c>
      <c r="D52" s="347"/>
      <c r="E52" s="347"/>
      <c r="F52" s="348"/>
      <c r="G52" s="346" t="s">
        <v>149</v>
      </c>
      <c r="H52" s="347"/>
      <c r="I52" s="347"/>
      <c r="J52" s="348"/>
      <c r="K52" s="346" t="s">
        <v>149</v>
      </c>
      <c r="L52" s="347"/>
      <c r="M52" s="347"/>
      <c r="N52" s="348"/>
      <c r="O52" s="346" t="s">
        <v>149</v>
      </c>
      <c r="P52" s="347"/>
      <c r="Q52" s="347"/>
      <c r="R52" s="348"/>
      <c r="S52" s="346" t="s">
        <v>149</v>
      </c>
      <c r="T52" s="347"/>
      <c r="U52" s="347"/>
      <c r="V52" s="348"/>
      <c r="W52" s="346" t="s">
        <v>149</v>
      </c>
      <c r="X52" s="347"/>
      <c r="Y52" s="347"/>
      <c r="Z52" s="348"/>
      <c r="AA52" s="346" t="s">
        <v>149</v>
      </c>
      <c r="AB52" s="347"/>
      <c r="AC52" s="347"/>
      <c r="AD52" s="348"/>
      <c r="AE52" s="346" t="s">
        <v>149</v>
      </c>
      <c r="AF52" s="347"/>
      <c r="AG52" s="347"/>
      <c r="AH52" s="348"/>
      <c r="AI52" s="346" t="s">
        <v>149</v>
      </c>
      <c r="AJ52" s="347"/>
      <c r="AK52" s="347"/>
      <c r="AL52" s="348"/>
      <c r="AM52" s="346" t="s">
        <v>149</v>
      </c>
      <c r="AN52" s="347"/>
      <c r="AO52" s="347"/>
      <c r="AP52" s="348"/>
      <c r="AQ52" s="346" t="s">
        <v>149</v>
      </c>
      <c r="AR52" s="347"/>
      <c r="AS52" s="347"/>
      <c r="AT52" s="348"/>
      <c r="AU52" s="346" t="s">
        <v>149</v>
      </c>
      <c r="AV52" s="347"/>
      <c r="AW52" s="347"/>
      <c r="AX52" s="348"/>
    </row>
    <row r="53" spans="1:62" ht="15.75" thickBot="1">
      <c r="C53" s="93" t="s">
        <v>150</v>
      </c>
      <c r="D53" s="349" t="s">
        <v>31</v>
      </c>
      <c r="E53" s="350"/>
      <c r="F53" s="94" t="s">
        <v>88</v>
      </c>
      <c r="G53" s="93" t="s">
        <v>150</v>
      </c>
      <c r="H53" s="349" t="s">
        <v>31</v>
      </c>
      <c r="I53" s="350"/>
      <c r="J53" s="94" t="s">
        <v>88</v>
      </c>
      <c r="K53" s="93" t="s">
        <v>150</v>
      </c>
      <c r="L53" s="349" t="s">
        <v>31</v>
      </c>
      <c r="M53" s="350"/>
      <c r="N53" s="94" t="s">
        <v>88</v>
      </c>
      <c r="O53" s="93" t="s">
        <v>150</v>
      </c>
      <c r="P53" s="349" t="s">
        <v>31</v>
      </c>
      <c r="Q53" s="350"/>
      <c r="R53" s="94" t="s">
        <v>88</v>
      </c>
      <c r="S53" s="93" t="s">
        <v>150</v>
      </c>
      <c r="T53" s="349" t="s">
        <v>31</v>
      </c>
      <c r="U53" s="350"/>
      <c r="V53" s="94" t="s">
        <v>88</v>
      </c>
      <c r="W53" s="93" t="s">
        <v>150</v>
      </c>
      <c r="X53" s="349" t="s">
        <v>31</v>
      </c>
      <c r="Y53" s="350"/>
      <c r="Z53" s="94" t="s">
        <v>88</v>
      </c>
      <c r="AA53" s="93" t="s">
        <v>150</v>
      </c>
      <c r="AB53" s="349" t="s">
        <v>31</v>
      </c>
      <c r="AC53" s="350"/>
      <c r="AD53" s="94" t="s">
        <v>88</v>
      </c>
      <c r="AE53" s="93" t="s">
        <v>150</v>
      </c>
      <c r="AF53" s="349" t="s">
        <v>31</v>
      </c>
      <c r="AG53" s="350"/>
      <c r="AH53" s="94" t="s">
        <v>88</v>
      </c>
      <c r="AI53" s="93" t="s">
        <v>150</v>
      </c>
      <c r="AJ53" s="349" t="s">
        <v>31</v>
      </c>
      <c r="AK53" s="350"/>
      <c r="AL53" s="94" t="s">
        <v>88</v>
      </c>
      <c r="AM53" s="93" t="s">
        <v>150</v>
      </c>
      <c r="AN53" s="349" t="s">
        <v>31</v>
      </c>
      <c r="AO53" s="350"/>
      <c r="AP53" s="94" t="s">
        <v>88</v>
      </c>
      <c r="AQ53" s="93" t="s">
        <v>150</v>
      </c>
      <c r="AR53" s="349" t="s">
        <v>31</v>
      </c>
      <c r="AS53" s="350"/>
      <c r="AT53" s="94" t="s">
        <v>88</v>
      </c>
      <c r="AU53" s="93" t="s">
        <v>150</v>
      </c>
      <c r="AV53" s="349" t="s">
        <v>31</v>
      </c>
      <c r="AW53" s="350"/>
      <c r="AX53" s="94" t="s">
        <v>88</v>
      </c>
    </row>
    <row r="54" spans="1:62">
      <c r="C54" s="95">
        <v>43495</v>
      </c>
      <c r="D54" s="351" t="s">
        <v>235</v>
      </c>
      <c r="E54" s="352"/>
      <c r="F54" s="98"/>
      <c r="G54" s="95">
        <v>43497</v>
      </c>
      <c r="H54" s="351" t="s">
        <v>270</v>
      </c>
      <c r="I54" s="352"/>
      <c r="J54" s="100">
        <v>500</v>
      </c>
      <c r="K54" s="95">
        <v>43539</v>
      </c>
      <c r="L54" s="371" t="s">
        <v>257</v>
      </c>
      <c r="M54" s="372"/>
      <c r="N54" s="100">
        <v>70</v>
      </c>
      <c r="O54" s="95"/>
      <c r="P54" s="357"/>
      <c r="Q54" s="358"/>
      <c r="R54" s="102"/>
      <c r="S54" s="95">
        <v>43594</v>
      </c>
      <c r="T54" s="371" t="s">
        <v>243</v>
      </c>
      <c r="U54" s="372"/>
      <c r="V54" s="103"/>
      <c r="W54" s="95">
        <v>43624</v>
      </c>
      <c r="X54" s="371" t="s">
        <v>153</v>
      </c>
      <c r="Y54" s="372"/>
      <c r="Z54" s="104">
        <v>10</v>
      </c>
      <c r="AA54" s="95"/>
      <c r="AB54" s="369" t="s">
        <v>477</v>
      </c>
      <c r="AC54" s="370"/>
      <c r="AD54" s="239">
        <v>16</v>
      </c>
      <c r="AE54" s="95"/>
      <c r="AF54" s="365"/>
      <c r="AG54" s="366"/>
      <c r="AH54" s="100"/>
      <c r="AI54" s="95"/>
      <c r="AJ54" s="361"/>
      <c r="AK54" s="362"/>
      <c r="AL54" s="100"/>
      <c r="AM54" s="95"/>
      <c r="AN54" s="361"/>
      <c r="AO54" s="362"/>
      <c r="AP54" s="100"/>
      <c r="AQ54" s="95"/>
      <c r="AR54" s="357"/>
      <c r="AS54" s="358"/>
      <c r="AT54" s="100"/>
      <c r="AU54" s="95"/>
      <c r="AV54" s="351"/>
      <c r="AW54" s="352"/>
      <c r="AX54" s="100"/>
    </row>
    <row r="55" spans="1:62">
      <c r="C55" s="96"/>
      <c r="D55" s="342" t="s">
        <v>236</v>
      </c>
      <c r="E55" s="343"/>
      <c r="F55" s="98">
        <v>121.4</v>
      </c>
      <c r="G55" s="96">
        <v>43516</v>
      </c>
      <c r="H55" s="342" t="s">
        <v>311</v>
      </c>
      <c r="I55" s="343"/>
      <c r="J55" s="100"/>
      <c r="K55" s="96">
        <v>43553</v>
      </c>
      <c r="L55" s="342" t="s">
        <v>297</v>
      </c>
      <c r="M55" s="343"/>
      <c r="N55" s="100">
        <v>4421.9399999999996</v>
      </c>
      <c r="O55" s="96">
        <v>43565</v>
      </c>
      <c r="P55" s="342" t="s">
        <v>323</v>
      </c>
      <c r="Q55" s="343"/>
      <c r="R55" s="100">
        <v>10</v>
      </c>
      <c r="S55" s="96">
        <v>43607</v>
      </c>
      <c r="T55" s="342" t="s">
        <v>311</v>
      </c>
      <c r="U55" s="343"/>
      <c r="V55" s="100"/>
      <c r="W55" s="96">
        <v>43637</v>
      </c>
      <c r="X55" s="342" t="s">
        <v>151</v>
      </c>
      <c r="Y55" s="343"/>
      <c r="Z55" s="100">
        <v>10</v>
      </c>
      <c r="AA55" s="96"/>
      <c r="AB55" s="342"/>
      <c r="AC55" s="343"/>
      <c r="AD55" s="100"/>
      <c r="AE55" s="96"/>
      <c r="AF55" s="359"/>
      <c r="AG55" s="360"/>
      <c r="AH55" s="100"/>
      <c r="AI55" s="96"/>
      <c r="AJ55" s="359"/>
      <c r="AK55" s="360"/>
      <c r="AL55" s="100"/>
      <c r="AM55" s="96"/>
      <c r="AN55" s="359"/>
      <c r="AO55" s="360"/>
      <c r="AP55" s="100"/>
      <c r="AQ55" s="96"/>
      <c r="AR55" s="342"/>
      <c r="AS55" s="343"/>
      <c r="AT55" s="100"/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151</v>
      </c>
      <c r="E56" s="343"/>
      <c r="F56" s="98">
        <v>15</v>
      </c>
      <c r="G56" s="96">
        <v>43507</v>
      </c>
      <c r="H56" s="342" t="s">
        <v>323</v>
      </c>
      <c r="I56" s="343"/>
      <c r="J56" s="100">
        <v>10</v>
      </c>
      <c r="K56" s="96">
        <v>43529</v>
      </c>
      <c r="L56" s="342" t="s">
        <v>325</v>
      </c>
      <c r="M56" s="343"/>
      <c r="N56" s="100">
        <v>3362.6</v>
      </c>
      <c r="O56" s="96">
        <v>43576</v>
      </c>
      <c r="P56" s="369" t="s">
        <v>235</v>
      </c>
      <c r="Q56" s="370"/>
      <c r="R56" s="102"/>
      <c r="S56" s="96">
        <v>43615</v>
      </c>
      <c r="T56" s="342" t="s">
        <v>235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/>
      <c r="AF56" s="359"/>
      <c r="AG56" s="360"/>
      <c r="AH56" s="100"/>
      <c r="AI56" s="96"/>
      <c r="AJ56" s="363"/>
      <c r="AK56" s="364"/>
      <c r="AL56" s="100"/>
      <c r="AM56" s="96"/>
      <c r="AN56" s="363"/>
      <c r="AO56" s="364"/>
      <c r="AP56" s="100"/>
      <c r="AQ56" s="96"/>
      <c r="AR56" s="359"/>
      <c r="AS56" s="360"/>
      <c r="AT56" s="100"/>
      <c r="AU56" s="96"/>
      <c r="AV56" s="342"/>
      <c r="AW56" s="343"/>
      <c r="AX56" s="100"/>
    </row>
    <row r="57" spans="1:62">
      <c r="C57" s="96">
        <v>43476</v>
      </c>
      <c r="D57" s="342" t="s">
        <v>153</v>
      </c>
      <c r="E57" s="343"/>
      <c r="F57" s="98">
        <v>10</v>
      </c>
      <c r="G57" s="96">
        <v>43516</v>
      </c>
      <c r="H57" s="342" t="s">
        <v>352</v>
      </c>
      <c r="I57" s="343"/>
      <c r="J57" s="100"/>
      <c r="K57" s="96">
        <v>43533</v>
      </c>
      <c r="L57" s="342" t="s">
        <v>235</v>
      </c>
      <c r="M57" s="343"/>
      <c r="N57" s="100"/>
      <c r="O57" s="96">
        <v>43578</v>
      </c>
      <c r="P57" s="373" t="s">
        <v>390</v>
      </c>
      <c r="Q57" s="374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59"/>
      <c r="AC57" s="360"/>
      <c r="AD57" s="100"/>
      <c r="AE57" s="96"/>
      <c r="AF57" s="342"/>
      <c r="AG57" s="343"/>
      <c r="AH57" s="100"/>
      <c r="AI57" s="96"/>
      <c r="AJ57" s="353"/>
      <c r="AK57" s="354"/>
      <c r="AL57" s="100"/>
      <c r="AM57" s="96"/>
      <c r="AN57" s="363"/>
      <c r="AO57" s="364"/>
      <c r="AP57" s="100"/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243</v>
      </c>
      <c r="E58" s="343"/>
      <c r="F58" s="98"/>
      <c r="G58" s="96"/>
      <c r="H58" s="342"/>
      <c r="I58" s="343"/>
      <c r="J58" s="100"/>
      <c r="K58" s="96">
        <v>43536</v>
      </c>
      <c r="L58" s="342" t="s">
        <v>243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59"/>
      <c r="AC58" s="360"/>
      <c r="AD58" s="100"/>
      <c r="AE58" s="96"/>
      <c r="AF58" s="342"/>
      <c r="AG58" s="343"/>
      <c r="AH58" s="100"/>
      <c r="AI58" s="96"/>
      <c r="AJ58" s="353"/>
      <c r="AK58" s="354"/>
      <c r="AL58" s="100"/>
      <c r="AM58" s="96"/>
      <c r="AN58" s="353"/>
      <c r="AO58" s="354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271</v>
      </c>
      <c r="E59" s="343"/>
      <c r="F59" s="98">
        <v>50</v>
      </c>
      <c r="G59" s="96"/>
      <c r="H59" s="342"/>
      <c r="I59" s="343"/>
      <c r="J59" s="100"/>
      <c r="K59" s="96"/>
      <c r="L59" s="342" t="s">
        <v>386</v>
      </c>
      <c r="M59" s="343"/>
      <c r="N59" s="100">
        <f>3.1+10.5</f>
        <v>13.6</v>
      </c>
      <c r="O59" s="96"/>
      <c r="P59" s="342"/>
      <c r="Q59" s="343"/>
      <c r="R59" s="100"/>
      <c r="S59" s="96"/>
      <c r="T59" s="363"/>
      <c r="U59" s="364"/>
      <c r="V59" s="100"/>
      <c r="W59" s="96"/>
      <c r="X59" s="363"/>
      <c r="Y59" s="364"/>
      <c r="Z59" s="100"/>
      <c r="AA59" s="96"/>
      <c r="AB59" s="363"/>
      <c r="AC59" s="364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53"/>
      <c r="AO59" s="354"/>
      <c r="AP59" s="100"/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290</v>
      </c>
      <c r="E60" s="343"/>
      <c r="F60" s="98"/>
      <c r="G60" s="96"/>
      <c r="H60" s="342"/>
      <c r="I60" s="343"/>
      <c r="J60" s="100"/>
      <c r="K60" s="235">
        <v>43549</v>
      </c>
      <c r="L60" s="373" t="s">
        <v>390</v>
      </c>
      <c r="M60" s="374"/>
      <c r="N60" s="236">
        <v>15</v>
      </c>
      <c r="O60" s="96"/>
      <c r="P60" s="342"/>
      <c r="Q60" s="343"/>
      <c r="R60" s="100"/>
      <c r="S60" s="96"/>
      <c r="T60" s="363"/>
      <c r="U60" s="364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63"/>
      <c r="AG60" s="364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292</v>
      </c>
      <c r="E61" s="343"/>
      <c r="F61" s="98">
        <v>40</v>
      </c>
      <c r="G61" s="96"/>
      <c r="H61" s="342"/>
      <c r="I61" s="343"/>
      <c r="J61" s="100"/>
      <c r="K61" s="96"/>
      <c r="L61" s="375"/>
      <c r="M61" s="343"/>
      <c r="N61" s="100"/>
      <c r="O61" s="96"/>
      <c r="P61" s="342"/>
      <c r="Q61" s="343"/>
      <c r="R61" s="100"/>
      <c r="S61" s="96"/>
      <c r="T61" s="363"/>
      <c r="U61" s="364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63"/>
      <c r="U62" s="364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63"/>
      <c r="U63" s="364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63"/>
      <c r="U64" s="364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63"/>
      <c r="U65" s="364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566</v>
      </c>
      <c r="U70" s="343"/>
      <c r="V70" s="100">
        <v>3742.92</v>
      </c>
      <c r="W70" s="96"/>
      <c r="X70" s="342" t="s">
        <v>564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.7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7" t="s">
        <v>567</v>
      </c>
      <c r="U71" s="368"/>
      <c r="V71" s="101">
        <v>1872.17</v>
      </c>
      <c r="W71" s="97"/>
      <c r="X71" s="367" t="s">
        <v>565</v>
      </c>
      <c r="Y71" s="368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83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27</v>
      </c>
      <c r="D75">
        <f>C75*D74</f>
        <v>90</v>
      </c>
      <c r="Z75" s="111"/>
    </row>
    <row r="76" spans="1:50">
      <c r="D76">
        <f>D75-D73</f>
        <v>7</v>
      </c>
    </row>
    <row r="78" spans="1:50">
      <c r="W78" t="s">
        <v>672</v>
      </c>
      <c r="X78">
        <v>4</v>
      </c>
      <c r="Y78">
        <v>10</v>
      </c>
      <c r="Z78">
        <f>SUM(X78:Y78)</f>
        <v>14</v>
      </c>
    </row>
    <row r="79" spans="1:50">
      <c r="W79" t="s">
        <v>673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674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675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'08'!A6+(B6-SUM(D6:F6))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'08'!A7+(B7-SUM(D7:F7))</f>
        <v>307.39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'08'!A8+(B8-SUM(D8:F8))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'08'!A10+(B10-SUM(D10:F10))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'08'!A11+(B11-SUM(D11:F11))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'08'!A13+(B13-SUM(D13:F13))</f>
        <v>44.5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1866.35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'08'!A26+(B26-SUM(D26:F26))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'08'!A27+(B27-SUM(D27:F27))</f>
        <v>580.03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'08'!A29+(B29-SUM(D29:F29))</f>
        <v>55.480000000000004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3760.09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210.93000000000004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2698.1800000000012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1569.44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545.23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'09'!A7+(B7-SUM(D7:F7))</f>
        <v>377.57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'09'!A8+(B8-SUM(D8:F8))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'09'!A10+(B10-SUM(D10:F10))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'09'!A11+(B11-SUM(D11:F11))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'09'!A13+(B13-SUM(D13:F13))</f>
        <v>51.5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2410.35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'09'!A26+(B26-SUM(D26:F26))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'09'!A27+(B27-SUM(D27:F27))</f>
        <v>750.03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'09'!A29+(B29-SUM(D29:F29))</f>
        <v>73.48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4888.0899999999992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281.93000000000006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2723.7100000000014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1948.91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565.23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808.63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'10'!A6+(B6-SUM(D6:F6))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'10'!A7+(B7-SUM(D7:F7))</f>
        <v>447.75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'10'!A8+(B8-SUM(D8:F8))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'10'!A10+(B10-SUM(D10:F10))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'10'!A11+(B11-SUM(D11:F11))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'10'!A13+(B13-SUM(D13:F13))</f>
        <v>58.5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2954.3499999999995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'10'!A26+(B26-SUM(D26:F26))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'10'!A27+(B27-SUM(D27:F27))</f>
        <v>920.03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'10'!A29+(B29-SUM(D29:F29))</f>
        <v>91.48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6016.0899999999992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352.93000000000006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2749.2400000000016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2328.38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585.23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858.63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'11'!A6+(B6-SUM(D6:F6))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'11'!A7+(B7-SUM(D7:F7))</f>
        <v>517.93000000000006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'11'!A8+(B8-SUM(D8:F8))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'11'!A10+(B10-SUM(D10:F10))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'11'!A11+(B11-SUM(D11:F11))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'11'!A13+(B13-SUM(D13:F13))</f>
        <v>65.5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3498.3499999999995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'11'!A26+(B26-SUM(D26:F26))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'11'!A27+(B27-SUM(D27:F27))</f>
        <v>1090.03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'11'!A29+(B29-SUM(D29:F29))</f>
        <v>109.48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7144.0899999999992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423.93000000000006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2774.7700000000018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2707.8500000000004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605.23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908.63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C23" sqref="C2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-0.21199999999999999</v>
      </c>
      <c r="C6" s="44" t="s">
        <v>95</v>
      </c>
      <c r="D6" s="43" t="s">
        <v>96</v>
      </c>
      <c r="E6" s="42"/>
      <c r="J6" t="s">
        <v>97</v>
      </c>
      <c r="K6" s="49">
        <f>B4-B15</f>
        <v>129682.81238562995</v>
      </c>
      <c r="L6" s="39">
        <f>B4*(E8/100)</f>
        <v>31.211721600000004</v>
      </c>
      <c r="M6" s="49">
        <f>B13-L6</f>
        <v>366.0276143700421</v>
      </c>
    </row>
    <row r="7" spans="1:13" ht="12.75" customHeight="1">
      <c r="E7" s="42"/>
      <c r="J7" t="s">
        <v>98</v>
      </c>
      <c r="K7" s="49">
        <f>K6-(B13-L7)</f>
        <v>129316.69692463246</v>
      </c>
      <c r="L7" s="39">
        <f>(K6*(E8/100))</f>
        <v>31.123874972551192</v>
      </c>
      <c r="M7" s="49">
        <f>B13-L7</f>
        <v>366.11546099749091</v>
      </c>
    </row>
    <row r="8" spans="1:13" ht="12.75" customHeight="1">
      <c r="B8" s="42"/>
      <c r="D8" t="s">
        <v>183</v>
      </c>
      <c r="E8" s="50">
        <f>(B6+0.5)/12</f>
        <v>2.4000000000000004E-2</v>
      </c>
      <c r="J8" t="s">
        <v>99</v>
      </c>
      <c r="K8" s="49">
        <f>K7-(B13-L8)</f>
        <v>128950.49359592433</v>
      </c>
      <c r="L8" s="39">
        <f>(K7*(E8/100))</f>
        <v>31.036007261911795</v>
      </c>
      <c r="M8" s="49">
        <f>B13-L8</f>
        <v>366.2033287081303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1.00024</v>
      </c>
      <c r="J9" t="s">
        <v>101</v>
      </c>
      <c r="K9" s="49">
        <f>K8-(B13-L9)</f>
        <v>128584.20237841731</v>
      </c>
      <c r="L9" s="39">
        <f>(K8*(E8/100))</f>
        <v>30.948118463021842</v>
      </c>
      <c r="M9" s="49">
        <f>B13-L9</f>
        <v>366.29121750702024</v>
      </c>
    </row>
    <row r="10" spans="1:13" ht="12.75" customHeight="1">
      <c r="B10" s="42"/>
      <c r="D10" t="s">
        <v>102</v>
      </c>
      <c r="E10" s="50">
        <f>E9^-B5</f>
        <v>0.92142842167485184</v>
      </c>
      <c r="J10" t="s">
        <v>103</v>
      </c>
      <c r="K10" s="49">
        <f>K9-(B13-L10)</f>
        <v>128217.82325101808</v>
      </c>
      <c r="L10" s="39">
        <f>(K9*(E8/100))</f>
        <v>30.860208570820159</v>
      </c>
      <c r="M10" s="49">
        <f>B13-L10</f>
        <v>366.37912739922194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7.8571578325148161</v>
      </c>
      <c r="J11" t="s">
        <v>106</v>
      </c>
      <c r="K11" s="51">
        <f>K10-(B13-L11)</f>
        <v>127851.35619262829</v>
      </c>
      <c r="L11" s="39">
        <f>(K10*(E8/100))</f>
        <v>30.772277580244346</v>
      </c>
      <c r="M11" s="49">
        <f>B13-L11</f>
        <v>366.46705838979773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397.23933597004208</v>
      </c>
      <c r="E13" s="42"/>
      <c r="F13" s="44"/>
      <c r="G13" s="53"/>
      <c r="L13" s="54">
        <f>SUM(L6:L11)</f>
        <v>185.95220844854933</v>
      </c>
      <c r="M13" s="54">
        <f>SUM(M6:M11)</f>
        <v>2197.4838073717033</v>
      </c>
    </row>
    <row r="14" spans="1:13" ht="12.75" customHeight="1">
      <c r="A14" t="s">
        <v>108</v>
      </c>
      <c r="B14" s="55">
        <f>B4*(E8/100)</f>
        <v>31.211721600000004</v>
      </c>
      <c r="E14" s="42"/>
    </row>
    <row r="15" spans="1:13" ht="12.75" customHeight="1">
      <c r="A15" t="s">
        <v>109</v>
      </c>
      <c r="B15" s="55">
        <f>B13-B14</f>
        <v>366.0276143700421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397.24089597004206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-0.21199999999999999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-0.21199999999999999</v>
      </c>
    </row>
    <row r="21" spans="1:9" ht="12.75" customHeight="1">
      <c r="E21" s="42"/>
      <c r="F21">
        <v>1</v>
      </c>
      <c r="G21" s="57">
        <v>0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2197.4838073717033</v>
      </c>
      <c r="C22" s="58">
        <f>B22/170000</f>
        <v>1.2926375337480608E-2</v>
      </c>
      <c r="E22" s="42"/>
      <c r="F22">
        <v>4</v>
      </c>
      <c r="G22" s="57">
        <v>0</v>
      </c>
    </row>
    <row r="23" spans="1:9" ht="12.75" customHeight="1">
      <c r="A23" t="s">
        <v>115</v>
      </c>
      <c r="B23" s="53">
        <f>K11</f>
        <v>127851.35619262829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11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18</v>
      </c>
      <c r="G32" s="57">
        <v>0</v>
      </c>
    </row>
    <row r="33" spans="2:10" ht="12.75" customHeight="1">
      <c r="C33" s="59"/>
      <c r="E33" s="42"/>
      <c r="F33">
        <v>19</v>
      </c>
      <c r="G33" s="57">
        <v>0</v>
      </c>
    </row>
    <row r="34" spans="2:10" ht="12.75" customHeight="1">
      <c r="C34" s="58"/>
      <c r="E34" s="42"/>
      <c r="F34">
        <v>20</v>
      </c>
      <c r="G34" s="57">
        <v>0</v>
      </c>
    </row>
    <row r="35" spans="2:10" ht="12.75" customHeight="1">
      <c r="C35" s="58"/>
      <c r="E35" s="42"/>
      <c r="F35">
        <v>21</v>
      </c>
      <c r="G35" s="57">
        <v>0</v>
      </c>
      <c r="J35" t="s">
        <v>362</v>
      </c>
    </row>
    <row r="36" spans="2:10" ht="12.75" customHeight="1">
      <c r="E36" s="42"/>
      <c r="F36">
        <v>22</v>
      </c>
      <c r="G36" s="57">
        <v>0</v>
      </c>
    </row>
    <row r="37" spans="2:10" ht="12.75" customHeight="1">
      <c r="E37" s="42"/>
      <c r="F37">
        <v>25</v>
      </c>
      <c r="G37" s="57">
        <v>0</v>
      </c>
    </row>
    <row r="38" spans="2:10" ht="12.75" customHeight="1">
      <c r="E38" s="42"/>
      <c r="F38">
        <v>26</v>
      </c>
      <c r="G38" s="57">
        <v>0</v>
      </c>
    </row>
    <row r="39" spans="2:10" ht="12.75" customHeight="1">
      <c r="E39" s="42"/>
      <c r="F39">
        <v>27</v>
      </c>
      <c r="G39" s="57">
        <v>0</v>
      </c>
    </row>
    <row r="40" spans="2:10" ht="12.75" customHeight="1">
      <c r="E40" s="42">
        <v>-0.21199999999999999</v>
      </c>
      <c r="F40">
        <v>28</v>
      </c>
      <c r="G40" s="57">
        <f t="shared" ref="G40" si="0">IF(E40="",0,1)</f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1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E21" sqref="E2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4" sqref="G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-2.1199999999999999E-3</v>
      </c>
      <c r="D25" s="73">
        <f>Hipoteca!B$13</f>
        <v>397.23933597004208</v>
      </c>
      <c r="E25" s="72">
        <f t="shared" ref="E25" si="10">D25-D24</f>
        <v>-5.8406640299579067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8.4244047619047597E-3</v>
      </c>
      <c r="D83" s="85">
        <f>AVERAGE(D2:D82)</f>
        <v>492.57271577367345</v>
      </c>
      <c r="E83" s="86">
        <f>AVERAGE(E3:E82)</f>
        <v>-19.600463653476432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A19" workbookViewId="0">
      <selection activeCell="S6" sqref="S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502</v>
      </c>
      <c r="B1" s="240"/>
      <c r="C1" s="241"/>
      <c r="D1" s="320"/>
      <c r="E1" s="242"/>
      <c r="F1" s="243" t="s">
        <v>503</v>
      </c>
      <c r="G1" s="244"/>
      <c r="H1" s="244"/>
      <c r="I1" s="244"/>
      <c r="J1" s="244"/>
      <c r="K1" s="245" t="s">
        <v>504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505</v>
      </c>
      <c r="B2" s="252" t="s">
        <v>506</v>
      </c>
      <c r="C2" s="252" t="s">
        <v>507</v>
      </c>
      <c r="D2" s="321" t="s">
        <v>562</v>
      </c>
      <c r="E2" s="252" t="s">
        <v>508</v>
      </c>
      <c r="F2" s="253" t="s">
        <v>509</v>
      </c>
      <c r="G2" s="254" t="s">
        <v>510</v>
      </c>
      <c r="H2" s="254" t="s">
        <v>511</v>
      </c>
      <c r="I2" s="254" t="s">
        <v>512</v>
      </c>
      <c r="J2" s="254" t="s">
        <v>7</v>
      </c>
      <c r="K2" s="255" t="s">
        <v>509</v>
      </c>
      <c r="L2" s="256" t="s">
        <v>510</v>
      </c>
      <c r="M2" s="256" t="s">
        <v>512</v>
      </c>
      <c r="N2" s="257" t="s">
        <v>7</v>
      </c>
      <c r="O2" s="258" t="s">
        <v>7</v>
      </c>
      <c r="P2" s="259" t="s">
        <v>513</v>
      </c>
      <c r="Q2" s="259" t="s">
        <v>95</v>
      </c>
      <c r="R2" s="260" t="s">
        <v>514</v>
      </c>
      <c r="S2" s="261"/>
    </row>
    <row r="3" spans="1:26">
      <c r="A3" s="262" t="s">
        <v>515</v>
      </c>
      <c r="B3" s="262" t="s">
        <v>516</v>
      </c>
      <c r="C3" s="263">
        <v>5600</v>
      </c>
      <c r="D3" s="322">
        <f ca="1">_xlfn.DAYS(K3,F3)</f>
        <v>1440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43649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536</v>
      </c>
    </row>
    <row r="4" spans="1:26">
      <c r="A4" s="262" t="s">
        <v>517</v>
      </c>
      <c r="B4" s="262" t="s">
        <v>413</v>
      </c>
      <c r="C4" s="263">
        <v>4090</v>
      </c>
      <c r="D4" s="322">
        <f ca="1">_xlfn.DAYS(K4,F4)</f>
        <v>44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43649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536</v>
      </c>
      <c r="S4" s="449">
        <v>43673</v>
      </c>
    </row>
    <row r="5" spans="1:26">
      <c r="A5" s="262" t="s">
        <v>517</v>
      </c>
      <c r="B5" s="262" t="s">
        <v>518</v>
      </c>
      <c r="C5" s="263">
        <v>5100</v>
      </c>
      <c r="D5" s="322">
        <f ca="1">_xlfn.DAYS(K5,F5)</f>
        <v>495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43649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536</v>
      </c>
      <c r="S5" s="449">
        <v>43673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519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505</v>
      </c>
      <c r="B12" s="290" t="s">
        <v>506</v>
      </c>
      <c r="C12" s="290" t="s">
        <v>507</v>
      </c>
      <c r="D12" s="324" t="s">
        <v>562</v>
      </c>
      <c r="E12" s="290" t="s">
        <v>508</v>
      </c>
      <c r="F12" s="291" t="s">
        <v>509</v>
      </c>
      <c r="G12" s="292" t="s">
        <v>510</v>
      </c>
      <c r="H12" s="292" t="s">
        <v>511</v>
      </c>
      <c r="I12" s="292" t="s">
        <v>512</v>
      </c>
      <c r="J12" s="292" t="s">
        <v>7</v>
      </c>
      <c r="K12" s="293" t="s">
        <v>509</v>
      </c>
      <c r="L12" s="294" t="s">
        <v>510</v>
      </c>
      <c r="M12" s="294" t="s">
        <v>512</v>
      </c>
      <c r="N12" s="295" t="s">
        <v>7</v>
      </c>
      <c r="O12" s="296" t="s">
        <v>7</v>
      </c>
      <c r="P12" s="297" t="s">
        <v>513</v>
      </c>
      <c r="Q12" s="297" t="s">
        <v>95</v>
      </c>
      <c r="R12" s="298" t="s">
        <v>514</v>
      </c>
      <c r="S12" s="340" t="s">
        <v>605</v>
      </c>
      <c r="W12" s="330" t="s">
        <v>532</v>
      </c>
      <c r="X12" s="330" t="s">
        <v>533</v>
      </c>
      <c r="Y12" s="330" t="s">
        <v>534</v>
      </c>
      <c r="Z12" s="330" t="s">
        <v>535</v>
      </c>
    </row>
    <row r="13" spans="1:26">
      <c r="A13" s="262" t="s">
        <v>515</v>
      </c>
      <c r="B13" s="262" t="s">
        <v>520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520</v>
      </c>
      <c r="S13" s="59">
        <f>Q13+Q14</f>
        <v>-4.7120556421087471E-2</v>
      </c>
      <c r="W13" s="39">
        <f ca="1">D13/D$43</f>
        <v>3.9365079365079367E-2</v>
      </c>
      <c r="X13" s="119">
        <f ca="1">W13*E13</f>
        <v>158.21884120634923</v>
      </c>
      <c r="Y13" s="38"/>
    </row>
    <row r="14" spans="1:26">
      <c r="A14" s="262" t="s">
        <v>515</v>
      </c>
      <c r="B14" s="262" t="s">
        <v>520</v>
      </c>
      <c r="C14" s="263"/>
      <c r="D14" s="322">
        <f t="shared" ref="D14:D35" si="0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521</v>
      </c>
      <c r="W14" s="39">
        <f ca="1">D14/D$43</f>
        <v>0</v>
      </c>
      <c r="X14" s="119">
        <f t="shared" ref="X14:X41" ca="1" si="1">W14*E14</f>
        <v>0</v>
      </c>
    </row>
    <row r="15" spans="1:26">
      <c r="A15" s="262" t="s">
        <v>515</v>
      </c>
      <c r="B15" s="262" t="s">
        <v>522</v>
      </c>
      <c r="C15" s="263"/>
      <c r="D15" s="322">
        <f t="shared" si="0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522</v>
      </c>
      <c r="W15" s="39">
        <f ca="1">D15/D$43</f>
        <v>3.4920634920634921E-2</v>
      </c>
      <c r="X15" s="119">
        <f t="shared" ca="1" si="1"/>
        <v>0</v>
      </c>
    </row>
    <row r="16" spans="1:26">
      <c r="A16" s="262" t="s">
        <v>515</v>
      </c>
      <c r="B16" s="262" t="s">
        <v>523</v>
      </c>
      <c r="C16" s="263"/>
      <c r="D16" s="322">
        <f t="shared" si="0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523</v>
      </c>
      <c r="W16" s="39">
        <f ca="1">D16/D$43</f>
        <v>8.8888888888888889E-3</v>
      </c>
      <c r="X16" s="119">
        <f t="shared" ca="1" si="1"/>
        <v>0</v>
      </c>
    </row>
    <row r="17" spans="1:24">
      <c r="A17" s="262"/>
      <c r="B17" s="262"/>
      <c r="C17" s="263"/>
      <c r="D17" s="322">
        <f t="shared" si="0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524</v>
      </c>
      <c r="W17" s="39">
        <f ca="1">D17/D$43</f>
        <v>0</v>
      </c>
      <c r="X17" s="119">
        <f t="shared" ca="1" si="1"/>
        <v>0</v>
      </c>
    </row>
    <row r="18" spans="1:24">
      <c r="A18" s="262"/>
      <c r="B18" s="262"/>
      <c r="C18" s="263"/>
      <c r="D18" s="322">
        <f t="shared" si="0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525</v>
      </c>
      <c r="W18" s="39">
        <f ca="1">D18/D$43</f>
        <v>0</v>
      </c>
      <c r="X18" s="119">
        <f t="shared" ca="1" si="1"/>
        <v>0</v>
      </c>
    </row>
    <row r="19" spans="1:24">
      <c r="A19" s="262" t="s">
        <v>515</v>
      </c>
      <c r="B19" s="262" t="s">
        <v>523</v>
      </c>
      <c r="C19" s="263">
        <v>4400</v>
      </c>
      <c r="D19" s="322">
        <f t="shared" si="0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523</v>
      </c>
      <c r="S19" s="59">
        <f>Q19+Q21+Q24</f>
        <v>0.24013324659263452</v>
      </c>
      <c r="W19" s="39">
        <f ca="1">D19/D$43</f>
        <v>0.55174603174603176</v>
      </c>
      <c r="X19" s="119">
        <f t="shared" ca="1" si="1"/>
        <v>2440.5933526857148</v>
      </c>
    </row>
    <row r="20" spans="1:24">
      <c r="A20" s="262" t="s">
        <v>515</v>
      </c>
      <c r="B20" s="262" t="s">
        <v>523</v>
      </c>
      <c r="C20" s="263">
        <v>605</v>
      </c>
      <c r="D20" s="322">
        <f t="shared" si="0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563</v>
      </c>
      <c r="W20" s="39">
        <f ca="1">D20/D$43</f>
        <v>0.40126984126984128</v>
      </c>
      <c r="X20" s="119">
        <f t="shared" ca="1" si="1"/>
        <v>241.00266666666667</v>
      </c>
    </row>
    <row r="21" spans="1:24">
      <c r="A21" s="262" t="s">
        <v>515</v>
      </c>
      <c r="B21" s="262" t="s">
        <v>523</v>
      </c>
      <c r="C21" s="263"/>
      <c r="D21" s="322">
        <f t="shared" si="0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526</v>
      </c>
      <c r="W21" s="39">
        <f ca="1">D21/D$43</f>
        <v>0</v>
      </c>
      <c r="X21" s="119">
        <f t="shared" ca="1" si="1"/>
        <v>0</v>
      </c>
    </row>
    <row r="22" spans="1:24">
      <c r="A22" s="262"/>
      <c r="B22" s="262"/>
      <c r="C22" s="263"/>
      <c r="D22" s="322">
        <f t="shared" si="0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524</v>
      </c>
      <c r="W22" s="39">
        <f ca="1">D22/D$43</f>
        <v>0</v>
      </c>
      <c r="X22" s="119">
        <f t="shared" ca="1" si="1"/>
        <v>0</v>
      </c>
    </row>
    <row r="23" spans="1:24">
      <c r="A23" s="262"/>
      <c r="B23" s="262"/>
      <c r="C23" s="263"/>
      <c r="D23" s="322">
        <f t="shared" si="0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527</v>
      </c>
      <c r="W23" s="39">
        <f ca="1">D23/D$43</f>
        <v>0</v>
      </c>
      <c r="X23" s="119">
        <f t="shared" ca="1" si="1"/>
        <v>0</v>
      </c>
    </row>
    <row r="24" spans="1:24">
      <c r="A24" s="262" t="s">
        <v>515</v>
      </c>
      <c r="B24" s="262" t="s">
        <v>523</v>
      </c>
      <c r="C24" s="263"/>
      <c r="D24" s="322">
        <f t="shared" si="0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528</v>
      </c>
      <c r="W24" s="39">
        <f ca="1">D24/D$43</f>
        <v>0</v>
      </c>
      <c r="X24" s="119">
        <f t="shared" ca="1" si="1"/>
        <v>0</v>
      </c>
    </row>
    <row r="25" spans="1:24">
      <c r="A25" s="262" t="s">
        <v>515</v>
      </c>
      <c r="B25" s="262" t="s">
        <v>523</v>
      </c>
      <c r="C25" s="263">
        <v>600</v>
      </c>
      <c r="D25" s="322">
        <f t="shared" si="0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523</v>
      </c>
      <c r="W25" s="39">
        <f ca="1">D25/D$43</f>
        <v>0.18285714285714286</v>
      </c>
      <c r="X25" s="119">
        <f t="shared" ca="1" si="1"/>
        <v>111.17041846857143</v>
      </c>
    </row>
    <row r="26" spans="1:24">
      <c r="A26" s="262"/>
      <c r="B26" s="262"/>
      <c r="C26" s="263"/>
      <c r="D26" s="322">
        <f t="shared" si="0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529</v>
      </c>
      <c r="W26" s="39">
        <f ca="1">D26/D$43</f>
        <v>0</v>
      </c>
      <c r="X26" s="119">
        <f t="shared" ca="1" si="1"/>
        <v>0</v>
      </c>
    </row>
    <row r="27" spans="1:24">
      <c r="A27" s="262"/>
      <c r="B27" s="262"/>
      <c r="C27" s="263"/>
      <c r="D27" s="322">
        <f t="shared" si="0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529</v>
      </c>
      <c r="W27" s="39">
        <f ca="1">D27/D$43</f>
        <v>0</v>
      </c>
      <c r="X27" s="119">
        <f t="shared" ca="1" si="1"/>
        <v>0</v>
      </c>
    </row>
    <row r="28" spans="1:24">
      <c r="A28" s="262" t="s">
        <v>517</v>
      </c>
      <c r="B28" s="262" t="s">
        <v>518</v>
      </c>
      <c r="C28" s="263">
        <v>5100</v>
      </c>
      <c r="D28" s="322">
        <f t="shared" ca="1" si="0"/>
        <v>495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43649</v>
      </c>
      <c r="L28" s="302">
        <v>26.83</v>
      </c>
      <c r="M28" s="264">
        <f>(H28*L28)</f>
        <v>5258.6799999999994</v>
      </c>
      <c r="N28" s="264">
        <f>-(IF((M28*0.0075)&lt;30,30,(M28*0.0075)) + (M28*0.0035))</f>
        <v>-57.845479999999995</v>
      </c>
      <c r="O28" s="272">
        <f>J28+N28</f>
        <v>-113.85835999999999</v>
      </c>
      <c r="P28" s="273">
        <f ca="1">IF(K28=0,0,M28-E28+N28)</f>
        <v>52.741639999999236</v>
      </c>
      <c r="Q28" s="274">
        <f ca="1">P28/E28</f>
        <v>1.0244888977216595E-2</v>
      </c>
      <c r="R28" s="275" t="s">
        <v>518</v>
      </c>
      <c r="S28" s="59">
        <f ca="1">Q28+Q29+Q30+Q34</f>
        <v>3.4650043066044918E-2</v>
      </c>
      <c r="W28" s="39">
        <f ca="1">D28/D$43</f>
        <v>0.31428571428571428</v>
      </c>
      <c r="X28" s="119">
        <f t="shared" ca="1" si="1"/>
        <v>1617.9720480000001</v>
      </c>
    </row>
    <row r="29" spans="1:24">
      <c r="A29" s="262" t="s">
        <v>517</v>
      </c>
      <c r="B29" s="262" t="s">
        <v>518</v>
      </c>
      <c r="C29" s="263"/>
      <c r="D29" s="322">
        <f t="shared" si="0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ca="1">D29/D$43</f>
        <v>0</v>
      </c>
      <c r="X29" s="119">
        <f t="shared" ca="1" si="1"/>
        <v>0</v>
      </c>
    </row>
    <row r="30" spans="1:24">
      <c r="A30" s="262" t="s">
        <v>517</v>
      </c>
      <c r="B30" s="262" t="s">
        <v>518</v>
      </c>
      <c r="C30" s="263"/>
      <c r="D30" s="322">
        <f t="shared" si="0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ca="1">D30/D$43</f>
        <v>0</v>
      </c>
      <c r="X30" s="119">
        <f t="shared" ca="1" si="1"/>
        <v>0</v>
      </c>
    </row>
    <row r="31" spans="1:24">
      <c r="A31" s="262" t="s">
        <v>517</v>
      </c>
      <c r="B31" s="262"/>
      <c r="C31" s="263"/>
      <c r="D31" s="322">
        <f t="shared" si="0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530</v>
      </c>
      <c r="W31" s="39">
        <f ca="1">D31/D$43</f>
        <v>0</v>
      </c>
      <c r="X31" s="119">
        <f t="shared" ca="1" si="1"/>
        <v>0</v>
      </c>
    </row>
    <row r="32" spans="1:24">
      <c r="A32" s="262" t="s">
        <v>517</v>
      </c>
      <c r="B32" s="262"/>
      <c r="C32" s="263"/>
      <c r="D32" s="322">
        <f t="shared" si="0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</f>
        <v>-15.84</v>
      </c>
      <c r="Q32" s="274"/>
      <c r="R32" s="275" t="s">
        <v>531</v>
      </c>
      <c r="W32" s="39">
        <f ca="1">D32/D$43</f>
        <v>0</v>
      </c>
      <c r="X32" s="119">
        <f t="shared" ca="1" si="1"/>
        <v>0</v>
      </c>
    </row>
    <row r="33" spans="1:26">
      <c r="A33" s="262" t="s">
        <v>517</v>
      </c>
      <c r="B33" s="262" t="s">
        <v>413</v>
      </c>
      <c r="C33" s="263">
        <v>4090</v>
      </c>
      <c r="D33" s="322">
        <f t="shared" si="0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ca="1">D33/D$43</f>
        <v>1.3968253968253968E-2</v>
      </c>
      <c r="X33" s="119">
        <f t="shared" ca="1" si="1"/>
        <v>57.676683428571422</v>
      </c>
    </row>
    <row r="34" spans="1:26">
      <c r="A34" s="262" t="s">
        <v>517</v>
      </c>
      <c r="B34" s="262" t="s">
        <v>518</v>
      </c>
      <c r="C34" s="263"/>
      <c r="D34" s="322">
        <f t="shared" si="0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ca="1">D34/D$43</f>
        <v>0</v>
      </c>
      <c r="X34" s="119">
        <f t="shared" ca="1" si="1"/>
        <v>0</v>
      </c>
    </row>
    <row r="35" spans="1:26">
      <c r="A35" s="262" t="s">
        <v>517</v>
      </c>
      <c r="B35" s="262" t="s">
        <v>413</v>
      </c>
      <c r="C35" s="263">
        <v>4090</v>
      </c>
      <c r="D35" s="322">
        <f t="shared" ca="1" si="0"/>
        <v>44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43649</v>
      </c>
      <c r="L35" s="302">
        <v>66.3</v>
      </c>
      <c r="M35" s="264">
        <f>(H35*L35)</f>
        <v>4110.5999999999995</v>
      </c>
      <c r="N35" s="264">
        <f>-(IF((M35*0.0075)&lt;30,30,(M35*0.0075)) + (M35*0.0035))</f>
        <v>-45.216599999999993</v>
      </c>
      <c r="O35" s="272">
        <f>J35+N35</f>
        <v>-89.703459999999993</v>
      </c>
      <c r="P35" s="273">
        <f ca="1">IF(K35=0,0,M35-E35+N35)</f>
        <v>-23.363460000000735</v>
      </c>
      <c r="Q35" s="274">
        <f ca="1">P35/E35</f>
        <v>-5.7140881546285634E-3</v>
      </c>
      <c r="R35" s="275" t="s">
        <v>413</v>
      </c>
      <c r="W35" s="39">
        <f ca="1">D35/D$43</f>
        <v>2.7936507936507936E-2</v>
      </c>
      <c r="X35" s="119">
        <f t="shared" ca="1" si="1"/>
        <v>114.22530910476191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ca="1">D36/D$43</f>
        <v>0</v>
      </c>
      <c r="X36" s="119">
        <f t="shared" ca="1" si="1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ca="1">D37/D$43</f>
        <v>0</v>
      </c>
      <c r="X37" s="119">
        <f t="shared" ca="1" si="1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ca="1">D38/D$43</f>
        <v>0</v>
      </c>
      <c r="X38" s="119">
        <f t="shared" ca="1" si="1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ca="1">D39/D$43</f>
        <v>0</v>
      </c>
      <c r="X39" s="119">
        <f t="shared" ca="1" si="1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ca="1">D40/D$43</f>
        <v>0</v>
      </c>
      <c r="X40" s="119">
        <f t="shared" ca="1" si="1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ca="1">D41/D$43</f>
        <v>0</v>
      </c>
      <c r="X41" s="119">
        <f t="shared" ca="1" si="1"/>
        <v>0</v>
      </c>
    </row>
    <row r="42" spans="1:26">
      <c r="A42" s="313"/>
      <c r="B42" s="314"/>
      <c r="C42" s="315"/>
      <c r="D42" s="325">
        <f ca="1">SUM(D13:D41)</f>
        <v>2481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-373.64333900000003</v>
      </c>
      <c r="O42" s="315">
        <f>SUM(O13:O41)</f>
        <v>-559.84147699999994</v>
      </c>
      <c r="P42" s="315">
        <f ca="1">SUM(P13:P41)</f>
        <v>3684.1969029999987</v>
      </c>
      <c r="Q42" s="326">
        <f ca="1">SUM(Q13:Q41)</f>
        <v>3.9278965069836578</v>
      </c>
      <c r="R42" s="317"/>
      <c r="W42" s="327">
        <f ca="1">SUM(W13:W41)</f>
        <v>1.5752380952380951</v>
      </c>
      <c r="X42" s="328">
        <f ca="1">SUM(X13:X41)</f>
        <v>4740.8593195606363</v>
      </c>
      <c r="Y42" s="329">
        <f ca="1">P42/X42</f>
        <v>0.77711584644562604</v>
      </c>
      <c r="Z42" s="329">
        <f ca="1">Y42/(D$43/365)</f>
        <v>0.18009351362073239</v>
      </c>
    </row>
    <row r="43" spans="1:26">
      <c r="C43" s="119" t="s">
        <v>569</v>
      </c>
      <c r="D43" s="46">
        <f ca="1">_xlfn.DAYS(TODAY(),F13)</f>
        <v>1575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537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539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540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541</v>
      </c>
      <c r="T62" s="41" t="s">
        <v>542</v>
      </c>
      <c r="U62" s="38"/>
    </row>
    <row r="63" spans="3:28" ht="15.75">
      <c r="G63" s="38"/>
      <c r="R63" t="s">
        <v>543</v>
      </c>
      <c r="S63" s="309" t="s">
        <v>544</v>
      </c>
      <c r="T63" s="310"/>
      <c r="U63" s="38"/>
    </row>
    <row r="64" spans="3:28">
      <c r="F64" s="38"/>
      <c r="G64" s="38"/>
      <c r="R64" t="s">
        <v>545</v>
      </c>
      <c r="S64" s="309" t="s">
        <v>546</v>
      </c>
      <c r="T64" t="s">
        <v>547</v>
      </c>
    </row>
    <row r="65" spans="6:21">
      <c r="F65" s="38"/>
      <c r="G65" s="38"/>
      <c r="H65" s="38"/>
      <c r="K65" t="s">
        <v>548</v>
      </c>
      <c r="S65" s="38"/>
      <c r="T65" t="s">
        <v>549</v>
      </c>
      <c r="U65" s="38"/>
    </row>
    <row r="66" spans="6:21">
      <c r="K66" s="311">
        <v>43587</v>
      </c>
      <c r="S66" s="306"/>
    </row>
    <row r="67" spans="6:21">
      <c r="K67" t="s">
        <v>550</v>
      </c>
      <c r="S67" s="312"/>
    </row>
    <row r="68" spans="6:21">
      <c r="K68" t="s">
        <v>551</v>
      </c>
      <c r="M68" t="s">
        <v>148</v>
      </c>
      <c r="S68" s="309"/>
      <c r="T68">
        <f>5000/12</f>
        <v>416.66666666666669</v>
      </c>
    </row>
    <row r="69" spans="6:21">
      <c r="K69" t="s">
        <v>552</v>
      </c>
      <c r="T69">
        <f>2.2/T68</f>
        <v>5.28E-3</v>
      </c>
    </row>
    <row r="70" spans="6:21">
      <c r="K70" t="s">
        <v>553</v>
      </c>
      <c r="T70">
        <f>100*T69</f>
        <v>0.52800000000000002</v>
      </c>
    </row>
    <row r="71" spans="6:21">
      <c r="K71" t="s">
        <v>554</v>
      </c>
      <c r="T71">
        <f>2.2*12</f>
        <v>26.400000000000002</v>
      </c>
    </row>
    <row r="72" spans="6:21">
      <c r="K72" t="s">
        <v>555</v>
      </c>
    </row>
    <row r="73" spans="6:21">
      <c r="K73" t="s">
        <v>556</v>
      </c>
    </row>
    <row r="74" spans="6:21">
      <c r="K74" t="s">
        <v>557</v>
      </c>
    </row>
    <row r="75" spans="6:21">
      <c r="K75" t="s">
        <v>558</v>
      </c>
    </row>
    <row r="76" spans="6:21">
      <c r="K76" t="s">
        <v>559</v>
      </c>
    </row>
    <row r="77" spans="6:21">
      <c r="K77" t="s">
        <v>560</v>
      </c>
    </row>
    <row r="78" spans="6:21">
      <c r="K78" t="s">
        <v>561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B6" sqref="B6"/>
    </sheetView>
  </sheetViews>
  <sheetFormatPr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575</v>
      </c>
      <c r="B1" s="448"/>
      <c r="C1" s="448"/>
      <c r="D1" s="448"/>
      <c r="E1" s="448"/>
    </row>
    <row r="2" spans="1:5">
      <c r="A2" s="332" t="s">
        <v>571</v>
      </c>
      <c r="B2" s="333" t="s">
        <v>88</v>
      </c>
      <c r="C2" s="333" t="s">
        <v>572</v>
      </c>
      <c r="D2" s="333" t="s">
        <v>573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-6.3214777832287741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-7.798873217844795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-3.1773187183812128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-6.0657902805459525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-23.363460000000735</v>
      </c>
      <c r="E7" s="275" t="s">
        <v>574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604</v>
      </c>
      <c r="B15" s="446"/>
      <c r="C15" s="446"/>
      <c r="D15" s="446"/>
      <c r="E15" s="446"/>
    </row>
    <row r="17" spans="1:4">
      <c r="A17" s="331" t="s">
        <v>576</v>
      </c>
    </row>
    <row r="19" spans="1:4">
      <c r="A19" t="s">
        <v>577</v>
      </c>
    </row>
    <row r="20" spans="1:4">
      <c r="A20" t="s">
        <v>578</v>
      </c>
    </row>
    <row r="21" spans="1:4">
      <c r="A21" t="s">
        <v>579</v>
      </c>
    </row>
    <row r="22" spans="1:4">
      <c r="A22" t="s">
        <v>580</v>
      </c>
    </row>
    <row r="23" spans="1:4">
      <c r="A23" t="s">
        <v>581</v>
      </c>
    </row>
    <row r="24" spans="1:4">
      <c r="A24" t="s">
        <v>582</v>
      </c>
    </row>
    <row r="25" spans="1:4">
      <c r="A25" t="s">
        <v>583</v>
      </c>
    </row>
    <row r="30" spans="1:4">
      <c r="A30" s="331" t="s">
        <v>584</v>
      </c>
      <c r="B30" s="331" t="s">
        <v>585</v>
      </c>
      <c r="C30" s="331" t="s">
        <v>586</v>
      </c>
      <c r="D30" s="331" t="s">
        <v>587</v>
      </c>
    </row>
    <row r="32" spans="1:4">
      <c r="A32" t="s">
        <v>588</v>
      </c>
      <c r="B32" t="s">
        <v>589</v>
      </c>
      <c r="C32" t="s">
        <v>590</v>
      </c>
      <c r="D32" t="s">
        <v>591</v>
      </c>
    </row>
    <row r="33" spans="1:4">
      <c r="A33" t="s">
        <v>592</v>
      </c>
      <c r="B33" t="s">
        <v>593</v>
      </c>
      <c r="C33" t="s">
        <v>594</v>
      </c>
      <c r="D33" t="s">
        <v>589</v>
      </c>
    </row>
    <row r="34" spans="1:4">
      <c r="A34" t="s">
        <v>595</v>
      </c>
      <c r="B34" t="s">
        <v>596</v>
      </c>
      <c r="C34" t="s">
        <v>597</v>
      </c>
      <c r="D34" t="s">
        <v>591</v>
      </c>
    </row>
    <row r="35" spans="1:4">
      <c r="A35" t="s">
        <v>598</v>
      </c>
      <c r="B35" t="s">
        <v>589</v>
      </c>
      <c r="C35" t="s">
        <v>594</v>
      </c>
      <c r="D35" t="s">
        <v>599</v>
      </c>
    </row>
    <row r="36" spans="1:4">
      <c r="A36" t="s">
        <v>425</v>
      </c>
      <c r="B36" t="s">
        <v>589</v>
      </c>
      <c r="C36" t="s">
        <v>590</v>
      </c>
      <c r="D36" t="s">
        <v>599</v>
      </c>
    </row>
    <row r="37" spans="1:4">
      <c r="A37" t="s">
        <v>600</v>
      </c>
      <c r="B37" t="s">
        <v>591</v>
      </c>
      <c r="C37" t="s">
        <v>597</v>
      </c>
      <c r="D37" t="s">
        <v>596</v>
      </c>
    </row>
    <row r="38" spans="1:4">
      <c r="A38" t="s">
        <v>601</v>
      </c>
      <c r="B38" t="s">
        <v>589</v>
      </c>
      <c r="C38" t="s">
        <v>597</v>
      </c>
      <c r="D38" t="s">
        <v>589</v>
      </c>
    </row>
    <row r="39" spans="1:4">
      <c r="A39" t="s">
        <v>602</v>
      </c>
      <c r="B39" t="s">
        <v>591</v>
      </c>
      <c r="C39" t="s">
        <v>590</v>
      </c>
      <c r="D39" t="s">
        <v>589</v>
      </c>
    </row>
    <row r="40" spans="1:4">
      <c r="A40" t="s">
        <v>603</v>
      </c>
      <c r="B40" t="s">
        <v>591</v>
      </c>
      <c r="C40" t="s">
        <v>590</v>
      </c>
      <c r="D40" t="s">
        <v>596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>
        <v>2018</v>
      </c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5">
        <v>2901.68</v>
      </c>
      <c r="L5" s="426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7">
        <v>620.05999999999995</v>
      </c>
      <c r="L6" s="428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7">
        <v>8035.29</v>
      </c>
      <c r="L7" s="42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7">
        <v>659.39</v>
      </c>
      <c r="L9" s="42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7">
        <f>240+35</f>
        <v>275</v>
      </c>
      <c r="L11" s="42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3">
        <f>SUM(K5:K18)</f>
        <v>26383.54</v>
      </c>
      <c r="L19" s="434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12"/>
      <c r="I22" s="417" t="s">
        <v>6</v>
      </c>
      <c r="J22" s="418"/>
      <c r="K22" s="418"/>
      <c r="L22" s="419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12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12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4" t="str">
        <f>AÑO!A8</f>
        <v>Manolo Salario</v>
      </c>
      <c r="J25" s="407" t="s">
        <v>291</v>
      </c>
      <c r="K25" s="408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5"/>
      <c r="J26" s="409"/>
      <c r="K26" s="410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5"/>
      <c r="J27" s="409"/>
      <c r="K27" s="410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5"/>
      <c r="J28" s="409"/>
      <c r="K28" s="410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3"/>
      <c r="J29" s="414"/>
      <c r="K29" s="415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4" t="str">
        <f>AÑO!A9</f>
        <v>Rocío Salario</v>
      </c>
      <c r="J30" s="407" t="s">
        <v>238</v>
      </c>
      <c r="K30" s="408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5"/>
      <c r="J31" s="409" t="s">
        <v>256</v>
      </c>
      <c r="K31" s="410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5"/>
      <c r="J32" s="416" t="s">
        <v>267</v>
      </c>
      <c r="K32" s="410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4" t="s">
        <v>218</v>
      </c>
      <c r="J35" s="407" t="s">
        <v>306</v>
      </c>
      <c r="K35" s="408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4" t="str">
        <f>AÑO!A11</f>
        <v>Finanazas</v>
      </c>
      <c r="J40" s="407" t="s">
        <v>239</v>
      </c>
      <c r="K40" s="408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5"/>
      <c r="J41" s="409" t="s">
        <v>240</v>
      </c>
      <c r="K41" s="410"/>
      <c r="L41" s="229">
        <v>1.87</v>
      </c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12"/>
      <c r="I42" s="405"/>
      <c r="J42" s="409" t="s">
        <v>269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12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12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4" t="str">
        <f>AÑO!A12</f>
        <v>Regalos</v>
      </c>
      <c r="J45" s="407" t="s">
        <v>299</v>
      </c>
      <c r="K45" s="408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3"/>
      <c r="J49" s="414"/>
      <c r="K49" s="415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4" t="str">
        <f>AÑO!A13</f>
        <v>Gubernamental</v>
      </c>
      <c r="J50" s="407" t="s">
        <v>259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3"/>
      <c r="J54" s="414"/>
      <c r="K54" s="415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3"/>
      <c r="J59" s="414"/>
      <c r="K59" s="415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4" t="str">
        <f>AÑO!A15</f>
        <v>Alquiler Cartama</v>
      </c>
      <c r="J60" s="407"/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12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12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12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4" t="str">
        <f>AÑO!A16</f>
        <v>Otros</v>
      </c>
      <c r="J65" s="407" t="s">
        <v>296</v>
      </c>
      <c r="K65" s="408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5"/>
      <c r="J66" s="409"/>
      <c r="K66" s="410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5"/>
      <c r="J67" s="409"/>
      <c r="K67" s="410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5"/>
      <c r="J68" s="409"/>
      <c r="K68" s="410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6"/>
      <c r="J69" s="411"/>
      <c r="K69" s="412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12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12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12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12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12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12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12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12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  <c r="H202" s="112"/>
    </row>
    <row r="203" spans="2:12" ht="15" customHeight="1" thickBot="1">
      <c r="B203" s="420"/>
      <c r="C203" s="421"/>
      <c r="D203" s="421"/>
      <c r="E203" s="421"/>
      <c r="F203" s="421"/>
      <c r="G203" s="422"/>
      <c r="H203" s="112"/>
    </row>
    <row r="204" spans="2:12" ht="15.75">
      <c r="B204" s="430" t="s">
        <v>8</v>
      </c>
      <c r="C204" s="431"/>
      <c r="D204" s="432" t="s">
        <v>9</v>
      </c>
      <c r="E204" s="432"/>
      <c r="F204" s="432"/>
      <c r="G204" s="43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9" t="str">
        <f>AÑO!A31</f>
        <v>Deportes</v>
      </c>
      <c r="C222" s="418"/>
      <c r="D222" s="418"/>
      <c r="E222" s="418"/>
      <c r="F222" s="418"/>
      <c r="G222" s="419"/>
      <c r="H222" s="112"/>
    </row>
    <row r="223" spans="2:8" ht="15" customHeight="1" thickBot="1">
      <c r="B223" s="420"/>
      <c r="C223" s="421"/>
      <c r="D223" s="421"/>
      <c r="E223" s="421"/>
      <c r="F223" s="421"/>
      <c r="G223" s="422"/>
      <c r="H223" s="112"/>
    </row>
    <row r="224" spans="2:8" ht="15.75">
      <c r="B224" s="430" t="s">
        <v>8</v>
      </c>
      <c r="C224" s="431"/>
      <c r="D224" s="432" t="s">
        <v>9</v>
      </c>
      <c r="E224" s="432"/>
      <c r="F224" s="432"/>
      <c r="G224" s="43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9" t="str">
        <f>AÑO!A32</f>
        <v>Hogar</v>
      </c>
      <c r="C242" s="418"/>
      <c r="D242" s="418"/>
      <c r="E242" s="418"/>
      <c r="F242" s="418"/>
      <c r="G242" s="419"/>
      <c r="H242" s="112"/>
    </row>
    <row r="243" spans="2:8" ht="15" customHeight="1" thickBot="1">
      <c r="B243" s="420"/>
      <c r="C243" s="421"/>
      <c r="D243" s="421"/>
      <c r="E243" s="421"/>
      <c r="F243" s="421"/>
      <c r="G243" s="422"/>
      <c r="H243" s="112"/>
    </row>
    <row r="244" spans="2:8" ht="15" customHeight="1">
      <c r="B244" s="430" t="s">
        <v>8</v>
      </c>
      <c r="C244" s="431"/>
      <c r="D244" s="432" t="s">
        <v>9</v>
      </c>
      <c r="E244" s="432"/>
      <c r="F244" s="432"/>
      <c r="G244" s="43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9" t="str">
        <f>AÑO!A33</f>
        <v>Formación</v>
      </c>
      <c r="C262" s="418"/>
      <c r="D262" s="418"/>
      <c r="E262" s="418"/>
      <c r="F262" s="418"/>
      <c r="G262" s="419"/>
      <c r="H262" s="112"/>
    </row>
    <row r="263" spans="2:8" ht="15" customHeight="1" thickBot="1">
      <c r="B263" s="420"/>
      <c r="C263" s="421"/>
      <c r="D263" s="421"/>
      <c r="E263" s="421"/>
      <c r="F263" s="421"/>
      <c r="G263" s="422"/>
      <c r="H263" s="112"/>
    </row>
    <row r="264" spans="2:8" ht="15.75">
      <c r="B264" s="430" t="s">
        <v>8</v>
      </c>
      <c r="C264" s="431"/>
      <c r="D264" s="432" t="s">
        <v>9</v>
      </c>
      <c r="E264" s="432"/>
      <c r="F264" s="432"/>
      <c r="G264" s="43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  <c r="H282" s="112"/>
    </row>
    <row r="283" spans="2:8" ht="15" customHeight="1" thickBot="1">
      <c r="B283" s="420"/>
      <c r="C283" s="421"/>
      <c r="D283" s="421"/>
      <c r="E283" s="421"/>
      <c r="F283" s="421"/>
      <c r="G283" s="422"/>
      <c r="H283" s="112"/>
    </row>
    <row r="284" spans="2:8" ht="15.75">
      <c r="B284" s="430" t="s">
        <v>8</v>
      </c>
      <c r="C284" s="431"/>
      <c r="D284" s="432" t="s">
        <v>9</v>
      </c>
      <c r="E284" s="432"/>
      <c r="F284" s="432"/>
      <c r="G284" s="43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  <c r="H302" s="112"/>
    </row>
    <row r="303" spans="2:8" ht="15" customHeight="1" thickBot="1">
      <c r="B303" s="420"/>
      <c r="C303" s="421"/>
      <c r="D303" s="421"/>
      <c r="E303" s="421"/>
      <c r="F303" s="421"/>
      <c r="G303" s="422"/>
      <c r="H303" s="112"/>
    </row>
    <row r="304" spans="2:8" ht="15.75">
      <c r="B304" s="430" t="s">
        <v>8</v>
      </c>
      <c r="C304" s="431"/>
      <c r="D304" s="432" t="s">
        <v>9</v>
      </c>
      <c r="E304" s="432"/>
      <c r="F304" s="432"/>
      <c r="G304" s="43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9" t="str">
        <f>AÑO!A36</f>
        <v>Nenas</v>
      </c>
      <c r="C322" s="418"/>
      <c r="D322" s="418"/>
      <c r="E322" s="418"/>
      <c r="F322" s="418"/>
      <c r="G322" s="419"/>
      <c r="H322" s="112"/>
    </row>
    <row r="323" spans="2:8" ht="15" customHeight="1" thickBot="1">
      <c r="B323" s="420"/>
      <c r="C323" s="421"/>
      <c r="D323" s="421"/>
      <c r="E323" s="421"/>
      <c r="F323" s="421"/>
      <c r="G323" s="422"/>
      <c r="H323" s="112"/>
    </row>
    <row r="324" spans="2:8" ht="15.75">
      <c r="B324" s="430" t="s">
        <v>8</v>
      </c>
      <c r="C324" s="431"/>
      <c r="D324" s="432" t="s">
        <v>9</v>
      </c>
      <c r="E324" s="432"/>
      <c r="F324" s="432"/>
      <c r="G324" s="43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9" t="str">
        <f>AÑO!A37</f>
        <v>Impuestos</v>
      </c>
      <c r="C342" s="418"/>
      <c r="D342" s="418"/>
      <c r="E342" s="418"/>
      <c r="F342" s="418"/>
      <c r="G342" s="419"/>
      <c r="H342" s="112"/>
    </row>
    <row r="343" spans="2:8" ht="15" customHeight="1" thickBot="1">
      <c r="B343" s="420"/>
      <c r="C343" s="421"/>
      <c r="D343" s="421"/>
      <c r="E343" s="421"/>
      <c r="F343" s="421"/>
      <c r="G343" s="422"/>
      <c r="H343" s="112"/>
    </row>
    <row r="344" spans="2:8" ht="15.75">
      <c r="B344" s="430" t="s">
        <v>8</v>
      </c>
      <c r="C344" s="431"/>
      <c r="D344" s="432" t="s">
        <v>9</v>
      </c>
      <c r="E344" s="432"/>
      <c r="F344" s="432"/>
      <c r="G344" s="43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9" t="str">
        <f>AÑO!A38</f>
        <v>Gastos Curros</v>
      </c>
      <c r="C362" s="418"/>
      <c r="D362" s="418"/>
      <c r="E362" s="418"/>
      <c r="F362" s="418"/>
      <c r="G362" s="419"/>
      <c r="H362" s="112"/>
    </row>
    <row r="363" spans="2:8" ht="15" customHeight="1" thickBot="1">
      <c r="B363" s="420"/>
      <c r="C363" s="421"/>
      <c r="D363" s="421"/>
      <c r="E363" s="421"/>
      <c r="F363" s="421"/>
      <c r="G363" s="422"/>
      <c r="H363" s="112"/>
    </row>
    <row r="364" spans="2:8" ht="15.75">
      <c r="B364" s="430" t="s">
        <v>8</v>
      </c>
      <c r="C364" s="431"/>
      <c r="D364" s="432" t="s">
        <v>9</v>
      </c>
      <c r="E364" s="432"/>
      <c r="F364" s="432"/>
      <c r="G364" s="43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9" t="str">
        <f>AÑO!A39</f>
        <v>Dreamed Holidays</v>
      </c>
      <c r="C382" s="418"/>
      <c r="D382" s="418"/>
      <c r="E382" s="418"/>
      <c r="F382" s="418"/>
      <c r="G382" s="419"/>
      <c r="H382" s="112"/>
    </row>
    <row r="383" spans="2:8" ht="15" customHeight="1" thickBot="1">
      <c r="B383" s="420"/>
      <c r="C383" s="421"/>
      <c r="D383" s="421"/>
      <c r="E383" s="421"/>
      <c r="F383" s="421"/>
      <c r="G383" s="422"/>
      <c r="H383" s="112"/>
    </row>
    <row r="384" spans="2:8" ht="15.75">
      <c r="B384" s="430" t="s">
        <v>8</v>
      </c>
      <c r="C384" s="431"/>
      <c r="D384" s="432" t="s">
        <v>9</v>
      </c>
      <c r="E384" s="432"/>
      <c r="F384" s="432"/>
      <c r="G384" s="43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9" t="str">
        <f>AÑO!A40</f>
        <v>Financieros</v>
      </c>
      <c r="C402" s="418"/>
      <c r="D402" s="418"/>
      <c r="E402" s="418"/>
      <c r="F402" s="418"/>
      <c r="G402" s="419"/>
      <c r="H402" s="112"/>
    </row>
    <row r="403" spans="2:8" ht="15" customHeight="1" thickBot="1">
      <c r="B403" s="420"/>
      <c r="C403" s="421"/>
      <c r="D403" s="421"/>
      <c r="E403" s="421"/>
      <c r="F403" s="421"/>
      <c r="G403" s="422"/>
      <c r="H403" s="112"/>
    </row>
    <row r="404" spans="2:8" ht="15.75">
      <c r="B404" s="430" t="s">
        <v>8</v>
      </c>
      <c r="C404" s="431"/>
      <c r="D404" s="432" t="s">
        <v>9</v>
      </c>
      <c r="E404" s="432"/>
      <c r="F404" s="432"/>
      <c r="G404" s="43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  <c r="H422" s="112"/>
    </row>
    <row r="423" spans="1:8" ht="15" customHeight="1" thickBot="1">
      <c r="B423" s="437"/>
      <c r="C423" s="438"/>
      <c r="D423" s="438"/>
      <c r="E423" s="438"/>
      <c r="F423" s="438"/>
      <c r="G423" s="439"/>
      <c r="H423" s="112"/>
    </row>
    <row r="424" spans="1:8" ht="15.75">
      <c r="B424" s="430" t="s">
        <v>8</v>
      </c>
      <c r="C424" s="431"/>
      <c r="D424" s="432" t="s">
        <v>9</v>
      </c>
      <c r="E424" s="432"/>
      <c r="F424" s="432"/>
      <c r="G424" s="431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9" t="str">
        <f>AÑO!A42</f>
        <v>Dinero Bloqueado</v>
      </c>
      <c r="C442" s="435"/>
      <c r="D442" s="435"/>
      <c r="E442" s="435"/>
      <c r="F442" s="435"/>
      <c r="G442" s="436"/>
      <c r="H442" s="112"/>
    </row>
    <row r="443" spans="2:8" ht="15" customHeight="1" thickBot="1">
      <c r="B443" s="437"/>
      <c r="C443" s="438"/>
      <c r="D443" s="438"/>
      <c r="E443" s="438"/>
      <c r="F443" s="438"/>
      <c r="G443" s="439"/>
      <c r="H443" s="112"/>
    </row>
    <row r="444" spans="2:8" ht="15.75">
      <c r="B444" s="430" t="s">
        <v>8</v>
      </c>
      <c r="C444" s="431"/>
      <c r="D444" s="432" t="s">
        <v>9</v>
      </c>
      <c r="E444" s="432"/>
      <c r="F444" s="432"/>
      <c r="G444" s="43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9" t="str">
        <f>AÑO!A43</f>
        <v>Cartama Finanazas</v>
      </c>
      <c r="C462" s="435"/>
      <c r="D462" s="435"/>
      <c r="E462" s="435"/>
      <c r="F462" s="435"/>
      <c r="G462" s="436"/>
      <c r="H462" s="112"/>
    </row>
    <row r="463" spans="2:8" ht="15" customHeight="1" thickBot="1">
      <c r="B463" s="437"/>
      <c r="C463" s="438"/>
      <c r="D463" s="438"/>
      <c r="E463" s="438"/>
      <c r="F463" s="438"/>
      <c r="G463" s="439"/>
      <c r="H463" s="112"/>
    </row>
    <row r="464" spans="2:8" ht="15.75">
      <c r="B464" s="430" t="s">
        <v>8</v>
      </c>
      <c r="C464" s="431"/>
      <c r="D464" s="432" t="s">
        <v>9</v>
      </c>
      <c r="E464" s="432"/>
      <c r="F464" s="432"/>
      <c r="G464" s="431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9" t="str">
        <f>AÑO!A44</f>
        <v>NULO</v>
      </c>
      <c r="C482" s="435"/>
      <c r="D482" s="435"/>
      <c r="E482" s="435"/>
      <c r="F482" s="435"/>
      <c r="G482" s="436"/>
      <c r="H482" s="112"/>
    </row>
    <row r="483" spans="2:8" ht="15" customHeight="1" thickBot="1">
      <c r="B483" s="437"/>
      <c r="C483" s="438"/>
      <c r="D483" s="438"/>
      <c r="E483" s="438"/>
      <c r="F483" s="438"/>
      <c r="G483" s="439"/>
      <c r="H483" s="112"/>
    </row>
    <row r="484" spans="2:8" ht="15.75">
      <c r="B484" s="430" t="s">
        <v>8</v>
      </c>
      <c r="C484" s="431"/>
      <c r="D484" s="432" t="s">
        <v>9</v>
      </c>
      <c r="E484" s="432"/>
      <c r="F484" s="432"/>
      <c r="G484" s="43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9" t="str">
        <f>AÑO!A45</f>
        <v>OTROS</v>
      </c>
      <c r="C502" s="435"/>
      <c r="D502" s="435"/>
      <c r="E502" s="435"/>
      <c r="F502" s="435"/>
      <c r="G502" s="436"/>
      <c r="H502" s="112"/>
    </row>
    <row r="503" spans="2:8" ht="15" customHeight="1" thickBot="1">
      <c r="B503" s="437"/>
      <c r="C503" s="438"/>
      <c r="D503" s="438"/>
      <c r="E503" s="438"/>
      <c r="F503" s="438"/>
      <c r="G503" s="439"/>
      <c r="H503" s="112"/>
    </row>
    <row r="504" spans="2:8" ht="15.75">
      <c r="B504" s="430" t="s">
        <v>8</v>
      </c>
      <c r="C504" s="431"/>
      <c r="D504" s="432" t="s">
        <v>9</v>
      </c>
      <c r="E504" s="432"/>
      <c r="F504" s="432"/>
      <c r="G504" s="43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2397.48-4.45</f>
        <v>2393.0300000000002</v>
      </c>
      <c r="L5" s="426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>
        <f>7340.23-4.45</f>
        <v>7335.78</v>
      </c>
      <c r="L7" s="428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7">
        <v>7001.87</v>
      </c>
      <c r="L8" s="42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669.52</v>
      </c>
      <c r="L9" s="428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f>160+155</f>
        <v>315</v>
      </c>
      <c r="L11" s="42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25229.379999999997</v>
      </c>
      <c r="L19" s="434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314</v>
      </c>
      <c r="K30" s="408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319</v>
      </c>
      <c r="K31" s="410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 t="s">
        <v>314</v>
      </c>
      <c r="K33" s="410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 t="s">
        <v>359</v>
      </c>
      <c r="K35" s="408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 t="s">
        <v>160</v>
      </c>
      <c r="K45" s="408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4" t="str">
        <f>AÑO!A13</f>
        <v>Gubernamental</v>
      </c>
      <c r="J50" s="407" t="s">
        <v>259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4" t="str">
        <f>AÑO!A15</f>
        <v>Alquiler Cartama</v>
      </c>
      <c r="J60" s="407" t="s">
        <v>315</v>
      </c>
      <c r="K60" s="408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5"/>
      <c r="J66" s="409"/>
      <c r="K66" s="410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5"/>
      <c r="J67" s="409"/>
      <c r="K67" s="410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6"/>
      <c r="J69" s="411"/>
      <c r="K69" s="412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8" ht="15" customHeight="1" thickBot="1">
      <c r="B423" s="437"/>
      <c r="C423" s="438"/>
      <c r="D423" s="438"/>
      <c r="E423" s="438"/>
      <c r="F423" s="438"/>
      <c r="G423" s="439"/>
    </row>
    <row r="424" spans="1:8">
      <c r="B424" s="430" t="s">
        <v>8</v>
      </c>
      <c r="C424" s="431"/>
      <c r="D424" s="432" t="s">
        <v>9</v>
      </c>
      <c r="E424" s="432"/>
      <c r="F424" s="432"/>
      <c r="G424" s="43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1559.34</v>
      </c>
      <c r="L5" s="426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7">
        <v>8577.0300000000007</v>
      </c>
      <c r="L7" s="428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3501.87</v>
      </c>
      <c r="L8" s="428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7">
        <v>4167.34</v>
      </c>
      <c r="L9" s="428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255</v>
      </c>
      <c r="L11" s="42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25574.760000000002</v>
      </c>
      <c r="L19" s="434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363</v>
      </c>
      <c r="K30" s="408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238</v>
      </c>
      <c r="K31" s="410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 t="s">
        <v>380</v>
      </c>
      <c r="K45" s="408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05"/>
      <c r="J46" s="409" t="s">
        <v>160</v>
      </c>
      <c r="K46" s="410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04" t="str">
        <f>AÑO!A13</f>
        <v>Gubernamental</v>
      </c>
      <c r="J50" s="407" t="s">
        <v>259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05"/>
      <c r="J51" s="409" t="s">
        <v>418</v>
      </c>
      <c r="K51" s="410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04" t="str">
        <f>AÑO!A14</f>
        <v>Mutualite/DKV</v>
      </c>
      <c r="J55" s="440" t="str">
        <f>G306</f>
        <v>12/03 Chirec</v>
      </c>
      <c r="K55" s="408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 t="s">
        <v>367</v>
      </c>
      <c r="K60" s="408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8" ht="15" customHeight="1" thickBot="1">
      <c r="B243" s="420"/>
      <c r="C243" s="421"/>
      <c r="D243" s="421"/>
      <c r="E243" s="421"/>
      <c r="F243" s="421"/>
      <c r="G243" s="422"/>
    </row>
    <row r="244" spans="1:8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2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75" workbookViewId="0">
      <selection activeCell="B282" sqref="B282:G30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861.84</v>
      </c>
      <c r="L5" s="426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10075.709999999999</v>
      </c>
      <c r="L7" s="428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7">
        <v>3501.87</v>
      </c>
      <c r="L8" s="42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35.96</v>
      </c>
      <c r="L9" s="428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370</v>
      </c>
      <c r="L11" s="42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5092.08+4084.2</f>
        <v>9176.2799999999988</v>
      </c>
      <c r="L12" s="428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363</v>
      </c>
      <c r="K30" s="408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431</v>
      </c>
      <c r="K31" s="410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 t="s">
        <v>425</v>
      </c>
      <c r="K40" s="408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445</v>
      </c>
      <c r="K41" s="410"/>
      <c r="L41" s="229">
        <v>352.82</v>
      </c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 t="s">
        <v>60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04" t="str">
        <f>AÑO!A13</f>
        <v>Gubernamental</v>
      </c>
      <c r="J50" s="407" t="s">
        <v>434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40" t="str">
        <f>'03'!G307</f>
        <v>22/03 Chirec</v>
      </c>
      <c r="K55" s="408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1" t="str">
        <f>'03'!G309</f>
        <v>26/03 Ginecologa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449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0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5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1773.93</v>
      </c>
      <c r="L5" s="426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7144.52</v>
      </c>
      <c r="L7" s="428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10005.620000000001</v>
      </c>
      <c r="L8" s="42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514.82000000000005</v>
      </c>
      <c r="L9" s="428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f>210</f>
        <v>210</v>
      </c>
      <c r="L11" s="42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431</v>
      </c>
      <c r="K30" s="408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363</v>
      </c>
      <c r="K31" s="410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 t="s">
        <v>473</v>
      </c>
      <c r="K40" s="408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490</v>
      </c>
      <c r="H50" s="1"/>
      <c r="I50" s="404" t="str">
        <f>AÑO!A13</f>
        <v>Gubernamental</v>
      </c>
      <c r="J50" s="407" t="s">
        <v>484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491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495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498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607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608</v>
      </c>
      <c r="H55" s="1"/>
      <c r="I55" s="404" t="str">
        <f>AÑO!A14</f>
        <v>Mutualite/DKV</v>
      </c>
      <c r="J55" s="407" t="s">
        <v>478</v>
      </c>
      <c r="K55" s="408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488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568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493</v>
      </c>
    </row>
    <row r="207" spans="2:12">
      <c r="B207" s="134">
        <v>15</v>
      </c>
      <c r="C207" s="16" t="s">
        <v>568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613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8" ht="15" customHeight="1" thickBot="1">
      <c r="B263" s="420"/>
      <c r="C263" s="421"/>
      <c r="D263" s="421"/>
      <c r="E263" s="421"/>
      <c r="F263" s="421"/>
      <c r="G263" s="422"/>
    </row>
    <row r="264" spans="1:8">
      <c r="B264" s="430" t="s">
        <v>8</v>
      </c>
      <c r="C264" s="431"/>
      <c r="D264" s="430" t="s">
        <v>9</v>
      </c>
      <c r="E264" s="432"/>
      <c r="F264" s="432"/>
      <c r="G264" s="43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486</v>
      </c>
    </row>
    <row r="287" spans="2:8">
      <c r="B287" s="134">
        <v>35</v>
      </c>
      <c r="C287" s="16" t="s">
        <v>614</v>
      </c>
      <c r="D287" s="137">
        <v>54.8</v>
      </c>
      <c r="E287" s="138"/>
      <c r="F287" s="138"/>
      <c r="G287" s="16" t="s">
        <v>616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634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487</v>
      </c>
      <c r="D308" s="137">
        <f>51.89+44.67</f>
        <v>96.56</v>
      </c>
      <c r="E308" s="138"/>
      <c r="F308" s="138"/>
      <c r="G308" s="16" t="s">
        <v>606</v>
      </c>
    </row>
    <row r="309" spans="2:7">
      <c r="B309" s="134">
        <v>170</v>
      </c>
      <c r="C309" s="16" t="s">
        <v>568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500</v>
      </c>
    </row>
    <row r="409" spans="2:7">
      <c r="B409" s="134">
        <f>29.29+20</f>
        <v>49.29</v>
      </c>
      <c r="C409" s="16" t="s">
        <v>568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8" ht="15" customHeight="1" thickBot="1">
      <c r="B423" s="437"/>
      <c r="C423" s="438"/>
      <c r="D423" s="438"/>
      <c r="E423" s="438"/>
      <c r="F423" s="438"/>
      <c r="G423" s="439"/>
    </row>
    <row r="424" spans="1:8">
      <c r="B424" s="430" t="s">
        <v>8</v>
      </c>
      <c r="C424" s="431"/>
      <c r="D424" s="430" t="s">
        <v>9</v>
      </c>
      <c r="E424" s="432"/>
      <c r="F424" s="432"/>
      <c r="G424" s="43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395" zoomScaleNormal="100" workbookViewId="0">
      <selection activeCell="G416" sqref="G41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M5+2156.93</f>
        <v>1614.1099999999997</v>
      </c>
      <c r="L5" s="426"/>
      <c r="M5" s="1">
        <f>-542.82</f>
        <v>-542.82000000000005</v>
      </c>
      <c r="N5" s="1" t="s">
        <v>612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f>9234.42-58.2</f>
        <v>9176.2199999999993</v>
      </c>
      <c r="L7" s="428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7">
        <v>6305.62</v>
      </c>
      <c r="L8" s="428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7">
        <v>169.67</v>
      </c>
      <c r="L9" s="428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190</v>
      </c>
      <c r="L11" s="42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627</v>
      </c>
      <c r="K30" s="408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431</v>
      </c>
      <c r="K31" s="410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 t="s">
        <v>359</v>
      </c>
      <c r="K35" s="408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 t="s">
        <v>160</v>
      </c>
      <c r="K45" s="408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619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631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620</v>
      </c>
      <c r="D48" s="137">
        <v>27.2</v>
      </c>
      <c r="E48" s="138"/>
      <c r="F48" s="138"/>
      <c r="G48" s="16" t="s">
        <v>644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645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649</v>
      </c>
      <c r="H50" s="1"/>
      <c r="I50" s="404" t="str">
        <f>AÑO!A13</f>
        <v>Gubernamental</v>
      </c>
      <c r="J50" s="407" t="s">
        <v>640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657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659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665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670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678</v>
      </c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 t="s">
        <v>628</v>
      </c>
      <c r="K60" s="408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-35</v>
      </c>
      <c r="C67" s="16" t="s">
        <v>629</v>
      </c>
      <c r="D67" s="137">
        <v>36.049999999999997</v>
      </c>
      <c r="E67" s="138"/>
      <c r="F67" s="138"/>
      <c r="G67" s="31" t="s">
        <v>652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654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656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660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623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625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642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643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667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676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677</v>
      </c>
      <c r="H146" s="1"/>
      <c r="M146" s="1"/>
      <c r="R146" s="3"/>
    </row>
    <row r="147" spans="1:22" ht="15.75">
      <c r="A147" s="1"/>
      <c r="B147" s="134">
        <v>-60</v>
      </c>
      <c r="C147" s="16" t="s">
        <v>621</v>
      </c>
      <c r="D147" s="137"/>
      <c r="E147" s="138"/>
      <c r="F147" s="138"/>
      <c r="G147" s="16" t="s">
        <v>622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658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679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403</v>
      </c>
      <c r="D246" s="137"/>
      <c r="E246" s="138">
        <v>21.08</v>
      </c>
      <c r="F246" s="138"/>
      <c r="G246" s="16" t="s">
        <v>648</v>
      </c>
    </row>
    <row r="247" spans="1:7" ht="15" customHeight="1">
      <c r="A247" s="112"/>
      <c r="B247" s="134">
        <f>-10</f>
        <v>-10</v>
      </c>
      <c r="C247" s="16" t="s">
        <v>681</v>
      </c>
      <c r="D247" s="137">
        <v>12.99</v>
      </c>
      <c r="E247" s="138"/>
      <c r="F247" s="138"/>
      <c r="G247" s="16" t="s">
        <v>657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670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432</v>
      </c>
      <c r="D257" s="137"/>
      <c r="E257" s="138">
        <v>100.67</v>
      </c>
      <c r="F257" s="138"/>
      <c r="G257" s="16" t="s">
        <v>406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8" ht="15" customHeight="1" thickBot="1">
      <c r="B263" s="420"/>
      <c r="C263" s="421"/>
      <c r="D263" s="421"/>
      <c r="E263" s="421"/>
      <c r="F263" s="421"/>
      <c r="G263" s="422"/>
    </row>
    <row r="264" spans="1:8">
      <c r="B264" s="430" t="s">
        <v>8</v>
      </c>
      <c r="C264" s="431"/>
      <c r="D264" s="430" t="s">
        <v>9</v>
      </c>
      <c r="E264" s="432"/>
      <c r="F264" s="432"/>
      <c r="G264" s="43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633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663</v>
      </c>
      <c r="H267" s="89" t="s">
        <v>662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9" ht="15" customHeight="1" thickBot="1">
      <c r="B283" s="420"/>
      <c r="C283" s="421"/>
      <c r="D283" s="421"/>
      <c r="E283" s="421"/>
      <c r="F283" s="421"/>
      <c r="G283" s="422"/>
    </row>
    <row r="284" spans="2:9">
      <c r="B284" s="430" t="s">
        <v>8</v>
      </c>
      <c r="C284" s="431"/>
      <c r="D284" s="430" t="s">
        <v>9</v>
      </c>
      <c r="E284" s="432"/>
      <c r="F284" s="432"/>
      <c r="G284" s="43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636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647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617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626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638</v>
      </c>
    </row>
    <row r="308" spans="2:7">
      <c r="B308" s="134"/>
      <c r="C308" s="27"/>
      <c r="D308" s="137"/>
      <c r="E308" s="138"/>
      <c r="F308" s="138">
        <v>50</v>
      </c>
      <c r="G308" s="16" t="s">
        <v>639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>
        <v>35</v>
      </c>
      <c r="C348" s="16" t="s">
        <v>630</v>
      </c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2:7">
      <c r="B367" s="134"/>
      <c r="C367" s="16"/>
      <c r="D367" s="137">
        <f>4.1+5.9</f>
        <v>10</v>
      </c>
      <c r="E367" s="138"/>
      <c r="F367" s="138"/>
      <c r="G367" s="31" t="s">
        <v>651</v>
      </c>
    </row>
    <row r="368" spans="2:7">
      <c r="B368" s="134"/>
      <c r="C368" s="16"/>
      <c r="D368" s="137">
        <f>8.85+6.75</f>
        <v>15.6</v>
      </c>
      <c r="E368" s="138"/>
      <c r="F368" s="138"/>
      <c r="G368" s="16" t="s">
        <v>670</v>
      </c>
    </row>
    <row r="369" spans="2:7">
      <c r="B369" s="134"/>
      <c r="C369" s="16"/>
      <c r="D369" s="137">
        <v>11</v>
      </c>
      <c r="E369" s="138"/>
      <c r="F369" s="138"/>
      <c r="G369" s="16" t="s">
        <v>671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624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abSelected="1" topLeftCell="A392" workbookViewId="0">
      <selection activeCell="I401" sqref="I40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2939.95</f>
        <v>2939.95</v>
      </c>
      <c r="L5" s="426"/>
      <c r="M5" s="1"/>
      <c r="N5" s="1"/>
      <c r="R5" s="3"/>
    </row>
    <row r="6" spans="1:22" ht="15.75">
      <c r="A6" s="112">
        <f>'06'!A6+(B6-SUM(D6:F6))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8049.26</v>
      </c>
      <c r="L7" s="428"/>
      <c r="M7" s="1"/>
      <c r="N7" s="1"/>
      <c r="R7" s="3"/>
    </row>
    <row r="8" spans="1:22" ht="15.75">
      <c r="A8" s="112">
        <f>'06'!A8+(B8-SUM(D8:F8))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6305.62</v>
      </c>
      <c r="L8" s="42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169.67</v>
      </c>
      <c r="L9" s="428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'06'!A11+(B11-SUM(D11:F11))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>
        <v>260</v>
      </c>
      <c r="L11" s="42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778.34999999999991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231"/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'06'!A27+(B27-SUM(D27:F27))</f>
        <v>220.02999999999997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431</v>
      </c>
      <c r="K30" s="408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627</v>
      </c>
      <c r="K31" s="410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1484.09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 t="s">
        <v>680</v>
      </c>
      <c r="K40" s="408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685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620</v>
      </c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15.8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'06'!A66+(B66-SUM(D66:F78))+B67</f>
        <v>161.68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251.68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37.5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8.0299999999999994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48.519999999999996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</f>
        <v>71.5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'06'!A257+(B257-SUM(D257:F257))</f>
        <v>656.79000000000008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'06'!A258+(B258-SUM(D258:F258))</f>
        <v>165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SUM(A246:A259)</f>
        <v>923.29000000000008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0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682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684</v>
      </c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27.5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4</f>
        <v>4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683</v>
      </c>
    </row>
    <row r="407" spans="2:7">
      <c r="B407" s="134">
        <v>1</v>
      </c>
      <c r="C407" s="16" t="s">
        <v>680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51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AÑO!AA17</f>
        <v>1607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-2294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-2294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37" workbookViewId="0">
      <selection activeCell="J39" sqref="J39:K3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2939.95</f>
        <v>2939.95</v>
      </c>
      <c r="L5" s="426"/>
      <c r="M5" s="1"/>
      <c r="N5" s="1"/>
      <c r="R5" s="3"/>
    </row>
    <row r="6" spans="1:22" ht="15.75">
      <c r="A6" s="112">
        <f>'07'!A6+(B6-SUM(D6:F6))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8049.26</v>
      </c>
      <c r="L7" s="428"/>
      <c r="M7" s="1"/>
      <c r="N7" s="1"/>
      <c r="R7" s="3"/>
    </row>
    <row r="8" spans="1:22" ht="15.75">
      <c r="A8" s="112">
        <f>'07'!A8+(B8-SUM(D8:F8))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6305.62</v>
      </c>
      <c r="L8" s="42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169.67</v>
      </c>
      <c r="L9" s="428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'07'!A11+(B11-SUM(D11:F11))</f>
        <v>60.45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>
        <v>260</v>
      </c>
      <c r="L11" s="42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1322.35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231"/>
      <c r="M25" s="1"/>
      <c r="R25" s="3"/>
    </row>
    <row r="26" spans="1:18" ht="15.75">
      <c r="A26" s="112">
        <f>'07'!A26+(B26-SUM(D26:F26))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'07'!A27+(B27-SUM(D27:F27))</f>
        <v>410.03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'07'!A29+(B29-SUM(D29:F29))</f>
        <v>37.480000000000004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2632.09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620</v>
      </c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"/>
      <c r="B66" s="133">
        <v>160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139.93000000000004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2672.650000000001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1189.97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45</v>
      </c>
      <c r="C246" s="27" t="s">
        <v>403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410</v>
      </c>
      <c r="D256" s="137"/>
      <c r="E256" s="138"/>
      <c r="F256" s="138"/>
      <c r="G256" s="16"/>
    </row>
    <row r="257" spans="2:7">
      <c r="B257" s="134">
        <v>25</v>
      </c>
      <c r="C257" s="16" t="s">
        <v>432</v>
      </c>
      <c r="D257" s="137"/>
      <c r="E257" s="138"/>
      <c r="F257" s="138"/>
      <c r="G257" s="16"/>
    </row>
    <row r="258" spans="2:7">
      <c r="B258" s="134">
        <v>25</v>
      </c>
      <c r="C258" s="16" t="s">
        <v>404</v>
      </c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0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</f>
        <v>525.23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708.63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A4:AD5" display="SALDO REAL" xr:uid="{D06507F8-F5BC-49C5-BD40-684A3F3EBFAB}"/>
    <hyperlink ref="I22" location="Trimestre!C39:F40" display="TELÉFONO" xr:uid="{48D75FAF-009D-4718-8A65-00BBF81456E5}"/>
    <hyperlink ref="I22:L23" location="AÑO!AA7:AD17" display="INGRESOS" xr:uid="{8CF46B9E-FF85-475E-887B-7815FD645C67}"/>
    <hyperlink ref="B2" location="Trimestre!C25:F26" display="HIPOTECA" xr:uid="{0D3F6DAC-494C-48CC-8617-FFCD7E208AA0}"/>
    <hyperlink ref="B2:G3" location="AÑO!AA20:AD20" display="AÑO!AA20:AD20" xr:uid="{D2A3883D-7443-42C6-9C2D-ADC1D0607761}"/>
    <hyperlink ref="B22" location="Trimestre!C25:F26" display="HIPOTECA" xr:uid="{73986B72-FB1E-4FE5-9DE2-895BDC1EAA17}"/>
    <hyperlink ref="B22:G23" location="AÑO!AA21:AD21" display="AÑO!AA21:AD21" xr:uid="{23887E4D-C5A1-4BA5-8279-3C04DB54A113}"/>
    <hyperlink ref="B42" location="Trimestre!C25:F26" display="HIPOTECA" xr:uid="{CF8CDB12-24E3-46CF-829D-5D16215615C3}"/>
    <hyperlink ref="B42:G43" location="AÑO!AA22:AD22" display="AÑO!AA22:AD22" xr:uid="{EB2F77AF-7C3A-4364-9507-ACC51DCF2B57}"/>
    <hyperlink ref="B62" location="Trimestre!C25:F26" display="HIPOTECA" xr:uid="{91648149-7544-422C-9B1A-5B0BE59AAF2B}"/>
    <hyperlink ref="B62:G63" location="AÑO!AA23:AD23" display="AÑO!AA23:AD23" xr:uid="{B6DFA8D8-8579-4F56-8092-0F49B15D7A05}"/>
    <hyperlink ref="B82" location="Trimestre!C25:F26" display="HIPOTECA" xr:uid="{0851ECF5-FF71-4E7F-8298-411B1670F9B6}"/>
    <hyperlink ref="B82:G83" location="AÑO!AA24:AD24" display="AÑO!AA24:AD24" xr:uid="{C480D7B0-C21B-4EA7-ABD5-D0692A92E052}"/>
    <hyperlink ref="B102" location="Trimestre!C25:F26" display="HIPOTECA" xr:uid="{F8812EAD-03A1-4397-AF5F-38D2E8C0B57C}"/>
    <hyperlink ref="B102:G103" location="AÑO!AA25:AD25" display="AÑO!AA25:AD25" xr:uid="{65497E89-749C-4602-95D9-8F716A72DF6E}"/>
    <hyperlink ref="B122" location="Trimestre!C25:F26" display="HIPOTECA" xr:uid="{F9EAFA77-E240-4615-8290-ACBB27A72C52}"/>
    <hyperlink ref="B122:G123" location="AÑO!AA26:AD26" display="AÑO!AA26:AD26" xr:uid="{643E0580-B644-41F3-A043-DB16397B7A73}"/>
    <hyperlink ref="B142" location="Trimestre!C25:F26" display="HIPOTECA" xr:uid="{651811A0-17CA-4233-A455-6C4BD6EF1F7E}"/>
    <hyperlink ref="B142:G143" location="AÑO!AA27:AD27" display="AÑO!AA27:AD27" xr:uid="{B0995BF4-42BC-4276-BFD8-8C9B7D5499BE}"/>
    <hyperlink ref="B162" location="Trimestre!C25:F26" display="HIPOTECA" xr:uid="{A329CBCD-6E7B-4CD2-93C3-8D1EA7FC67C4}"/>
    <hyperlink ref="B162:G163" location="AÑO!AA28:AD28" display="AÑO!AA28:AD28" xr:uid="{FEE67257-A452-4791-AF3E-0867F8D8E6A2}"/>
    <hyperlink ref="B182" location="Trimestre!C25:F26" display="HIPOTECA" xr:uid="{0048AE46-8B1C-4E58-9CE3-87D388766360}"/>
    <hyperlink ref="B182:G183" location="AÑO!AA29:AD29" display="AÑO!AA29:AD29" xr:uid="{34E4C4F2-C5BE-4549-A224-E9AE303F8023}"/>
    <hyperlink ref="B202" location="Trimestre!C25:F26" display="HIPOTECA" xr:uid="{053CC7BD-938E-42F5-83EC-E4CBD34A45A8}"/>
    <hyperlink ref="B202:G203" location="AÑO!AA30:AD30" display="AÑO!AA30:AD30" xr:uid="{8C9F7837-C04F-4BA0-94D2-2006B7856F05}"/>
    <hyperlink ref="B222" location="Trimestre!C25:F26" display="HIPOTECA" xr:uid="{C67B716D-D87E-4225-A0DF-FA1FAEA6665B}"/>
    <hyperlink ref="B222:G223" location="AÑO!AA31:AD31" display="AÑO!AA31:AD31" xr:uid="{50E91530-1497-4AA8-8091-64311C0F1EA2}"/>
    <hyperlink ref="B242" location="Trimestre!C25:F26" display="HIPOTECA" xr:uid="{8597E469-7EE1-4ACE-BCFF-7F3234BB0FED}"/>
    <hyperlink ref="B242:G243" location="AÑO!AA32:AD32" display="AÑO!AA32:AD32" xr:uid="{143A92D9-7A37-4FFC-B531-F578ABD1F804}"/>
    <hyperlink ref="B262" location="Trimestre!C25:F26" display="HIPOTECA" xr:uid="{00569E18-A111-4540-A31C-0995625496BC}"/>
    <hyperlink ref="B262:G263" location="AÑO!AA33:AD33" display="AÑO!AA33:AD33" xr:uid="{9464E9A9-7460-4182-B6E5-50DCCFA7D971}"/>
    <hyperlink ref="B282" location="Trimestre!C25:F26" display="HIPOTECA" xr:uid="{0A227465-7216-4622-8BCA-73A1E7D848B3}"/>
    <hyperlink ref="B282:G283" location="AÑO!AA34:AD34" display="AÑO!AA34:AD34" xr:uid="{76436B7E-4B40-4476-9CE6-51FAF7CE7F09}"/>
    <hyperlink ref="B302" location="Trimestre!C25:F26" display="HIPOTECA" xr:uid="{4E1F72DF-F0BF-48D1-BBCF-6903E9142E3F}"/>
    <hyperlink ref="B302:G303" location="AÑO!AA35:AD35" display="AÑO!AA35:AD35" xr:uid="{BFBCBDE2-FB6C-4EC9-9702-505BB4D94450}"/>
    <hyperlink ref="B322" location="Trimestre!C25:F26" display="HIPOTECA" xr:uid="{882A6476-D682-47ED-B1AC-DB33B57BAB7E}"/>
    <hyperlink ref="B322:G323" location="AÑO!AA36:AD36" display="AÑO!AA36:AD36" xr:uid="{5A51FB34-A735-4684-828B-A1C5A9F553E5}"/>
    <hyperlink ref="B342" location="Trimestre!C25:F26" display="HIPOTECA" xr:uid="{59F9533F-4BAC-408C-A56E-C02AB3A1E843}"/>
    <hyperlink ref="B342:G343" location="AÑO!AA37:AD37" display="AÑO!AA37:AD37" xr:uid="{378D1EE7-703E-4F1E-97A9-6E6E13AFC46D}"/>
    <hyperlink ref="B362" location="Trimestre!C25:F26" display="HIPOTECA" xr:uid="{D75E4C53-9159-476A-A0D0-37DAF29B14E8}"/>
    <hyperlink ref="B362:G363" location="AÑO!AA38:AD38" display="AÑO!AA38:AD38" xr:uid="{75ACA36B-2C89-4EAA-9411-E2261A935683}"/>
    <hyperlink ref="B382" location="Trimestre!C25:F26" display="HIPOTECA" xr:uid="{95D69DC8-ABA0-4B4A-8EAF-06D1E8727EA0}"/>
    <hyperlink ref="B382:G383" location="AÑO!AA39:AD39" display="AÑO!AA39:AD39" xr:uid="{F91A68B0-FB80-4AA3-A612-D0073137E017}"/>
    <hyperlink ref="B402" location="Trimestre!C25:F26" display="HIPOTECA" xr:uid="{25A8193D-4925-4466-ACCE-737AB2562BE3}"/>
    <hyperlink ref="B402:G403" location="AÑO!AA40:AD40" display="AÑO!AA40:AD40" xr:uid="{AF17FBF1-B98C-4DFA-8654-1ACB895D8994}"/>
    <hyperlink ref="B422" location="Trimestre!C25:F26" display="HIPOTECA" xr:uid="{C2F1147F-1D3B-4F57-8455-A7961B449592}"/>
    <hyperlink ref="B422:G423" location="AÑO!AA41:AD41" display="AÑO!AA41:AD41" xr:uid="{5BFFA817-4742-4653-90B7-088D36C48735}"/>
    <hyperlink ref="B442" location="Trimestre!C25:F26" display="HIPOTECA" xr:uid="{DFC42081-7932-4D54-880A-4DFBD9E0EC21}"/>
    <hyperlink ref="B442:G443" location="AÑO!AA42:AD42" display="AÑO!AA42:AD42" xr:uid="{FF8CC689-70B3-4BCE-A192-E2F983A30D0C}"/>
    <hyperlink ref="B462" location="Trimestre!C25:F26" display="HIPOTECA" xr:uid="{4AC228CF-13D1-4949-8D5B-10C3F21FB47A}"/>
    <hyperlink ref="B462:G463" location="AÑO!AA43:AD43" display="AÑO!AA43:AD43" xr:uid="{C508228D-3DF9-48FE-B791-5D292ECDF883}"/>
    <hyperlink ref="B482" location="Trimestre!C25:F26" display="HIPOTECA" xr:uid="{615C788D-2BCB-4DA4-AC73-450C45236667}"/>
    <hyperlink ref="B482:G483" location="AÑO!AA44:AD44" display="AÑO!AA44:AD44" xr:uid="{B26533B9-21C8-41F3-8667-1C647DEAB0CA}"/>
    <hyperlink ref="B502" location="Trimestre!C25:F26" display="HIPOTECA" xr:uid="{284A8D82-789A-4D77-9F69-CD253B7A72B9}"/>
    <hyperlink ref="B502:G503" location="AÑO!AA45:AD45" display="AÑO!AA45:AD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2019-07-03T15:35:00Z</dcterms:modified>
</cp:coreProperties>
</file>