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9CC3D236-BD82-46E2-A1DE-AF4242AEBBE6}" xr6:coauthVersionLast="41" xr6:coauthVersionMax="41" xr10:uidLastSave="{00000000-0000-0000-0000-000000000000}"/>
  <bookViews>
    <workbookView xWindow="-108" yWindow="12852" windowWidth="22164" windowHeight="13176" activeTab="12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9" i="13" l="1"/>
  <c r="A358" i="13"/>
  <c r="A346" i="13"/>
  <c r="A299" i="13"/>
  <c r="A286" i="13"/>
  <c r="A257" i="13"/>
  <c r="A256" i="13"/>
  <c r="A246" i="13"/>
  <c r="A130" i="13"/>
  <c r="A129" i="13"/>
  <c r="A127" i="13"/>
  <c r="A126" i="13"/>
  <c r="F366" i="12"/>
  <c r="A79" i="13"/>
  <c r="A360" i="13" l="1"/>
  <c r="A300" i="13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68" i="13"/>
  <c r="B480" i="13" s="1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3" i="19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P32" i="18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247" i="4" l="1"/>
  <c r="D51" i="4" s="1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80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2"/>
  <c r="A12" i="13" s="1"/>
  <c r="A12" i="11"/>
  <c r="A28" i="11"/>
  <c r="A28" i="12" s="1"/>
  <c r="A28" i="13" s="1"/>
  <c r="A467" i="9"/>
  <c r="A467" i="10" s="1"/>
  <c r="A79" i="12"/>
  <c r="A80" i="12" s="1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7" i="11" l="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108" i="11" l="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A300" i="12" s="1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<sst xmlns="http://schemas.openxmlformats.org/spreadsheetml/2006/main" count="5870" uniqueCount="940">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</sst>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5" zoomScaleNormal="100" workbookViewId="0">
      <pane xSplit="1" topLeftCell="AN1" activePane="topRight" state="frozen"/>
      <selection pane="topRight" activeCell="AU32" sqref="AU32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30103.380000000005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229</v>
      </c>
      <c r="D7" s="360"/>
      <c r="E7" s="360"/>
      <c r="F7" s="361"/>
      <c r="G7" s="359" t="s">
        <v>229</v>
      </c>
      <c r="H7" s="360"/>
      <c r="I7" s="360"/>
      <c r="J7" s="361"/>
      <c r="K7" s="359" t="s">
        <v>229</v>
      </c>
      <c r="L7" s="360"/>
      <c r="M7" s="360"/>
      <c r="N7" s="361"/>
      <c r="O7" s="359" t="s">
        <v>229</v>
      </c>
      <c r="P7" s="360"/>
      <c r="Q7" s="360"/>
      <c r="R7" s="361"/>
      <c r="S7" s="359" t="s">
        <v>229</v>
      </c>
      <c r="T7" s="360"/>
      <c r="U7" s="360"/>
      <c r="V7" s="361"/>
      <c r="W7" s="359" t="s">
        <v>229</v>
      </c>
      <c r="X7" s="360"/>
      <c r="Y7" s="360"/>
      <c r="Z7" s="361"/>
      <c r="AA7" s="359" t="s">
        <v>229</v>
      </c>
      <c r="AB7" s="360"/>
      <c r="AC7" s="360"/>
      <c r="AD7" s="361"/>
      <c r="AE7" s="359" t="s">
        <v>229</v>
      </c>
      <c r="AF7" s="360"/>
      <c r="AG7" s="360"/>
      <c r="AH7" s="361"/>
      <c r="AI7" s="359" t="s">
        <v>229</v>
      </c>
      <c r="AJ7" s="360"/>
      <c r="AK7" s="360"/>
      <c r="AL7" s="361"/>
      <c r="AM7" s="359" t="s">
        <v>229</v>
      </c>
      <c r="AN7" s="360"/>
      <c r="AO7" s="360"/>
      <c r="AP7" s="361"/>
      <c r="AQ7" s="359" t="s">
        <v>229</v>
      </c>
      <c r="AR7" s="360"/>
      <c r="AS7" s="360"/>
      <c r="AT7" s="361"/>
      <c r="AU7" s="359" t="s">
        <v>229</v>
      </c>
      <c r="AV7" s="360"/>
      <c r="AW7" s="360"/>
      <c r="AX7" s="361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2588.0700000000002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30226.359999999997</v>
      </c>
      <c r="BA8" s="112">
        <f t="shared" ref="BA8:BA16" ca="1" si="0">AZ8/BC$17</f>
        <v>2747.8509090909088</v>
      </c>
      <c r="BB8" s="1"/>
      <c r="BC8" s="1"/>
    </row>
    <row r="9" spans="1:55" ht="15.75">
      <c r="A9" s="189" t="s">
        <v>212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302.78999999999996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6264.2300000000014</v>
      </c>
      <c r="BA9" s="112">
        <f t="shared" ca="1" si="0"/>
        <v>569.47545454545468</v>
      </c>
      <c r="BB9" s="1"/>
      <c r="BC9" s="1"/>
    </row>
    <row r="10" spans="1:55" ht="15.75">
      <c r="A10" s="190" t="s">
        <v>217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105.13727272727273</v>
      </c>
      <c r="BB10" s="1"/>
      <c r="BC10" s="1"/>
    </row>
    <row r="11" spans="1:55" ht="15.75">
      <c r="A11" s="189" t="s">
        <v>213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42.84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503.15</v>
      </c>
      <c r="BA11" s="112">
        <f t="shared" ca="1" si="0"/>
        <v>45.740909090909092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430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2212.4300000000003</v>
      </c>
      <c r="BA12" s="112">
        <f t="shared" ca="1" si="0"/>
        <v>201.13000000000002</v>
      </c>
      <c r="BB12" s="1"/>
      <c r="BC12" s="1"/>
    </row>
    <row r="13" spans="1:55" ht="15.75">
      <c r="A13" s="189" t="s">
        <v>214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95.8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6473.5000000000009</v>
      </c>
      <c r="BA13" s="112">
        <f t="shared" ca="1" si="0"/>
        <v>588.50000000000011</v>
      </c>
      <c r="BB13" s="1"/>
      <c r="BC13" s="1"/>
    </row>
    <row r="14" spans="1:55" ht="15.75">
      <c r="A14" s="190" t="s">
        <v>215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393.02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594.04999999999995</v>
      </c>
      <c r="BA14" s="112">
        <f t="shared" ca="1" si="0"/>
        <v>54.00454545454545</v>
      </c>
      <c r="BB14" s="3"/>
      <c r="BC14" s="3"/>
    </row>
    <row r="15" spans="1:55" ht="15.75">
      <c r="A15" s="189" t="s">
        <v>216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647.88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6135.670000000001</v>
      </c>
      <c r="BA15" s="112">
        <f t="shared" ca="1" si="0"/>
        <v>557.7881818181819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7.7272727272727275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4500.4000000000005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53650.9</v>
      </c>
      <c r="BA17" s="112">
        <f ca="1">AZ17/BC$17</f>
        <v>4877.3545454545456</v>
      </c>
      <c r="BB17" s="1" t="s">
        <v>83</v>
      </c>
      <c r="BC17" s="1">
        <f ca="1">MONTH(TODAY())</f>
        <v>11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58528.254545454547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1154.0499999999997</v>
      </c>
      <c r="AU20" s="143" t="s">
        <v>84</v>
      </c>
      <c r="AV20" s="144">
        <f>'12'!B20</f>
        <v>505.18</v>
      </c>
      <c r="AW20" s="144">
        <f>SUM('12'!D20:F20)</f>
        <v>0</v>
      </c>
      <c r="AX20" s="145">
        <f t="shared" ref="AX20:AX45" si="13">AT20+AV20-AW20</f>
        <v>1659.2299999999998</v>
      </c>
      <c r="AZ20" s="123">
        <f t="shared" ref="AZ20:AZ27" si="14">E20+I20+M20+Q20+U20+Y20+AC20+AG20+AK20+AO20+AS20+AW20</f>
        <v>5724.25</v>
      </c>
      <c r="BA20" s="21">
        <f t="shared" ref="BA20:BA45" si="15">AZ20/AZ$46</f>
        <v>0.11869905380830234</v>
      </c>
      <c r="BB20" s="22">
        <f>_xlfn.RANK.EQ(BA20,$BA$20:$BA$45,)</f>
        <v>2</v>
      </c>
      <c r="BC20" s="22">
        <f t="shared" ref="BC20:BC45" ca="1" si="16">AZ20/BC$17</f>
        <v>520.38636363636363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6429.52</v>
      </c>
      <c r="BF20" s="21">
        <f t="shared" ref="BF20:BF45" ca="1" si="18">BE20/BE$46</f>
        <v>0.11983993331013355</v>
      </c>
      <c r="BG20" s="22">
        <f ca="1">_xlfn.RANK.EQ(BF20,$BF$20:$BF$45,)</f>
        <v>2</v>
      </c>
      <c r="BH20" s="22">
        <f t="shared" ref="BH20:BH45" ca="1" si="19">BE20/BC$17</f>
        <v>584.50181818181818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705.2700000000001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1148</v>
      </c>
      <c r="AW21" s="150">
        <f>SUM('12'!D40:F40)</f>
        <v>0</v>
      </c>
      <c r="AX21" s="151">
        <f t="shared" si="13"/>
        <v>1495.3399999999992</v>
      </c>
      <c r="AZ21" s="152">
        <f t="shared" si="14"/>
        <v>12958.52</v>
      </c>
      <c r="BA21" s="21">
        <f t="shared" si="15"/>
        <v>0.26871014766230722</v>
      </c>
      <c r="BB21" s="22">
        <f t="shared" ref="BB21:BB45" si="20">_xlfn.RANK.EQ(BA21,$BA$20:$BA$45,)</f>
        <v>1</v>
      </c>
      <c r="BC21" s="22">
        <f t="shared" ca="1" si="16"/>
        <v>1178.0472727272727</v>
      </c>
      <c r="BE21" s="224">
        <f t="shared" ca="1" si="17"/>
        <v>12653</v>
      </c>
      <c r="BF21" s="21">
        <f t="shared" ca="1" si="18"/>
        <v>0.23583948353424825</v>
      </c>
      <c r="BG21" s="22">
        <f t="shared" ref="BG21:BG45" ca="1" si="21">_xlfn.RANK.EQ(BF21,$BF$20:$BF$45,)</f>
        <v>1</v>
      </c>
      <c r="BH21" s="22">
        <f t="shared" ca="1" si="19"/>
        <v>1150.2727272727273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-305.52000000000044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396.2</v>
      </c>
      <c r="AT22" s="156">
        <f t="shared" si="12"/>
        <v>381.57</v>
      </c>
      <c r="AU22" s="143" t="s">
        <v>84</v>
      </c>
      <c r="AV22" s="155">
        <f>'12'!B60</f>
        <v>300</v>
      </c>
      <c r="AW22" s="155">
        <f>SUM('12'!D60:F60)</f>
        <v>0</v>
      </c>
      <c r="AX22" s="156">
        <f t="shared" si="13"/>
        <v>681.56999999999994</v>
      </c>
      <c r="AZ22" s="157">
        <f t="shared" si="14"/>
        <v>3350.7299999999996</v>
      </c>
      <c r="BA22" s="21">
        <f t="shared" si="15"/>
        <v>6.9481326036964289E-2</v>
      </c>
      <c r="BB22" s="22">
        <f t="shared" si="20"/>
        <v>6</v>
      </c>
      <c r="BC22" s="22">
        <f t="shared" ca="1" si="16"/>
        <v>304.61181818181814</v>
      </c>
      <c r="BE22" s="225">
        <f t="shared" ca="1" si="17"/>
        <v>3486.23</v>
      </c>
      <c r="BF22" s="21">
        <f t="shared" ca="1" si="18"/>
        <v>6.4979900630807108E-2</v>
      </c>
      <c r="BG22" s="22">
        <f t="shared" ca="1" si="21"/>
        <v>6</v>
      </c>
      <c r="BH22" s="22">
        <f t="shared" ca="1" si="19"/>
        <v>316.93</v>
      </c>
      <c r="BJ22" s="225">
        <f t="shared" ca="1" si="22"/>
        <v>135.49999999999983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363.35000000000008</v>
      </c>
      <c r="AZ23" s="152">
        <f t="shared" si="14"/>
        <v>1958.78</v>
      </c>
      <c r="BA23" s="21">
        <f t="shared" si="15"/>
        <v>4.0617606257348379E-2</v>
      </c>
      <c r="BB23" s="22">
        <f t="shared" si="20"/>
        <v>8</v>
      </c>
      <c r="BC23" s="22">
        <f t="shared" ca="1" si="16"/>
        <v>178.07090909090908</v>
      </c>
      <c r="BE23" s="224">
        <f t="shared" ca="1" si="17"/>
        <v>2095</v>
      </c>
      <c r="BF23" s="21">
        <f t="shared" ca="1" si="18"/>
        <v>3.9048740852307758E-2</v>
      </c>
      <c r="BG23" s="22">
        <f t="shared" ca="1" si="21"/>
        <v>9</v>
      </c>
      <c r="BH23" s="22">
        <f t="shared" ca="1" si="19"/>
        <v>190.45454545454547</v>
      </c>
      <c r="BJ23" s="224">
        <f t="shared" ca="1" si="22"/>
        <v>136.22000000000006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296.25</v>
      </c>
      <c r="AU24" s="143" t="s">
        <v>84</v>
      </c>
      <c r="AV24" s="155">
        <f>'12'!B100</f>
        <v>150</v>
      </c>
      <c r="AW24" s="155">
        <f>SUM('12'!D100:F100)</f>
        <v>0</v>
      </c>
      <c r="AX24" s="156">
        <f t="shared" si="13"/>
        <v>446.25</v>
      </c>
      <c r="AZ24" s="157">
        <f t="shared" si="14"/>
        <v>1463.7500000000002</v>
      </c>
      <c r="BA24" s="21">
        <f t="shared" si="15"/>
        <v>3.035257719559813E-2</v>
      </c>
      <c r="BB24" s="22">
        <f t="shared" si="20"/>
        <v>10</v>
      </c>
      <c r="BC24" s="22">
        <f t="shared" ca="1" si="16"/>
        <v>133.06818181818184</v>
      </c>
      <c r="BE24" s="225">
        <f t="shared" ca="1" si="17"/>
        <v>1760</v>
      </c>
      <c r="BF24" s="21">
        <f t="shared" ca="1" si="18"/>
        <v>3.2804670119361175E-2</v>
      </c>
      <c r="BG24" s="22">
        <f t="shared" ca="1" si="21"/>
        <v>11</v>
      </c>
      <c r="BH24" s="22">
        <f t="shared" ca="1" si="19"/>
        <v>160</v>
      </c>
      <c r="BJ24" s="225">
        <f t="shared" ca="1" si="22"/>
        <v>296.25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327.38</v>
      </c>
      <c r="AT25" s="151">
        <f t="shared" si="12"/>
        <v>4639.5215974244957</v>
      </c>
      <c r="AU25" s="148" t="s">
        <v>84</v>
      </c>
      <c r="AV25" s="149">
        <f>'12'!B120</f>
        <v>457.47</v>
      </c>
      <c r="AW25" s="150">
        <f>SUM('12'!D120:F120)</f>
        <v>0</v>
      </c>
      <c r="AX25" s="151">
        <f t="shared" si="13"/>
        <v>5096.9915974244959</v>
      </c>
      <c r="AZ25" s="152">
        <f t="shared" si="14"/>
        <v>3665.1800000000007</v>
      </c>
      <c r="BA25" s="21">
        <f t="shared" si="15"/>
        <v>7.6001816488992208E-2</v>
      </c>
      <c r="BB25" s="22">
        <f t="shared" si="20"/>
        <v>4</v>
      </c>
      <c r="BC25" s="22">
        <f t="shared" ca="1" si="16"/>
        <v>333.19818181818187</v>
      </c>
      <c r="BE25" s="224">
        <f t="shared" ca="1" si="17"/>
        <v>5142.1515974244985</v>
      </c>
      <c r="BF25" s="21">
        <f t="shared" ca="1" si="18"/>
        <v>9.5844651623441343E-2</v>
      </c>
      <c r="BG25" s="22">
        <f t="shared" ca="1" si="21"/>
        <v>3</v>
      </c>
      <c r="BH25" s="22">
        <f t="shared" ca="1" si="19"/>
        <v>467.46832703859076</v>
      </c>
      <c r="BJ25" s="224">
        <f t="shared" ca="1" si="22"/>
        <v>1476.9715974244973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45.49</v>
      </c>
      <c r="AT26" s="156">
        <f t="shared" si="12"/>
        <v>-17.420000000000023</v>
      </c>
      <c r="AU26" s="143" t="s">
        <v>84</v>
      </c>
      <c r="AV26" s="155">
        <f>'12'!B140</f>
        <v>53</v>
      </c>
      <c r="AW26" s="155">
        <f>SUM('12'!D140:F140)</f>
        <v>0</v>
      </c>
      <c r="AX26" s="156">
        <f t="shared" si="13"/>
        <v>35.579999999999977</v>
      </c>
      <c r="AZ26" s="157">
        <f t="shared" si="14"/>
        <v>615.41000000000008</v>
      </c>
      <c r="BA26" s="21">
        <f t="shared" si="15"/>
        <v>1.2761249893727102E-2</v>
      </c>
      <c r="BB26" s="22">
        <f t="shared" si="20"/>
        <v>15</v>
      </c>
      <c r="BC26" s="22">
        <f t="shared" ca="1" si="16"/>
        <v>55.946363636363643</v>
      </c>
      <c r="BE26" s="225">
        <f t="shared" ca="1" si="17"/>
        <v>578.45000000000005</v>
      </c>
      <c r="BF26" s="21">
        <f t="shared" ca="1" si="18"/>
        <v>1.0781739449172996E-2</v>
      </c>
      <c r="BG26" s="22">
        <f t="shared" ca="1" si="21"/>
        <v>17</v>
      </c>
      <c r="BH26" s="22">
        <f t="shared" ca="1" si="19"/>
        <v>52.586363636363643</v>
      </c>
      <c r="BJ26" s="225">
        <f t="shared" ca="1" si="22"/>
        <v>-36.959999999999972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8.6063423667026781E-3</v>
      </c>
      <c r="BB27" s="22">
        <f t="shared" si="20"/>
        <v>18</v>
      </c>
      <c r="BC27" s="22">
        <f t="shared" ca="1" si="16"/>
        <v>37.730909090909087</v>
      </c>
      <c r="BE27" s="224">
        <f t="shared" ca="1" si="17"/>
        <v>490</v>
      </c>
      <c r="BF27" s="21">
        <f t="shared" ca="1" si="18"/>
        <v>9.1331183855039629E-3</v>
      </c>
      <c r="BG27" s="22">
        <f t="shared" ca="1" si="21"/>
        <v>19</v>
      </c>
      <c r="BH27" s="22">
        <f t="shared" ca="1" si="19"/>
        <v>44.545454545454547</v>
      </c>
      <c r="BJ27" s="224">
        <f t="shared" ca="1" si="22"/>
        <v>74.960000000000036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7.0504863670012796E-2</v>
      </c>
      <c r="BB28" s="22">
        <f t="shared" si="20"/>
        <v>5</v>
      </c>
      <c r="BC28" s="22">
        <f t="shared" ca="1" si="16"/>
        <v>309.09909090909093</v>
      </c>
      <c r="BE28" s="223">
        <f t="shared" ca="1" si="17"/>
        <v>3880.04</v>
      </c>
      <c r="BF28" s="21">
        <f t="shared" ca="1" si="18"/>
        <v>7.2320131960185302E-2</v>
      </c>
      <c r="BG28" s="22">
        <f t="shared" ca="1" si="21"/>
        <v>5</v>
      </c>
      <c r="BH28" s="22">
        <f t="shared" ca="1" si="19"/>
        <v>352.73090909090911</v>
      </c>
      <c r="BJ28" s="223">
        <f t="shared" ca="1" si="22"/>
        <v>479.95000000000016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12.049999999999983</v>
      </c>
      <c r="AZ29" s="152">
        <f t="shared" si="23"/>
        <v>1021.9399999999999</v>
      </c>
      <c r="BA29" s="21">
        <f t="shared" si="15"/>
        <v>2.1191127405137178E-2</v>
      </c>
      <c r="BB29" s="22">
        <f t="shared" si="20"/>
        <v>13</v>
      </c>
      <c r="BC29" s="22">
        <f t="shared" ca="1" si="16"/>
        <v>92.903636363636352</v>
      </c>
      <c r="BE29" s="224">
        <f t="shared" ca="1" si="17"/>
        <v>1010.6600000000001</v>
      </c>
      <c r="BF29" s="21">
        <f t="shared" ca="1" si="18"/>
        <v>1.8837709035700891E-2</v>
      </c>
      <c r="BG29" s="22">
        <f t="shared" ca="1" si="21"/>
        <v>14</v>
      </c>
      <c r="BH29" s="22">
        <f t="shared" ca="1" si="19"/>
        <v>91.878181818181829</v>
      </c>
      <c r="BJ29" s="224">
        <f t="shared" ca="1" si="22"/>
        <v>-11.280000000000086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166.91999999999996</v>
      </c>
      <c r="AZ30" s="157">
        <f t="shared" si="23"/>
        <v>266.25</v>
      </c>
      <c r="BA30" s="21">
        <f t="shared" si="15"/>
        <v>5.5210067828030743E-3</v>
      </c>
      <c r="BB30" s="22">
        <f t="shared" si="20"/>
        <v>19</v>
      </c>
      <c r="BC30" s="22">
        <f t="shared" ca="1" si="16"/>
        <v>24.204545454545453</v>
      </c>
      <c r="BE30" s="225">
        <f t="shared" ca="1" si="17"/>
        <v>425</v>
      </c>
      <c r="BF30" s="21">
        <f t="shared" ca="1" si="18"/>
        <v>7.9215822731411919E-3</v>
      </c>
      <c r="BG30" s="22">
        <f t="shared" ca="1" si="21"/>
        <v>20</v>
      </c>
      <c r="BH30" s="22">
        <f t="shared" ca="1" si="19"/>
        <v>38.636363636363633</v>
      </c>
      <c r="BJ30" s="225">
        <f t="shared" ca="1" si="22"/>
        <v>158.75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75.739999999999966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95.739999999999966</v>
      </c>
      <c r="AZ31" s="152">
        <f t="shared" si="23"/>
        <v>220.29999999999995</v>
      </c>
      <c r="BA31" s="21">
        <f t="shared" si="15"/>
        <v>4.5681795089258861E-3</v>
      </c>
      <c r="BB31" s="22">
        <f t="shared" si="20"/>
        <v>20</v>
      </c>
      <c r="BC31" s="22">
        <f t="shared" ca="1" si="16"/>
        <v>20.027272727272724</v>
      </c>
      <c r="BE31" s="224">
        <f t="shared" ca="1" si="17"/>
        <v>220</v>
      </c>
      <c r="BF31" s="21">
        <f t="shared" ca="1" si="18"/>
        <v>4.1005837649201468E-3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-0.30000000000003979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492.57999999999976</v>
      </c>
      <c r="AU32" s="143" t="s">
        <v>84</v>
      </c>
      <c r="AV32" s="155">
        <f>'12'!B260</f>
        <v>95</v>
      </c>
      <c r="AW32" s="155">
        <f>SUM('12'!D260:F260)</f>
        <v>0</v>
      </c>
      <c r="AX32" s="161">
        <f t="shared" si="13"/>
        <v>587.5799999999997</v>
      </c>
      <c r="AZ32" s="157">
        <f t="shared" si="23"/>
        <v>1825.5000000000002</v>
      </c>
      <c r="BA32" s="21">
        <f t="shared" si="15"/>
        <v>3.785388875871179E-2</v>
      </c>
      <c r="BB32" s="22">
        <f t="shared" si="20"/>
        <v>9</v>
      </c>
      <c r="BC32" s="22">
        <f t="shared" ca="1" si="16"/>
        <v>165.95454545454547</v>
      </c>
      <c r="BE32" s="225">
        <f t="shared" ca="1" si="17"/>
        <v>2332.33</v>
      </c>
      <c r="BF32" s="21">
        <f t="shared" ca="1" si="18"/>
        <v>4.3472338783800933E-2</v>
      </c>
      <c r="BG32" s="22">
        <f t="shared" ca="1" si="21"/>
        <v>7</v>
      </c>
      <c r="BH32" s="22">
        <f t="shared" ca="1" si="19"/>
        <v>212.03</v>
      </c>
      <c r="BJ32" s="225">
        <f t="shared" ca="1" si="22"/>
        <v>506.8299999999997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60</v>
      </c>
      <c r="AW33" s="150">
        <f>SUM('12'!D280:F280)</f>
        <v>0</v>
      </c>
      <c r="AX33" s="160">
        <f t="shared" si="13"/>
        <v>628.09000000000026</v>
      </c>
      <c r="AZ33" s="152">
        <f t="shared" si="23"/>
        <v>4483.8500000000004</v>
      </c>
      <c r="BA33" s="21">
        <f t="shared" si="15"/>
        <v>9.2977901457545795E-2</v>
      </c>
      <c r="BB33" s="22">
        <f t="shared" si="20"/>
        <v>3</v>
      </c>
      <c r="BC33" s="22">
        <f t="shared" ca="1" si="16"/>
        <v>407.62272727272733</v>
      </c>
      <c r="BE33" s="224">
        <f t="shared" ca="1" si="17"/>
        <v>4631.9400000000005</v>
      </c>
      <c r="BF33" s="21">
        <f t="shared" ca="1" si="18"/>
        <v>8.6334808927655576E-2</v>
      </c>
      <c r="BG33" s="22">
        <f t="shared" ca="1" si="21"/>
        <v>4</v>
      </c>
      <c r="BH33" s="22">
        <f t="shared" ca="1" si="19"/>
        <v>421.08545454545458</v>
      </c>
      <c r="BJ33" s="224">
        <f t="shared" ca="1" si="22"/>
        <v>148.09000000000026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308.45999999999981</v>
      </c>
      <c r="AZ34" s="152">
        <f t="shared" si="23"/>
        <v>1297.5500000000002</v>
      </c>
      <c r="BA34" s="21">
        <f t="shared" si="15"/>
        <v>2.6906224792586406E-2</v>
      </c>
      <c r="BB34" s="22">
        <f t="shared" si="20"/>
        <v>11</v>
      </c>
      <c r="BC34" s="22">
        <f t="shared" ca="1" si="16"/>
        <v>117.95909090909093</v>
      </c>
      <c r="BE34" s="225">
        <f t="shared" ca="1" si="17"/>
        <v>1414.4099999999999</v>
      </c>
      <c r="BF34" s="21">
        <f t="shared" ca="1" si="18"/>
        <v>2.6363212195185018E-2</v>
      </c>
      <c r="BG34" s="22">
        <f t="shared" ca="1" si="21"/>
        <v>12</v>
      </c>
      <c r="BH34" s="22">
        <f t="shared" ca="1" si="19"/>
        <v>128.58272727272725</v>
      </c>
      <c r="BJ34" s="225">
        <f t="shared" ca="1" si="22"/>
        <v>116.8599999999999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523.02</v>
      </c>
      <c r="AS35" s="186">
        <f>SUM('11'!D320:F320)</f>
        <v>469.05</v>
      </c>
      <c r="AT35" s="187">
        <f t="shared" si="12"/>
        <v>1486.5600000000004</v>
      </c>
      <c r="AU35" s="185" t="s">
        <v>84</v>
      </c>
      <c r="AV35" s="186">
        <f>'12'!B320</f>
        <v>130</v>
      </c>
      <c r="AW35" s="186">
        <f>SUM('12'!D320:F320)</f>
        <v>0</v>
      </c>
      <c r="AX35" s="187">
        <f t="shared" si="13"/>
        <v>1616.5600000000004</v>
      </c>
      <c r="AZ35" s="188">
        <f t="shared" si="23"/>
        <v>2252.5700000000002</v>
      </c>
      <c r="BA35" s="21">
        <f t="shared" si="15"/>
        <v>4.6709687319206467E-2</v>
      </c>
      <c r="BB35" s="22">
        <f t="shared" si="20"/>
        <v>7</v>
      </c>
      <c r="BC35" s="22">
        <f t="shared" ca="1" si="16"/>
        <v>204.77909090909091</v>
      </c>
      <c r="BE35" s="224">
        <f t="shared" ca="1" si="17"/>
        <v>2249.5299999999997</v>
      </c>
      <c r="BF35" s="21">
        <f t="shared" ca="1" si="18"/>
        <v>4.192902816682189E-2</v>
      </c>
      <c r="BG35" s="22">
        <f t="shared" ca="1" si="21"/>
        <v>8</v>
      </c>
      <c r="BH35" s="22">
        <f t="shared" ca="1" si="19"/>
        <v>204.50272727272724</v>
      </c>
      <c r="BJ35" s="224">
        <f t="shared" ca="1" si="22"/>
        <v>-3.0399999999999636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2.6427633857198249E-2</v>
      </c>
      <c r="BB36" s="22">
        <f t="shared" si="20"/>
        <v>12</v>
      </c>
      <c r="BC36" s="22">
        <f t="shared" ca="1" si="16"/>
        <v>115.86090909090908</v>
      </c>
      <c r="BE36" s="223">
        <f t="shared" ca="1" si="17"/>
        <v>2078.9700000000003</v>
      </c>
      <c r="BF36" s="21">
        <f t="shared" ca="1" si="18"/>
        <v>3.874995740798199E-2</v>
      </c>
      <c r="BG36" s="22">
        <f t="shared" ca="1" si="21"/>
        <v>10</v>
      </c>
      <c r="BH36" s="22">
        <f t="shared" ca="1" si="19"/>
        <v>188.99727272727276</v>
      </c>
      <c r="BJ36" s="223">
        <f t="shared" ca="1" si="22"/>
        <v>804.5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1.030484251911357E-2</v>
      </c>
      <c r="BB37" s="22">
        <f t="shared" si="20"/>
        <v>17</v>
      </c>
      <c r="BC37" s="22">
        <f t="shared" ca="1" si="16"/>
        <v>45.177272727272729</v>
      </c>
      <c r="BE37" s="224">
        <f t="shared" ca="1" si="17"/>
        <v>569.29999999999995</v>
      </c>
      <c r="BF37" s="21">
        <f t="shared" ca="1" si="18"/>
        <v>1.0611192442586542E-2</v>
      </c>
      <c r="BG37" s="22">
        <f t="shared" ca="1" si="21"/>
        <v>18</v>
      </c>
      <c r="BH37" s="22">
        <f t="shared" ca="1" si="19"/>
        <v>51.75454545454545</v>
      </c>
      <c r="BJ37" s="224">
        <f t="shared" ca="1" si="22"/>
        <v>72.350000000000023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83.03</v>
      </c>
      <c r="AT38" s="156">
        <f t="shared" si="12"/>
        <v>148.20000000000007</v>
      </c>
      <c r="AU38" s="143" t="s">
        <v>84</v>
      </c>
      <c r="AV38" s="166">
        <f>'12'!B380</f>
        <v>65</v>
      </c>
      <c r="AW38" s="166">
        <f>SUM('12'!D380:F380)</f>
        <v>0</v>
      </c>
      <c r="AX38" s="156">
        <f t="shared" si="13"/>
        <v>213.20000000000007</v>
      </c>
      <c r="AZ38" s="157">
        <f t="shared" si="23"/>
        <v>676</v>
      </c>
      <c r="BA38" s="21">
        <f t="shared" si="15"/>
        <v>1.4017654779999543E-2</v>
      </c>
      <c r="BB38" s="22">
        <f t="shared" si="20"/>
        <v>14</v>
      </c>
      <c r="BC38" s="22">
        <f t="shared" ca="1" si="16"/>
        <v>61.454545454545453</v>
      </c>
      <c r="BE38" s="225">
        <f t="shared" ca="1" si="17"/>
        <v>785</v>
      </c>
      <c r="BF38" s="21">
        <f t="shared" ca="1" si="18"/>
        <v>1.4631628433919614E-2</v>
      </c>
      <c r="BG38" s="22">
        <f t="shared" ca="1" si="21"/>
        <v>16</v>
      </c>
      <c r="BH38" s="22">
        <f t="shared" ca="1" si="19"/>
        <v>71.36363636363636</v>
      </c>
      <c r="BJ38" s="225">
        <f t="shared" ca="1" si="22"/>
        <v>109.00000000000004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15</v>
      </c>
      <c r="AW39" s="165">
        <f>SUM('12'!D400:F400)</f>
        <v>0</v>
      </c>
      <c r="AX39" s="151">
        <f t="shared" si="13"/>
        <v>1489.2807879809902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5.485104643285256E-3</v>
      </c>
      <c r="BG39" s="22">
        <f t="shared" ca="1" si="21"/>
        <v>21</v>
      </c>
      <c r="BH39" s="22">
        <f t="shared" ca="1" si="19"/>
        <v>26.752798907362749</v>
      </c>
      <c r="BJ39" s="224">
        <f t="shared" ca="1" si="22"/>
        <v>294.28078798099023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0</v>
      </c>
      <c r="AX40" s="156">
        <f t="shared" si="13"/>
        <v>1523.3061040380198</v>
      </c>
      <c r="AZ40" s="157">
        <f t="shared" si="23"/>
        <v>172.78000000000003</v>
      </c>
      <c r="BA40" s="21">
        <f t="shared" si="15"/>
        <v>3.5827964391839076E-3</v>
      </c>
      <c r="BB40" s="22">
        <f t="shared" si="20"/>
        <v>22</v>
      </c>
      <c r="BC40" s="22">
        <f t="shared" ca="1" si="16"/>
        <v>15.707272727272731</v>
      </c>
      <c r="BE40" s="225">
        <f t="shared" ca="1" si="17"/>
        <v>841.57610403801925</v>
      </c>
      <c r="BF40" s="21">
        <f t="shared" ca="1" si="18"/>
        <v>1.5686151405286591E-2</v>
      </c>
      <c r="BG40" s="22">
        <f t="shared" ca="1" si="21"/>
        <v>15</v>
      </c>
      <c r="BH40" s="22">
        <f t="shared" ca="1" si="19"/>
        <v>76.506918548910846</v>
      </c>
      <c r="BJ40" s="225">
        <f t="shared" ca="1" si="22"/>
        <v>668.79610403801939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-363.34000000000015</v>
      </c>
      <c r="AS41" s="165">
        <f>SUM('11'!D440:F440)</f>
        <v>0</v>
      </c>
      <c r="AT41" s="151">
        <f t="shared" si="12"/>
        <v>7764.0400000000018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3864.0400000000018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-785.95999999999674</v>
      </c>
      <c r="BF41" s="21">
        <f t="shared" ca="1" si="18"/>
        <v>-1.4649521890348296E-2</v>
      </c>
      <c r="BG41" s="22">
        <f t="shared" ca="1" si="21"/>
        <v>26</v>
      </c>
      <c r="BH41" s="22">
        <f t="shared" ca="1" si="19"/>
        <v>-71.450909090908794</v>
      </c>
      <c r="BJ41" s="224">
        <f t="shared" ca="1" si="22"/>
        <v>-785.9599999999964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3.690525388428166E-5</v>
      </c>
      <c r="BG42" s="22">
        <f t="shared" ca="1" si="21"/>
        <v>24</v>
      </c>
      <c r="BH42" s="22">
        <f t="shared" ca="1" si="19"/>
        <v>0.18000000000000166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86.35</v>
      </c>
      <c r="AW43" s="149">
        <f>SUM('12'!D480:F480)</f>
        <v>0</v>
      </c>
      <c r="AX43" s="151">
        <f t="shared" si="13"/>
        <v>1596.8391905564922</v>
      </c>
      <c r="AZ43" s="152">
        <f t="shared" si="23"/>
        <v>500</v>
      </c>
      <c r="BA43" s="21">
        <f t="shared" si="15"/>
        <v>1.0368087855029249E-2</v>
      </c>
      <c r="BB43" s="22">
        <f t="shared" si="20"/>
        <v>16</v>
      </c>
      <c r="BC43" s="22">
        <f t="shared" ca="1" si="16"/>
        <v>45.454545454545453</v>
      </c>
      <c r="BE43" s="224">
        <f t="shared" ca="1" si="17"/>
        <v>1047.4891905564923</v>
      </c>
      <c r="BF43" s="21">
        <f t="shared" ca="1" si="18"/>
        <v>1.9524168948751357E-2</v>
      </c>
      <c r="BG43" s="22">
        <f t="shared" ca="1" si="21"/>
        <v>13</v>
      </c>
      <c r="BH43" s="22">
        <f t="shared" ca="1" si="19"/>
        <v>95.226290050590208</v>
      </c>
      <c r="BJ43" s="224">
        <f t="shared" ca="1" si="22"/>
        <v>547.4891905564923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-69.069999999999965</v>
      </c>
      <c r="AZ45" s="177">
        <f t="shared" si="23"/>
        <v>184.99</v>
      </c>
      <c r="BA45" s="21">
        <f t="shared" si="15"/>
        <v>3.8359851446037214E-3</v>
      </c>
      <c r="BB45" s="22">
        <f t="shared" si="20"/>
        <v>21</v>
      </c>
      <c r="BC45" s="22">
        <f t="shared" ca="1" si="16"/>
        <v>16.817272727272726</v>
      </c>
      <c r="BE45" s="226">
        <f t="shared" ca="1" si="17"/>
        <v>20</v>
      </c>
      <c r="BF45" s="21">
        <f t="shared" ca="1" si="18"/>
        <v>3.7278034226546789E-4</v>
      </c>
      <c r="BG45" s="22">
        <f t="shared" ca="1" si="21"/>
        <v>23</v>
      </c>
      <c r="BH45" s="22">
        <f t="shared" ca="1" si="19"/>
        <v>1.8181818181818181</v>
      </c>
      <c r="BJ45" s="226">
        <f t="shared" ca="1" si="22"/>
        <v>-164.99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4500.3999999999996</v>
      </c>
      <c r="AS46" s="219">
        <f>SUM(AS20:AS45)</f>
        <v>2794.24</v>
      </c>
      <c r="AT46" s="220">
        <f>SUM(AT20:AT45)</f>
        <v>31809.537679999998</v>
      </c>
      <c r="AU46" s="218"/>
      <c r="AV46" s="219">
        <f>SUM(AV20:AV45)</f>
        <v>5.4001247917767614E-13</v>
      </c>
      <c r="AW46" s="219">
        <f>SUM(AW20:AW45)</f>
        <v>0</v>
      </c>
      <c r="AX46" s="220">
        <f>SUM(AX20:AX45)</f>
        <v>31809.537680000001</v>
      </c>
      <c r="AZ46" s="227">
        <f>SUM(AZ20:AZ45)</f>
        <v>48224.9</v>
      </c>
      <c r="BA46" s="1"/>
      <c r="BB46" s="1"/>
      <c r="BC46" s="124">
        <f ca="1">SUM(BC20:BC45)</f>
        <v>4384.0818181818177</v>
      </c>
      <c r="BE46" s="227">
        <f ca="1">SUM(BE20:BE45)</f>
        <v>53650.897680000009</v>
      </c>
      <c r="BF46" s="1"/>
      <c r="BG46" s="1"/>
      <c r="BH46" s="124">
        <f ca="1">SUM(BH20:BH45)</f>
        <v>4877.3543345454555</v>
      </c>
      <c r="BJ46" s="227">
        <f ca="1">SUM(BJ20:BJ45)</f>
        <v>5425.997680000004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0</v>
      </c>
      <c r="AS47" s="125">
        <f>AQ17-AS46</f>
        <v>1706.1600000000008</v>
      </c>
      <c r="AT47" s="140"/>
      <c r="AU47" s="125">
        <f>AU5-AT46</f>
        <v>-1706.157679999993</v>
      </c>
      <c r="AV47" s="125">
        <f>AU17-AV46</f>
        <v>-5.4001247917767614E-13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52608.981818181812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396.2</v>
      </c>
      <c r="AT50" s="119" t="s">
        <v>913</v>
      </c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234</v>
      </c>
      <c r="E54" s="374"/>
      <c r="F54" s="98"/>
      <c r="G54" s="95">
        <v>43497</v>
      </c>
      <c r="H54" s="373" t="s">
        <v>269</v>
      </c>
      <c r="I54" s="374"/>
      <c r="J54" s="100">
        <v>500</v>
      </c>
      <c r="K54" s="95">
        <v>43539</v>
      </c>
      <c r="L54" s="379" t="s">
        <v>256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242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475</v>
      </c>
      <c r="AC54" s="387"/>
      <c r="AD54" s="239">
        <v>15</v>
      </c>
      <c r="AE54" s="95"/>
      <c r="AF54" s="386" t="s">
        <v>475</v>
      </c>
      <c r="AG54" s="387"/>
      <c r="AH54" s="239">
        <v>14</v>
      </c>
      <c r="AI54" s="95"/>
      <c r="AJ54" s="386" t="s">
        <v>475</v>
      </c>
      <c r="AK54" s="387"/>
      <c r="AL54" s="239">
        <v>15</v>
      </c>
      <c r="AM54" s="95"/>
      <c r="AN54" s="386" t="s">
        <v>475</v>
      </c>
      <c r="AO54" s="387"/>
      <c r="AP54" s="239">
        <v>11</v>
      </c>
      <c r="AQ54" s="95"/>
      <c r="AR54" s="386" t="s">
        <v>475</v>
      </c>
      <c r="AS54" s="387"/>
      <c r="AT54" s="239">
        <v>7</v>
      </c>
      <c r="AU54" s="95"/>
      <c r="AV54" s="373"/>
      <c r="AW54" s="374"/>
      <c r="AX54" s="100"/>
    </row>
    <row r="55" spans="1:62">
      <c r="C55" s="96"/>
      <c r="D55" s="377" t="s">
        <v>235</v>
      </c>
      <c r="E55" s="378"/>
      <c r="F55" s="98">
        <v>121.4</v>
      </c>
      <c r="G55" s="96">
        <v>43516</v>
      </c>
      <c r="H55" s="377" t="s">
        <v>310</v>
      </c>
      <c r="I55" s="378"/>
      <c r="J55" s="100"/>
      <c r="K55" s="96">
        <v>43553</v>
      </c>
      <c r="L55" s="377" t="s">
        <v>296</v>
      </c>
      <c r="M55" s="378"/>
      <c r="N55" s="100">
        <v>4421.9399999999996</v>
      </c>
      <c r="O55" s="96">
        <v>43565</v>
      </c>
      <c r="P55" s="377" t="s">
        <v>322</v>
      </c>
      <c r="Q55" s="378"/>
      <c r="R55" s="100">
        <v>10</v>
      </c>
      <c r="S55" s="96">
        <v>43607</v>
      </c>
      <c r="T55" s="377" t="s">
        <v>310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234</v>
      </c>
      <c r="AC55" s="378"/>
      <c r="AD55" s="100"/>
      <c r="AE55" s="96">
        <v>43682</v>
      </c>
      <c r="AF55" s="377" t="s">
        <v>322</v>
      </c>
      <c r="AG55" s="378"/>
      <c r="AH55" s="100">
        <v>10</v>
      </c>
      <c r="AI55" s="96">
        <v>43711</v>
      </c>
      <c r="AJ55" s="377" t="s">
        <v>322</v>
      </c>
      <c r="AK55" s="378"/>
      <c r="AL55" s="100" t="s">
        <v>779</v>
      </c>
      <c r="AM55" s="96">
        <v>43740</v>
      </c>
      <c r="AN55" s="388" t="s">
        <v>153</v>
      </c>
      <c r="AO55" s="389"/>
      <c r="AP55" s="100">
        <v>10</v>
      </c>
      <c r="AQ55" s="96">
        <v>43798</v>
      </c>
      <c r="AR55" s="377" t="s">
        <v>153</v>
      </c>
      <c r="AS55" s="378"/>
      <c r="AT55" s="100">
        <v>10</v>
      </c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322</v>
      </c>
      <c r="I56" s="378"/>
      <c r="J56" s="100">
        <v>10</v>
      </c>
      <c r="K56" s="96">
        <v>43529</v>
      </c>
      <c r="L56" s="377" t="s">
        <v>324</v>
      </c>
      <c r="M56" s="378"/>
      <c r="N56" s="100">
        <v>3362.6</v>
      </c>
      <c r="O56" s="96">
        <v>43576</v>
      </c>
      <c r="P56" s="386" t="s">
        <v>234</v>
      </c>
      <c r="Q56" s="387"/>
      <c r="R56" s="102"/>
      <c r="S56" s="96">
        <v>43615</v>
      </c>
      <c r="T56" s="377" t="s">
        <v>234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234</v>
      </c>
      <c r="AK56" s="389"/>
      <c r="AL56" s="100"/>
      <c r="AM56" s="96">
        <v>43769</v>
      </c>
      <c r="AN56" s="388" t="s">
        <v>153</v>
      </c>
      <c r="AO56" s="389"/>
      <c r="AP56" s="100" t="s">
        <v>779</v>
      </c>
      <c r="AQ56" s="96">
        <v>43791</v>
      </c>
      <c r="AR56" s="377" t="s">
        <v>933</v>
      </c>
      <c r="AS56" s="378"/>
      <c r="AT56" s="100">
        <v>10</v>
      </c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351</v>
      </c>
      <c r="I57" s="378"/>
      <c r="J57" s="100"/>
      <c r="K57" s="96">
        <v>43533</v>
      </c>
      <c r="L57" s="377" t="s">
        <v>234</v>
      </c>
      <c r="M57" s="378"/>
      <c r="N57" s="100"/>
      <c r="O57" s="96">
        <v>43578</v>
      </c>
      <c r="P57" s="381" t="s">
        <v>388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779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242</v>
      </c>
      <c r="E58" s="378"/>
      <c r="F58" s="98"/>
      <c r="G58" s="96"/>
      <c r="H58" s="377"/>
      <c r="I58" s="378"/>
      <c r="J58" s="100"/>
      <c r="K58" s="96">
        <v>43536</v>
      </c>
      <c r="L58" s="377" t="s">
        <v>242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234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270</v>
      </c>
      <c r="E59" s="378"/>
      <c r="F59" s="98">
        <v>50</v>
      </c>
      <c r="G59" s="96"/>
      <c r="H59" s="377"/>
      <c r="I59" s="378"/>
      <c r="J59" s="100"/>
      <c r="K59" s="96"/>
      <c r="L59" s="377" t="s">
        <v>384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875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289</v>
      </c>
      <c r="E60" s="378"/>
      <c r="F60" s="98"/>
      <c r="G60" s="96"/>
      <c r="H60" s="377"/>
      <c r="I60" s="378"/>
      <c r="J60" s="100"/>
      <c r="K60" s="235">
        <v>43549</v>
      </c>
      <c r="L60" s="381" t="s">
        <v>388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291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564</v>
      </c>
      <c r="U70" s="378"/>
      <c r="V70" s="100">
        <v>3742.92</v>
      </c>
      <c r="W70" s="96"/>
      <c r="X70" s="377" t="s">
        <v>562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565</v>
      </c>
      <c r="U71" s="393"/>
      <c r="V71" s="101">
        <v>1872.17</v>
      </c>
      <c r="W71" s="97"/>
      <c r="X71" s="392" t="s">
        <v>563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32</v>
      </c>
      <c r="F73">
        <f>F72*20</f>
        <v>21.799999999999997</v>
      </c>
      <c r="L73" s="119"/>
    </row>
    <row r="74" spans="1:50">
      <c r="A74" t="s">
        <v>253</v>
      </c>
      <c r="C74">
        <v>30</v>
      </c>
      <c r="D74">
        <f>100/C74</f>
        <v>3.3333333333333335</v>
      </c>
    </row>
    <row r="75" spans="1:50">
      <c r="A75" t="s">
        <v>254</v>
      </c>
      <c r="C75">
        <v>12</v>
      </c>
      <c r="D75">
        <f>C75*D74</f>
        <v>40</v>
      </c>
      <c r="Z75" s="111"/>
    </row>
    <row r="76" spans="1:50">
      <c r="D76">
        <f>D75-D73</f>
        <v>8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3839.35</v>
      </c>
      <c r="L5" s="431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7236.18</v>
      </c>
      <c r="L7" s="41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105+50</f>
        <v>155</v>
      </c>
      <c r="L11" s="41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799</v>
      </c>
      <c r="K35" s="423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789</v>
      </c>
      <c r="K45" s="423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20"/>
      <c r="J46" s="424" t="s">
        <v>831</v>
      </c>
      <c r="K46" s="425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19" t="str">
        <f>AÑO!A13</f>
        <v>Gubernamental</v>
      </c>
      <c r="J50" s="422" t="s">
        <v>797</v>
      </c>
      <c r="K50" s="423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798</v>
      </c>
      <c r="K60" s="423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4">
        <v>3984.38</v>
      </c>
      <c r="L5" s="415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8003.5599999999995</v>
      </c>
      <c r="L7" s="415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157.43</v>
      </c>
      <c r="L9" s="415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60+20</f>
        <v>80</v>
      </c>
      <c r="L11" s="41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860</v>
      </c>
      <c r="K32" s="425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327</v>
      </c>
      <c r="K33" s="425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863</v>
      </c>
      <c r="K42" s="425"/>
      <c r="L42" s="229">
        <v>52.06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19" t="str">
        <f>AÑO!A13</f>
        <v>Gubernamental</v>
      </c>
      <c r="J50" s="422" t="s">
        <v>797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19" t="str">
        <f>AÑO!A14</f>
        <v>Mutualite/DKV</v>
      </c>
      <c r="J55" s="422" t="s">
        <v>465</v>
      </c>
      <c r="K55" s="423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247" workbookViewId="0">
      <selection activeCell="I257" sqref="I25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75">
      <c r="A6" s="112">
        <f>'10'!A6+(B6-SUM(D6:F6))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1166.05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687</v>
      </c>
      <c r="K31" s="425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899</v>
      </c>
      <c r="K40" s="423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905</v>
      </c>
      <c r="K45" s="423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20"/>
      <c r="J46" s="424" t="s">
        <v>920</v>
      </c>
      <c r="K46" s="425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20"/>
      <c r="J47" s="424" t="s">
        <v>921</v>
      </c>
      <c r="K47" s="425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19" t="str">
        <f>AÑO!A13</f>
        <v>Gubernamental</v>
      </c>
      <c r="J50" s="422" t="s">
        <v>910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909</v>
      </c>
      <c r="K55" s="423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902</v>
      </c>
      <c r="K60" s="423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685.48</v>
      </c>
      <c r="B120" s="135">
        <f>SUM(B106:B119)</f>
        <v>457.47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160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865</v>
      </c>
      <c r="D257" s="137"/>
      <c r="E257" s="138"/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93.02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</f>
        <v>4.5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4500.4000000000005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abSelected="1" topLeftCell="A239" workbookViewId="0">
      <selection activeCell="A257" sqref="A25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75">
      <c r="A6" s="112">
        <f>'11'!A6+(B6-SUM(D6:F6))</f>
        <v>784.52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'11'!A10+(B10-SUM(D10:F10))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'11'!A12+(B12-SUM(D12:F12))</f>
        <v>263.04000000000002</v>
      </c>
      <c r="B12" s="134">
        <v>0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1671.23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/>
      <c r="M25" s="1"/>
      <c r="R25" s="3"/>
    </row>
    <row r="26" spans="1:18" ht="15.75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1495.34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910</v>
      </c>
      <c r="K50" s="423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'11'!A66+(B66-SUM(D66:F78))+B67</f>
        <v>279.53000000000009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343.35000000000008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71.380000000000052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1062.95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160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12">
        <f>'11'!A130+(B130-SUM(D130:F130))</f>
        <v>-57.5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55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464.11000000000007</v>
      </c>
      <c r="B257" s="134">
        <v>40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597.58000000000004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128.45999999999981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308.45999999999981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233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803.43919055649235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243.4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1596.8391905564924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F27" sqref="F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3" workbookViewId="0">
      <selection activeCell="B26" sqref="B26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E16" workbookViewId="0">
      <selection activeCell="L28" sqref="L2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1585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43794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189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43794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640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43794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3.604651162790698E-2</v>
      </c>
      <c r="Y13" s="119">
        <f ca="1">X13*E13</f>
        <v>144.88062494186048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3.1976744186046513E-2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8.1395348837209301E-3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0.50523255813953494</v>
      </c>
      <c r="Y19" s="119">
        <f t="shared" ca="1" si="3"/>
        <v>2234.8456572558148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0.36744186046511629</v>
      </c>
      <c r="Y20" s="119">
        <f t="shared" ca="1" si="3"/>
        <v>220.68558139534886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0.16744186046511628</v>
      </c>
      <c r="Y25" s="119">
        <f t="shared" ca="1" si="3"/>
        <v>101.79849365581394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640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43794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0.37209302325581395</v>
      </c>
      <c r="Y28" s="119">
        <f t="shared" ca="1" si="3"/>
        <v>1915.5694437209302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1.2790697674418604E-2</v>
      </c>
      <c r="Y33" s="119">
        <f t="shared" ca="1" si="3"/>
        <v>52.814404883720925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8.662790697674419E-2</v>
      </c>
      <c r="Y35" s="119">
        <f t="shared" ca="1" si="3"/>
        <v>354.19958263953492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2731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1.5877906976744185</v>
      </c>
      <c r="Y42" s="328">
        <f ca="1">SUM(Y13:Y41)</f>
        <v>5024.7937884930243</v>
      </c>
      <c r="Z42" s="329">
        <f ca="1">P42/Y42</f>
        <v>0.83859153238281192</v>
      </c>
      <c r="AA42" s="329">
        <f ca="1">Z42/(D$43/365)</f>
        <v>0.17795692402309671</v>
      </c>
    </row>
    <row r="43" spans="1:27">
      <c r="C43" s="119" t="s">
        <v>567</v>
      </c>
      <c r="D43" s="46">
        <f ca="1">_xlfn.DAYS(TODAY(),F13)</f>
        <v>1720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D33" sqref="D33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43"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2018</v>
      </c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0">
        <v>2901.68</v>
      </c>
      <c r="L5" s="431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4">
        <v>620.05999999999995</v>
      </c>
      <c r="L6" s="41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4">
        <v>8035.29</v>
      </c>
      <c r="L7" s="41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4">
        <v>659.39</v>
      </c>
      <c r="L9" s="41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4">
        <f>240+35</f>
        <v>275</v>
      </c>
      <c r="L11" s="41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6">
        <f>SUM(K5:K18)</f>
        <v>26383.54</v>
      </c>
      <c r="L19" s="417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9" t="str">
        <f>AÑO!A8</f>
        <v>Manolo Salario</v>
      </c>
      <c r="J25" s="422" t="s">
        <v>290</v>
      </c>
      <c r="K25" s="423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0"/>
      <c r="J26" s="424"/>
      <c r="K26" s="425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0"/>
      <c r="J27" s="424"/>
      <c r="K27" s="425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19" t="str">
        <f>AÑO!A9</f>
        <v>Rocío Salario</v>
      </c>
      <c r="J30" s="422" t="s">
        <v>237</v>
      </c>
      <c r="K30" s="423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0"/>
      <c r="J31" s="424" t="s">
        <v>255</v>
      </c>
      <c r="K31" s="425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0"/>
      <c r="J32" s="432" t="s">
        <v>266</v>
      </c>
      <c r="K32" s="425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9" t="s">
        <v>217</v>
      </c>
      <c r="J35" s="422" t="s">
        <v>305</v>
      </c>
      <c r="K35" s="423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9" t="str">
        <f>AÑO!A11</f>
        <v>Finanazas</v>
      </c>
      <c r="J40" s="422" t="s">
        <v>238</v>
      </c>
      <c r="K40" s="423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0"/>
      <c r="J41" s="424" t="s">
        <v>239</v>
      </c>
      <c r="K41" s="425"/>
      <c r="L41" s="229">
        <v>1.87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12"/>
      <c r="I42" s="420"/>
      <c r="J42" s="424" t="s">
        <v>268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9" t="str">
        <f>AÑO!A12</f>
        <v>Regalos</v>
      </c>
      <c r="J45" s="422" t="s">
        <v>298</v>
      </c>
      <c r="K45" s="423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21"/>
      <c r="J49" s="426"/>
      <c r="K49" s="427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19" t="str">
        <f>AÑO!A13</f>
        <v>Gubernamental</v>
      </c>
      <c r="J50" s="422" t="s">
        <v>258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21"/>
      <c r="J54" s="426"/>
      <c r="K54" s="427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9" t="str">
        <f>AÑO!A16</f>
        <v>Otros</v>
      </c>
      <c r="J65" s="422" t="s">
        <v>295</v>
      </c>
      <c r="K65" s="423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20"/>
      <c r="J66" s="424"/>
      <c r="K66" s="425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20"/>
      <c r="J68" s="424"/>
      <c r="K68" s="425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35"/>
      <c r="J69" s="436"/>
      <c r="K69" s="437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75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75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2:8" ht="15" customHeight="1" thickBot="1">
      <c r="B243" s="411"/>
      <c r="C243" s="412"/>
      <c r="D243" s="412"/>
      <c r="E243" s="412"/>
      <c r="F243" s="412"/>
      <c r="G243" s="413"/>
      <c r="H243" s="112"/>
    </row>
    <row r="244" spans="2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2:8" ht="15" customHeight="1" thickBot="1">
      <c r="B263" s="411"/>
      <c r="C263" s="412"/>
      <c r="D263" s="412"/>
      <c r="E263" s="412"/>
      <c r="F263" s="412"/>
      <c r="G263" s="413"/>
      <c r="H263" s="112"/>
    </row>
    <row r="264" spans="2:8" ht="15.75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2:8" ht="15" customHeight="1" thickBot="1">
      <c r="B283" s="411"/>
      <c r="C283" s="412"/>
      <c r="D283" s="412"/>
      <c r="E283" s="412"/>
      <c r="F283" s="412"/>
      <c r="G283" s="413"/>
      <c r="H283" s="112"/>
    </row>
    <row r="284" spans="2:8" ht="15.75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2:8" ht="15" customHeight="1" thickBot="1">
      <c r="B303" s="411"/>
      <c r="C303" s="412"/>
      <c r="D303" s="412"/>
      <c r="E303" s="412"/>
      <c r="F303" s="412"/>
      <c r="G303" s="413"/>
      <c r="H303" s="112"/>
    </row>
    <row r="304" spans="2:8" ht="15.75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75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2" t="str">
        <f>AÑO!A37</f>
        <v>Impuestos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75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75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75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75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75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75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2" t="str">
        <f>AÑO!A43</f>
        <v>Cartama Finanazas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75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75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75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2397.48-4.45</f>
        <v>2393.0300000000002</v>
      </c>
      <c r="L5" s="431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>
        <f>7340.23-4.45</f>
        <v>7335.78</v>
      </c>
      <c r="L7" s="41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7001.87</v>
      </c>
      <c r="L8" s="41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669.52</v>
      </c>
      <c r="L9" s="41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160+155</f>
        <v>315</v>
      </c>
      <c r="L11" s="41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313</v>
      </c>
      <c r="K30" s="423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318</v>
      </c>
      <c r="K31" s="425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313</v>
      </c>
      <c r="K33" s="425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20"/>
      <c r="J46" s="424"/>
      <c r="K46" s="425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20"/>
      <c r="J51" s="424"/>
      <c r="K51" s="425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9" t="str">
        <f>AÑO!A15</f>
        <v>Alquiler Cartama</v>
      </c>
      <c r="J60" s="422" t="s">
        <v>314</v>
      </c>
      <c r="K60" s="423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20"/>
      <c r="J66" s="424"/>
      <c r="K66" s="425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20"/>
      <c r="J67" s="424"/>
      <c r="K67" s="425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35"/>
      <c r="J69" s="436"/>
      <c r="K69" s="437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1559.34</v>
      </c>
      <c r="L5" s="431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4">
        <v>8577.0300000000007</v>
      </c>
      <c r="L7" s="41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4">
        <v>4167.34</v>
      </c>
      <c r="L9" s="41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255</v>
      </c>
      <c r="L11" s="41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237</v>
      </c>
      <c r="K31" s="425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378</v>
      </c>
      <c r="K45" s="423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20"/>
      <c r="J46" s="424" t="s">
        <v>160</v>
      </c>
      <c r="K46" s="425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20"/>
      <c r="J51" s="424" t="s">
        <v>416</v>
      </c>
      <c r="K51" s="425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19" t="str">
        <f>AÑO!A14</f>
        <v>Mutualite/DKV</v>
      </c>
      <c r="J55" s="438" t="str">
        <f>G306</f>
        <v>12/03 Chirec</v>
      </c>
      <c r="K55" s="423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365</v>
      </c>
      <c r="K60" s="423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20"/>
      <c r="J66" s="424"/>
      <c r="K66" s="425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20"/>
      <c r="J67" s="424"/>
      <c r="K67" s="4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35"/>
      <c r="J69" s="436"/>
      <c r="K69" s="437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861.84</v>
      </c>
      <c r="L5" s="431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10075.709999999999</v>
      </c>
      <c r="L7" s="41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35.96</v>
      </c>
      <c r="L9" s="41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370</v>
      </c>
      <c r="L11" s="41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5092.08+4084.2</f>
        <v>9176.2799999999988</v>
      </c>
      <c r="L12" s="41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443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60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432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8" t="str">
        <f>'03'!G307</f>
        <v>22/03 Chirec</v>
      </c>
      <c r="K55" s="423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1" t="str">
        <f>'03'!G309</f>
        <v>26/03 Ginecologa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447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1773.93</v>
      </c>
      <c r="L5" s="431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7144.52</v>
      </c>
      <c r="L7" s="41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10005.620000000001</v>
      </c>
      <c r="L8" s="41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514.82000000000005</v>
      </c>
      <c r="L9" s="41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210</f>
        <v>210</v>
      </c>
      <c r="L11" s="41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361</v>
      </c>
      <c r="K31" s="425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471</v>
      </c>
      <c r="K40" s="423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19" t="str">
        <f>AÑO!A13</f>
        <v>Gubernamental</v>
      </c>
      <c r="J50" s="422" t="s">
        <v>482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19" t="str">
        <f>AÑO!A14</f>
        <v>Mutualite/DKV</v>
      </c>
      <c r="J55" s="422" t="s">
        <v>476</v>
      </c>
      <c r="K55" s="423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M5+2156.93</f>
        <v>1614.1099999999997</v>
      </c>
      <c r="L5" s="431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9234.42-58.2</f>
        <v>9176.2199999999993</v>
      </c>
      <c r="L7" s="41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190</v>
      </c>
      <c r="L11" s="41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625</v>
      </c>
      <c r="K30" s="423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626</v>
      </c>
      <c r="K60" s="423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2939.95</f>
        <v>2939.95</v>
      </c>
      <c r="L5" s="431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8049.26</v>
      </c>
      <c r="L7" s="41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260</v>
      </c>
      <c r="L11" s="41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687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674</v>
      </c>
      <c r="K40" s="423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688</v>
      </c>
      <c r="K55" s="423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688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703</v>
      </c>
      <c r="K60" s="423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7490.36</v>
      </c>
      <c r="L7" s="41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20+120</f>
        <v>140</v>
      </c>
      <c r="L11" s="41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396</v>
      </c>
      <c r="K35" s="423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775</v>
      </c>
      <c r="K45" s="423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20"/>
      <c r="J46" s="424" t="s">
        <v>776</v>
      </c>
      <c r="K46" s="425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19" t="str">
        <f>AÑO!A13</f>
        <v>Gubernamental</v>
      </c>
      <c r="J50" s="422" t="s">
        <v>638</v>
      </c>
      <c r="K50" s="423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2">
        <v>43692</v>
      </c>
      <c r="K55" s="423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3">
        <v>43696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2019-11-25T16:44:05Z</dcterms:modified>
</cp:coreProperties>
</file>