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4C5C7EB-CBB2-4246-9898-5BAC5835871C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467" i="13" l="1"/>
  <c r="A468" i="13"/>
  <c r="A466" i="13"/>
  <c r="A107" i="13"/>
  <c r="A108" i="13"/>
  <c r="A109" i="13"/>
  <c r="A106" i="13"/>
  <c r="A120" i="13" s="1"/>
  <c r="A27" i="13"/>
  <c r="A28" i="13"/>
  <c r="A29" i="13"/>
  <c r="A30" i="13"/>
  <c r="A26" i="13"/>
  <c r="A7" i="13"/>
  <c r="A8" i="13"/>
  <c r="A9" i="13"/>
  <c r="A10" i="13"/>
  <c r="A11" i="13"/>
  <c r="A12" i="13"/>
  <c r="A13" i="13"/>
  <c r="A20" i="13" s="1"/>
  <c r="A6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A480" i="13"/>
  <c r="B462" i="13"/>
  <c r="F460" i="13"/>
  <c r="E460" i="13"/>
  <c r="D460" i="13"/>
  <c r="B460" i="13"/>
  <c r="B442" i="13"/>
  <c r="F440" i="13"/>
  <c r="E440" i="13"/>
  <c r="D440" i="13"/>
  <c r="B426" i="13"/>
  <c r="B440" i="13" s="1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H116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B426" i="11"/>
  <c r="AS46" i="1"/>
  <c r="A40" i="13" l="1"/>
  <c r="D51" i="10"/>
  <c r="A120" i="10" l="1"/>
  <c r="A108" i="12"/>
  <c r="F366" i="10"/>
  <c r="A109" i="11"/>
  <c r="A109" i="12" s="1"/>
  <c r="A108" i="10"/>
  <c r="A467" i="11" l="1"/>
  <c r="A468" i="11"/>
  <c r="D108" i="10"/>
  <c r="A108" i="11" l="1"/>
  <c r="A107" i="11"/>
  <c r="A107" i="12" s="1"/>
  <c r="A106" i="11"/>
  <c r="A466" i="12"/>
  <c r="A466" i="11"/>
  <c r="A480" i="11" s="1"/>
  <c r="A480" i="10"/>
  <c r="A30" i="11"/>
  <c r="A30" i="12" s="1"/>
  <c r="A30" i="10"/>
  <c r="A28" i="10"/>
  <c r="A28" i="11"/>
  <c r="A28" i="12" s="1"/>
  <c r="A29" i="11"/>
  <c r="A29" i="12" s="1"/>
  <c r="A26" i="11"/>
  <c r="A26" i="12" s="1"/>
  <c r="A29" i="10"/>
  <c r="A27" i="10"/>
  <c r="A27" i="11" s="1"/>
  <c r="A27" i="12" s="1"/>
  <c r="A8" i="11"/>
  <c r="A8" i="12" s="1"/>
  <c r="A9" i="11"/>
  <c r="A9" i="12" s="1"/>
  <c r="A13" i="12"/>
  <c r="A13" i="10"/>
  <c r="A13" i="11" s="1"/>
  <c r="A12" i="10"/>
  <c r="A12" i="11" s="1"/>
  <c r="A12" i="12" s="1"/>
  <c r="A7" i="10"/>
  <c r="A15" i="10"/>
  <c r="A14" i="10"/>
  <c r="A9" i="10"/>
  <c r="A106" i="12" l="1"/>
  <c r="A120" i="11"/>
  <c r="A120" i="12"/>
  <c r="A40" i="11"/>
  <c r="A40" i="12"/>
  <c r="A40" i="10"/>
  <c r="A468" i="12"/>
  <c r="A467" i="12"/>
  <c r="D67" i="10" l="1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M27" i="10" l="1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BI20" i="1" l="1"/>
  <c r="BL20" i="1" s="1"/>
  <c r="BI21" i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22" i="1"/>
  <c r="BL22" i="1" s="1"/>
  <c r="BI30" i="1"/>
  <c r="BL30" i="1" s="1"/>
  <c r="BI38" i="1"/>
  <c r="BL38" i="1" s="1"/>
  <c r="BI32" i="1"/>
  <c r="BL32" i="1" s="1"/>
  <c r="BI41" i="1"/>
  <c r="BL41" i="1" s="1"/>
  <c r="BI26" i="1"/>
  <c r="BL26" i="1" s="1"/>
  <c r="BI28" i="1"/>
  <c r="BL28" i="1" s="1"/>
  <c r="BI23" i="1"/>
  <c r="BL23" i="1" s="1"/>
  <c r="BI31" i="1"/>
  <c r="BL31" i="1" s="1"/>
  <c r="BI39" i="1"/>
  <c r="BL39" i="1" s="1"/>
  <c r="BI34" i="1"/>
  <c r="BL34" i="1" s="1"/>
  <c r="BI36" i="1"/>
  <c r="BL36" i="1" s="1"/>
  <c r="BI24" i="1"/>
  <c r="BL24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BL46" i="1" l="1"/>
  <c r="BI46" i="1"/>
  <c r="BJ29" i="1" s="1"/>
  <c r="K10" i="2"/>
  <c r="BJ37" i="1" l="1"/>
  <c r="BJ32" i="1"/>
  <c r="BJ25" i="1"/>
  <c r="BJ39" i="1"/>
  <c r="BJ27" i="1"/>
  <c r="BJ20" i="1"/>
  <c r="BJ35" i="1"/>
  <c r="BJ23" i="1"/>
  <c r="BJ33" i="1"/>
  <c r="BJ22" i="1"/>
  <c r="BJ34" i="1"/>
  <c r="BJ40" i="1"/>
  <c r="BJ28" i="1"/>
  <c r="BJ44" i="1"/>
  <c r="BJ31" i="1"/>
  <c r="BJ41" i="1"/>
  <c r="BJ26" i="1"/>
  <c r="BJ38" i="1"/>
  <c r="BJ43" i="1"/>
  <c r="BJ42" i="1"/>
  <c r="BJ45" i="1"/>
  <c r="BJ30" i="1"/>
  <c r="BJ24" i="1"/>
  <c r="BJ36" i="1"/>
  <c r="BJ21" i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BK33" i="1" l="1"/>
  <c r="BK36" i="1"/>
  <c r="BK44" i="1"/>
  <c r="BK24" i="1"/>
  <c r="BK31" i="1"/>
  <c r="BK35" i="1"/>
  <c r="BK39" i="1"/>
  <c r="BK43" i="1"/>
  <c r="BK29" i="1"/>
  <c r="BK30" i="1"/>
  <c r="BK27" i="1"/>
  <c r="BK37" i="1"/>
  <c r="BK42" i="1"/>
  <c r="BK32" i="1"/>
  <c r="BK45" i="1"/>
  <c r="BK25" i="1"/>
  <c r="BK26" i="1"/>
  <c r="BK34" i="1"/>
  <c r="BK41" i="1"/>
  <c r="BK40" i="1"/>
  <c r="BK28" i="1"/>
  <c r="BK21" i="1"/>
  <c r="BK22" i="1"/>
  <c r="BK38" i="1"/>
  <c r="BK23" i="1"/>
  <c r="BK20" i="1"/>
  <c r="D7" i="17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50" i="1" s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B440" i="11"/>
  <c r="AN41" i="1" s="1"/>
  <c r="B426" i="9"/>
  <c r="B440" i="9" s="1"/>
  <c r="AF41" i="1" s="1"/>
  <c r="B440" i="10"/>
  <c r="AV41" i="1"/>
  <c r="AV46" i="1" s="1"/>
  <c r="AV47" i="1" s="1"/>
  <c r="AR41" i="1"/>
  <c r="B440" i="8"/>
  <c r="B440" i="7"/>
  <c r="AO21" i="1"/>
  <c r="AO46" i="1" s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6" i="11" l="1"/>
  <c r="A7" i="11"/>
  <c r="A7" i="12" s="1"/>
  <c r="A10" i="11"/>
  <c r="A10" i="12" s="1"/>
  <c r="A20" i="10"/>
  <c r="A11" i="11"/>
  <c r="A11" i="12" s="1"/>
  <c r="A6" i="12" l="1"/>
  <c r="A20" i="12" s="1"/>
  <c r="A20" i="11"/>
</calcChain>
</file>

<file path=xl/sharedStrings.xml><?xml version="1.0" encoding="utf-8"?>
<sst xmlns="http://schemas.openxmlformats.org/spreadsheetml/2006/main" count="5263" uniqueCount="630">
  <si>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</si>
  <si>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</si>
  <si>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</si>
  <si>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</si>
  <si>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</si>
  <si>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</si>
  <si>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</si>
  <si>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</si>
  <si>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</si>
  <si>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</si>
  <si>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</si>
  <si>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</si>
  <si>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</si>
  <si>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</si>
  <si>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</si>
  <si>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</si>
  <si>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</si>
  <si>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</si>
  <si>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</si>
  <si>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</si>
  <si>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</si>
  <si>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</si>
  <si>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</si>
  <si>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</si>
  <si>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</si>
  <si>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</si>
  <si>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</si>
  <si>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</si>
  <si>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</si>
  <si>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</si>
  <si>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</si>
  <si>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</si>
  <si>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</si>
  <si>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</si>
  <si>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</si>
  <si>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</si>
  <si>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</si>
  <si>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</si>
  <si>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</si>
  <si>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</si>
  <si>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</si>
  <si>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</si>
  <si>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</si>
  <si>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</si>
  <si>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</si>
  <si>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</si>
  <si>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</si>
  <si>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</si>
  <si>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</si>
  <si>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</si>
  <si>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</si>
  <si>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</si>
  <si>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</si>
  <si>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</si>
  <si>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</si>
  <si>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</si>
  <si>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</si>
  <si>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</si>
  <si>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</si>
  <si>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</si>
  <si>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</si>
  <si>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</si>
  <si>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</si>
  <si>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</si>
  <si>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</si>
  <si>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</si>
  <si>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</si>
  <si>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</si>
  <si>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</si>
  <si>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</si>
  <si>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</si>
  <si>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</si>
  <si>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</si>
  <si>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</si>
  <si>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</si>
  <si>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</si>
  <si>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</si>
  <si>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</si>
  <si>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</si>
  <si>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</si>
  <si>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</si>
  <si>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</si>
  <si>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</si>
  <si>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</si>
  <si>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</si>
  <si>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</si>
  <si>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</si>
  <si>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</si>
  <si>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</si>
  <si>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</si>
  <si>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</si>
  <si>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</si>
  <si>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</si>
  <si>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</si>
  <si>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</si>
  <si>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</si>
  <si>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</si>
  <si>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</si>
  <si>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</si>
  <si>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</si>
  <si>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</si>
  <si>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</si>
  <si>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</si>
  <si>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</si>
  <si>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</si>
  <si>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</si>
  <si>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</si>
  <si>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</si>
  <si>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</si>
  <si>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</si>
  <si>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</si>
  <si>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</si>
  <si>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</si>
  <si>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</si>
  <si>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</si>
  <si>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</si>
  <si>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</si>
  <si>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</si>
  <si>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</si>
  <si>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</si>
  <si>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</si>
  <si>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</si>
  <si>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</si>
  <si>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</si>
  <si>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</si>
  <si>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</si>
  <si>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</si>
  <si>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</si>
  <si>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</si>
  <si>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</si>
  <si>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</si>
  <si>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</si>
  <si>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</si>
  <si>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</si>
  <si>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</si>
  <si>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</si>
  <si>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</si>
  <si>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</si>
  <si>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</si>
  <si>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</si>
  <si>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</si>
  <si>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</si>
  <si>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</si>
  <si>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</si>
  <si>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</si>
  <si>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</si>
  <si>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</si>
  <si>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</si>
  <si>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</si>
  <si>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</si>
  <si>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</si>
  <si>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</si>
  <si>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</si>
  <si>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</si>
  <si>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</si>
  <si>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</si>
  <si>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</si>
  <si>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</si>
  <si>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</si>
  <si>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</si>
  <si>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</si>
  <si>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</si>
  <si>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</si>
  <si>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</si>
  <si>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</si>
  <si>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</si>
  <si>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</si>
  <si>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</si>
  <si>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</si>
  <si>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</si>
  <si>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</si>
  <si>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</si>
  <si>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</si>
  <si>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</si>
  <si>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</si>
  <si>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</si>
  <si>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</si>
  <si>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</si>
  <si>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</si>
  <si>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</si>
  <si>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</si>
  <si>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</si>
  <si>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</si>
  <si>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</si>
  <si>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</si>
  <si>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</si>
  <si>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</si>
  <si>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</si>
  <si>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</si>
  <si>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</si>
  <si>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</si>
  <si>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</si>
  <si>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</si>
  <si>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</si>
  <si>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</si>
  <si>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</si>
  <si>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</si>
  <si>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</si>
  <si>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</si>
  <si>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</si>
  <si>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</si>
  <si>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</si>
  <si>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</si>
  <si>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</si>
  <si>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</si>
  <si>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</si>
  <si>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</si>
  <si>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</si>
  <si>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</si>
  <si>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</si>
  <si>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</si>
  <si>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</si>
  <si>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</si>
  <si>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</si>
  <si>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</si>
  <si>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</si>
  <si>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</si>
  <si>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</si>
  <si>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</si>
  <si>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</si>
  <si>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</si>
  <si>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</si>
  <si>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</si>
  <si>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</si>
  <si>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</si>
  <si>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</si>
  <si>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</si>
  <si>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</si>
  <si>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</si>
  <si>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</si>
  <si>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</si>
  <si>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</si>
  <si>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</si>
  <si>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</si>
  <si>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</si>
  <si>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</si>
  <si>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</si>
  <si>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</si>
  <si>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</si>
  <si>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</si>
  <si>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</si>
  <si>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</si>
  <si>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</si>
  <si>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</si>
  <si>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</si>
  <si>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</si>
  <si>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</si>
  <si>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</si>
  <si>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</si>
  <si>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</si>
  <si>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</si>
  <si>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</si>
  <si>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</si>
  <si>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</si>
  <si>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</si>
  <si>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</si>
  <si>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</si>
  <si>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</si>
  <si>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</si>
  <si>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</si>
  <si>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</si>
  <si>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</si>
  <si>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</si>
  <si>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</si>
  <si>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</si>
  <si>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</si>
  <si>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</si>
  <si>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</si>
  <si>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</si>
  <si>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</si>
  <si>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</si>
  <si>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</si>
  <si>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</si>
  <si>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</si>
  <si>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</si>
  <si>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</si>
  <si>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</si>
  <si>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</si>
  <si>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</si>
  <si>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</si>
  <si>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</si>
  <si>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</si>
  <si>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</si>
  <si>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</si>
  <si>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</si>
  <si>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</si>
  <si>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</si>
  <si>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</si>
  <si>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</si>
  <si>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</si>
  <si>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</si>
  <si>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</si>
  <si>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</si>
  <si>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</si>
  <si>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</si>
  <si>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</si>
  <si>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</si>
  <si>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</si>
  <si>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</si>
  <si>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</si>
  <si>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</si>
  <si>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</si>
  <si>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</si>
  <si>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</si>
  <si>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</si>
  <si>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</si>
  <si>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</si>
  <si>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</si>
  <si>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</si>
  <si>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</si>
  <si>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</si>
  <si>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</si>
  <si>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</si>
  <si>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</si>
  <si>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</si>
  <si>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</si>
  <si>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</si>
  <si>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</si>
  <si>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</si>
  <si>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</si>
  <si>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</si>
  <si>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</si>
  <si>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</si>
  <si>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</si>
  <si>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</si>
  <si>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</si>
  <si>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</si>
  <si>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</si>
  <si>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</si>
  <si>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</si>
  <si>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</si>
  <si>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</si>
  <si>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</si>
  <si>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</si>
  <si>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</si>
  <si>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</si>
  <si>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</si>
  <si>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</si>
  <si>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</si>
  <si>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</si>
  <si>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</si>
  <si>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</si>
  <si>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</si>
  <si>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</si>
  <si>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</si>
  <si>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</si>
  <si>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</si>
  <si>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</si>
  <si>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</si>
  <si>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</si>
  <si>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</si>
  <si>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</si>
  <si>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</si>
  <si>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</si>
  <si>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</si>
  <si>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</si>
  <si>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</si>
  <si>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</si>
  <si>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</si>
  <si>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</si>
  <si>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</si>
  <si>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</si>
  <si>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</si>
  <si>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</si>
  <si>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</si>
  <si>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</si>
  <si>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</si>
  <si>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</si>
  <si>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</si>
  <si>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</si>
  <si>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</si>
  <si>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</si>
  <si>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</si>
  <si>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</si>
  <si>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</si>
  <si>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</si>
  <si>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</si>
  <si>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</si>
  <si>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</si>
  <si>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</si>
  <si>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</si>
  <si>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</si>
  <si>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</si>
  <si>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</si>
  <si>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</si>
  <si>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</si>
  <si>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</si>
  <si>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</si>
  <si>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</si>
  <si>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</si>
  <si>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</si>
  <si>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</si>
  <si>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</si>
  <si>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</si>
  <si>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</si>
  <si>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</si>
  <si>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</si>
  <si>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</si>
  <si>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</si>
  <si>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</si>
  <si>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</si>
  <si>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</si>
  <si>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</si>
  <si>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</si>
  <si>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</si>
  <si>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</si>
  <si>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</si>
  <si>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</si>
  <si>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</si>
  <si>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</si>
  <si>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</si>
  <si>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</si>
  <si>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</si>
  <si>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</si>
  <si>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</si>
  <si>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</si>
  <si>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</si>
  <si>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</si>
  <si>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</si>
  <si>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</si>
  <si>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</si>
  <si>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</si>
  <si>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</si>
  <si>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</si>
  <si>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</si>
  <si>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</si>
  <si>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</si>
  <si>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</si>
  <si>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</si>
  <si>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</si>
  <si>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</si>
  <si>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</si>
  <si>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</si>
  <si>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</si>
  <si>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</si>
  <si>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</si>
  <si>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</si>
  <si>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</si>
  <si>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</si>
  <si>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</si>
  <si>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</si>
  <si>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</si>
  <si>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</si>
  <si>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</si>
  <si>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</si>
  <si>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</si>
  <si>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</si>
  <si>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</si>
  <si>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</si>
  <si>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</si>
  <si>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</si>
  <si>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</si>
  <si>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</si>
  <si>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</si>
  <si>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</si>
  <si>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</si>
  <si>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</si>
  <si>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</si>
  <si>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</si>
  <si>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</si>
  <si>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</si>
  <si>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</si>
  <si>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</si>
  <si>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</si>
  <si>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</si>
  <si>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</si>
  <si>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</si>
  <si>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</si>
  <si>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</si>
  <si>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</si>
  <si>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</si>
  <si>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</si>
  <si>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</si>
  <si>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</si>
  <si>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</si>
  <si>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</si>
  <si>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</si>
  <si>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</si>
  <si>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</si>
  <si>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</si>
  <si>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</si>
  <si>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</si>
  <si>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</si>
  <si>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</si>
  <si>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</si>
  <si>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</si>
  <si>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</si>
  <si>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</si>
  <si>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</si>
  <si>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</si>
  <si>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</si>
  <si>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</si>
  <si>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</si>
  <si>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</si>
  <si>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</si>
  <si>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</si>
  <si>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</si>
  <si>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</si>
  <si>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</si>
  <si>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</si>
  <si>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</si>
  <si>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</si>
  <si>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</si>
  <si>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</si>
  <si>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</si>
  <si>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</si>
  <si>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</si>
  <si>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</si>
  <si>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</si>
  <si>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</si>
  <si>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</si>
  <si>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</si>
  <si>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</si>
  <si>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</si>
  <si>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</si>
  <si>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</si>
  <si>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</si>
  <si>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</si>
  <si>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</si>
  <si>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</si>
  <si>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</si>
  <si>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</si>
  <si>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</si>
  <si>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</si>
  <si>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</si>
  <si>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</si>
  <si>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</si>
  <si>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</si>
  <si>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</si>
  <si>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</si>
  <si>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</si>
  <si>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</si>
  <si>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</si>
  <si>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</si>
  <si>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</si>
  <si>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</si>
  <si>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</si>
  <si>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</si>
  <si>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</si>
  <si>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</si>
  <si>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</si>
  <si>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</si>
  <si>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</si>
  <si>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</si>
  <si>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</si>
  <si>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</si>
  <si>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</si>
  <si>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</si>
  <si>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</si>
  <si>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</si>
  <si>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</si>
  <si>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</si>
  <si>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</si>
  <si>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</si>
  <si>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</si>
  <si>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</si>
  <si>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</si>
  <si>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</si>
  <si>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</si>
  <si>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</si>
  <si>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</si>
  <si>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</si>
  <si>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</si>
  <si>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</si>
  <si>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</si>
  <si>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</si>
  <si>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</si>
  <si>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</si>
  <si>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</si>
  <si>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</si>
  <si>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</si>
  <si>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</si>
  <si>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</si>
  <si>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</si>
  <si>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</si>
  <si>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</si>
  <si>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</si>
  <si>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</si>
  <si>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</si>
  <si>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</si>
  <si>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</si>
  <si>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</si>
  <si>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</si>
  <si>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</si>
  <si>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</si>
  <si>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</si>
  <si>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</si>
  <si>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</si>
  <si>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</si>
  <si>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</si>
  <si>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</si>
  <si>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</si>
  <si>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</si>
  <si>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</si>
  <si>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</si>
  <si>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</si>
  <si>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</si>
  <si>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</si>
  <si>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</si>
  <si>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</si>
  <si>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</si>
  <si>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</si>
  <si>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</si>
  <si>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</si>
  <si>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</si>
  <si>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</si>
  <si>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</si>
  <si>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</si>
  <si>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</si>
  <si>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</si>
  <si>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</si>
  <si>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</si>
  <si>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</si>
  <si>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GastoAnual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</si>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</sst>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" fillId="0" borderId="73" xfId="0" applyFont="1" applyBorder="1" applyAlignment="1">
      <alignment vertical="top" wrapText="1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2" xfId="0" applyNumberFormat="1" applyFont="1" applyBorder="1"/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1" fillId="3" borderId="2" xfId="0" applyNumberFormat="1" applyFont="1" applyFill="1" applyBorder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1" fillId="0" borderId="5" xfId="0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quotePrefix="1" applyNumberFormat="1" applyFont="1" applyBorder="1" applyAlignment="1">
      <alignment vertical="center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13" zoomScaleNormal="100" workbookViewId="0">
      <pane xSplit="1" topLeftCell="AK1" activePane="topRight" state="frozen"/>
      <selection pane="topRight" activeCell="AP43" sqref="AP43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07" t="s">
        <v>0</v>
      </c>
      <c r="D4" s="208"/>
      <c r="E4" s="208"/>
      <c r="F4" s="209"/>
      <c r="G4" s="207" t="s">
        <v>1</v>
      </c>
      <c r="H4" s="208"/>
      <c r="I4" s="208"/>
      <c r="J4" s="209"/>
      <c r="K4" s="207" t="s">
        <v>2</v>
      </c>
      <c r="L4" s="208"/>
      <c r="M4" s="208"/>
      <c r="N4" s="209"/>
      <c r="O4" s="207" t="s">
        <v>3</v>
      </c>
      <c r="P4" s="208"/>
      <c r="Q4" s="208"/>
      <c r="R4" s="209"/>
      <c r="S4" s="207" t="s">
        <v>99</v>
      </c>
      <c r="T4" s="208"/>
      <c r="U4" s="208"/>
      <c r="V4" s="209"/>
      <c r="W4" s="207" t="s">
        <v>95</v>
      </c>
      <c r="X4" s="208"/>
      <c r="Y4" s="208"/>
      <c r="Z4" s="209"/>
      <c r="AA4" s="207" t="s">
        <v>103</v>
      </c>
      <c r="AB4" s="208"/>
      <c r="AC4" s="208"/>
      <c r="AD4" s="209"/>
      <c r="AE4" s="207" t="s">
        <v>104</v>
      </c>
      <c r="AF4" s="208"/>
      <c r="AG4" s="208"/>
      <c r="AH4" s="209"/>
      <c r="AI4" s="207" t="s">
        <v>107</v>
      </c>
      <c r="AJ4" s="208"/>
      <c r="AK4" s="208"/>
      <c r="AL4" s="209"/>
      <c r="AM4" s="207" t="s">
        <v>109</v>
      </c>
      <c r="AN4" s="208"/>
      <c r="AO4" s="208"/>
      <c r="AP4" s="209"/>
      <c r="AQ4" s="207" t="s">
        <v>113</v>
      </c>
      <c r="AR4" s="208"/>
      <c r="AS4" s="208"/>
      <c r="AT4" s="209"/>
      <c r="AU4" s="207" t="s">
        <v>118</v>
      </c>
      <c r="AV4" s="208"/>
      <c r="AW4" s="208"/>
      <c r="AX4" s="209"/>
      <c r="AY4" s="1"/>
      <c r="AZ4" s="1"/>
      <c r="BA4" s="1"/>
      <c r="BB4" s="1"/>
    </row>
    <row r="5" spans="1:54" ht="16.5" thickBot="1">
      <c r="A5" s="6" t="s">
        <v>5</v>
      </c>
      <c r="B5" s="65"/>
      <c r="C5" s="281">
        <f>'01'!K19</f>
        <v>17336.68</v>
      </c>
      <c r="D5" s="282"/>
      <c r="E5" s="282"/>
      <c r="F5" s="283"/>
      <c r="G5" s="281">
        <f>'02'!K19</f>
        <v>20217</v>
      </c>
      <c r="H5" s="282"/>
      <c r="I5" s="282"/>
      <c r="J5" s="283"/>
      <c r="K5" s="284">
        <f>'03'!K19</f>
        <v>21214.57</v>
      </c>
      <c r="L5" s="282"/>
      <c r="M5" s="282"/>
      <c r="N5" s="283"/>
      <c r="O5" s="284">
        <f>'04'!K19</f>
        <v>20719.909999999996</v>
      </c>
      <c r="P5" s="282"/>
      <c r="Q5" s="282"/>
      <c r="R5" s="283"/>
      <c r="S5" s="284">
        <f>'05'!K19</f>
        <v>22905.86</v>
      </c>
      <c r="T5" s="282"/>
      <c r="U5" s="282"/>
      <c r="V5" s="283"/>
      <c r="W5" s="284">
        <f>'06'!K19</f>
        <v>23622.14</v>
      </c>
      <c r="X5" s="282"/>
      <c r="Y5" s="282"/>
      <c r="Z5" s="283"/>
      <c r="AA5" s="284">
        <f>'07'!K19</f>
        <v>24911.559999999998</v>
      </c>
      <c r="AB5" s="282"/>
      <c r="AC5" s="282"/>
      <c r="AD5" s="283"/>
      <c r="AE5" s="284">
        <f>'08'!K19</f>
        <v>24488.75</v>
      </c>
      <c r="AF5" s="282"/>
      <c r="AG5" s="282"/>
      <c r="AH5" s="283"/>
      <c r="AI5" s="284">
        <f>'09'!K19</f>
        <v>24613.260000000002</v>
      </c>
      <c r="AJ5" s="282"/>
      <c r="AK5" s="282"/>
      <c r="AL5" s="283"/>
      <c r="AM5" s="284">
        <f>'10'!K19</f>
        <v>15101.890000000001</v>
      </c>
      <c r="AN5" s="282"/>
      <c r="AO5" s="282"/>
      <c r="AP5" s="283"/>
      <c r="AQ5" s="284">
        <f>'11'!K19</f>
        <v>15101.890000000001</v>
      </c>
      <c r="AR5" s="282"/>
      <c r="AS5" s="282"/>
      <c r="AT5" s="283"/>
      <c r="AU5" s="284">
        <f>'12'!K19</f>
        <v>15101.890000000001</v>
      </c>
      <c r="AV5" s="282"/>
      <c r="AW5" s="282"/>
      <c r="AX5" s="283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10" t="s">
        <v>7</v>
      </c>
      <c r="D7" s="211"/>
      <c r="E7" s="211"/>
      <c r="F7" s="212"/>
      <c r="G7" s="210" t="s">
        <v>7</v>
      </c>
      <c r="H7" s="211"/>
      <c r="I7" s="211"/>
      <c r="J7" s="212"/>
      <c r="K7" s="210" t="s">
        <v>7</v>
      </c>
      <c r="L7" s="211"/>
      <c r="M7" s="211"/>
      <c r="N7" s="212"/>
      <c r="O7" s="210" t="s">
        <v>7</v>
      </c>
      <c r="P7" s="211"/>
      <c r="Q7" s="211"/>
      <c r="R7" s="212"/>
      <c r="S7" s="210" t="s">
        <v>7</v>
      </c>
      <c r="T7" s="211"/>
      <c r="U7" s="211"/>
      <c r="V7" s="212"/>
      <c r="W7" s="210" t="s">
        <v>7</v>
      </c>
      <c r="X7" s="211"/>
      <c r="Y7" s="211"/>
      <c r="Z7" s="212"/>
      <c r="AA7" s="210" t="s">
        <v>7</v>
      </c>
      <c r="AB7" s="211"/>
      <c r="AC7" s="211"/>
      <c r="AD7" s="212"/>
      <c r="AE7" s="210" t="s">
        <v>7</v>
      </c>
      <c r="AF7" s="211"/>
      <c r="AG7" s="211"/>
      <c r="AH7" s="212"/>
      <c r="AI7" s="210" t="s">
        <v>7</v>
      </c>
      <c r="AJ7" s="211"/>
      <c r="AK7" s="211"/>
      <c r="AL7" s="212"/>
      <c r="AM7" s="210" t="s">
        <v>7</v>
      </c>
      <c r="AN7" s="211"/>
      <c r="AO7" s="211"/>
      <c r="AP7" s="212"/>
      <c r="AQ7" s="210" t="s">
        <v>7</v>
      </c>
      <c r="AR7" s="211"/>
      <c r="AS7" s="211"/>
      <c r="AT7" s="212"/>
      <c r="AU7" s="210" t="s">
        <v>7</v>
      </c>
      <c r="AV7" s="211"/>
      <c r="AW7" s="211"/>
      <c r="AX7" s="212"/>
      <c r="AY7" s="10" t="s">
        <v>8</v>
      </c>
      <c r="AZ7" s="25" t="s">
        <v>621</v>
      </c>
      <c r="BA7" s="1"/>
      <c r="BB7" s="1"/>
    </row>
    <row r="8" spans="1:54" ht="15.75">
      <c r="A8" s="11" t="s">
        <v>124</v>
      </c>
      <c r="B8" s="260">
        <v>28683.489999999998</v>
      </c>
      <c r="C8" s="261">
        <v>2317.46</v>
      </c>
      <c r="D8" s="262"/>
      <c r="E8" s="262"/>
      <c r="F8" s="263"/>
      <c r="G8" s="261">
        <f>2317.46+1638.24</f>
        <v>3955.7</v>
      </c>
      <c r="H8" s="262"/>
      <c r="I8" s="262"/>
      <c r="J8" s="263"/>
      <c r="K8" s="261">
        <v>2320.84</v>
      </c>
      <c r="L8" s="262"/>
      <c r="M8" s="262"/>
      <c r="N8" s="263"/>
      <c r="O8" s="261">
        <v>2325.9</v>
      </c>
      <c r="P8" s="262"/>
      <c r="Q8" s="262"/>
      <c r="R8" s="263"/>
      <c r="S8" s="261">
        <v>2321.1799999999998</v>
      </c>
      <c r="T8" s="262"/>
      <c r="U8" s="262"/>
      <c r="V8" s="263"/>
      <c r="W8" s="261">
        <v>3973.79</v>
      </c>
      <c r="X8" s="262"/>
      <c r="Y8" s="262"/>
      <c r="Z8" s="263"/>
      <c r="AA8" s="261">
        <v>2328.91</v>
      </c>
      <c r="AB8" s="262"/>
      <c r="AC8" s="262"/>
      <c r="AD8" s="263"/>
      <c r="AE8" s="261">
        <v>2318.6999999999998</v>
      </c>
      <c r="AF8" s="262"/>
      <c r="AG8" s="262"/>
      <c r="AH8" s="263"/>
      <c r="AI8" s="261"/>
      <c r="AJ8" s="262"/>
      <c r="AK8" s="262"/>
      <c r="AL8" s="263"/>
      <c r="AM8" s="261"/>
      <c r="AN8" s="262"/>
      <c r="AO8" s="262"/>
      <c r="AP8" s="263"/>
      <c r="AQ8" s="261"/>
      <c r="AR8" s="262"/>
      <c r="AS8" s="262"/>
      <c r="AT8" s="263"/>
      <c r="AU8" s="261"/>
      <c r="AV8" s="262"/>
      <c r="AW8" s="262"/>
      <c r="AX8" s="263"/>
      <c r="AY8" s="12">
        <f>SUM(C8:AU8)</f>
        <v>21862.48</v>
      </c>
      <c r="AZ8" s="163">
        <f t="shared" ref="AZ8:AZ16" ca="1" si="0">AY8/BB$17</f>
        <v>2429.1644444444446</v>
      </c>
      <c r="BA8" s="1"/>
      <c r="BB8" s="1"/>
    </row>
    <row r="9" spans="1:54" ht="15.75">
      <c r="A9" s="13" t="s">
        <v>125</v>
      </c>
      <c r="B9" s="264">
        <v>4981.99</v>
      </c>
      <c r="C9" s="265">
        <f>72.66+314.12</f>
        <v>386.78</v>
      </c>
      <c r="D9" s="266"/>
      <c r="E9" s="266"/>
      <c r="F9" s="267"/>
      <c r="G9" s="265">
        <f>176.46</f>
        <v>176.46</v>
      </c>
      <c r="H9" s="266"/>
      <c r="I9" s="266"/>
      <c r="J9" s="267"/>
      <c r="K9" s="265">
        <f>259.63+176.46</f>
        <v>436.09000000000003</v>
      </c>
      <c r="L9" s="266"/>
      <c r="M9" s="266"/>
      <c r="N9" s="267"/>
      <c r="O9" s="265">
        <f>249.22+197.22+325.64</f>
        <v>772.07999999999993</v>
      </c>
      <c r="P9" s="266"/>
      <c r="Q9" s="266"/>
      <c r="R9" s="267"/>
      <c r="S9" s="265">
        <f>155.7+267.29</f>
        <v>422.99</v>
      </c>
      <c r="T9" s="266"/>
      <c r="U9" s="266"/>
      <c r="V9" s="267"/>
      <c r="W9" s="265">
        <f>197.22</f>
        <v>197.22</v>
      </c>
      <c r="X9" s="266"/>
      <c r="Y9" s="266"/>
      <c r="Z9" s="267"/>
      <c r="AA9" s="265">
        <f>786.42+134.94+83.04</f>
        <v>1004.3999999999999</v>
      </c>
      <c r="AB9" s="266"/>
      <c r="AC9" s="266"/>
      <c r="AD9" s="267"/>
      <c r="AE9" s="265">
        <f>269.88</f>
        <v>269.88</v>
      </c>
      <c r="AF9" s="266"/>
      <c r="AG9" s="266"/>
      <c r="AH9" s="267"/>
      <c r="AI9" s="265">
        <v>280.26</v>
      </c>
      <c r="AJ9" s="266"/>
      <c r="AK9" s="266"/>
      <c r="AL9" s="267"/>
      <c r="AM9" s="265"/>
      <c r="AN9" s="266"/>
      <c r="AO9" s="266"/>
      <c r="AP9" s="267"/>
      <c r="AQ9" s="265"/>
      <c r="AR9" s="266"/>
      <c r="AS9" s="266"/>
      <c r="AT9" s="267"/>
      <c r="AU9" s="265"/>
      <c r="AV9" s="266"/>
      <c r="AW9" s="266"/>
      <c r="AX9" s="267"/>
      <c r="AY9" s="14">
        <f t="shared" ref="AY9:AY15" si="1">SUM(C9:AX9)</f>
        <v>3946.16</v>
      </c>
      <c r="AZ9" s="163">
        <f t="shared" ca="1" si="0"/>
        <v>438.46222222222218</v>
      </c>
      <c r="BA9" s="1"/>
      <c r="BB9" s="1"/>
    </row>
    <row r="10" spans="1:54" ht="15.75">
      <c r="A10" s="15" t="s">
        <v>126</v>
      </c>
      <c r="B10" s="268">
        <v>723.38</v>
      </c>
      <c r="C10" s="269">
        <v>90.43</v>
      </c>
      <c r="D10" s="270"/>
      <c r="E10" s="270"/>
      <c r="F10" s="271"/>
      <c r="G10" s="269">
        <f>1117.39-956.06</f>
        <v>161.33000000000015</v>
      </c>
      <c r="H10" s="270"/>
      <c r="I10" s="270"/>
      <c r="J10" s="271"/>
      <c r="K10" s="269">
        <v>285.58</v>
      </c>
      <c r="L10" s="270"/>
      <c r="M10" s="270"/>
      <c r="N10" s="271"/>
      <c r="O10" s="269">
        <f>275.29+42.8</f>
        <v>318.09000000000003</v>
      </c>
      <c r="P10" s="270"/>
      <c r="Q10" s="270"/>
      <c r="R10" s="271"/>
      <c r="S10" s="269">
        <f>421.56</f>
        <v>421.56</v>
      </c>
      <c r="T10" s="270"/>
      <c r="U10" s="270"/>
      <c r="V10" s="271"/>
      <c r="W10" s="269">
        <v>341.74</v>
      </c>
      <c r="X10" s="270"/>
      <c r="Y10" s="270"/>
      <c r="Z10" s="271"/>
      <c r="AA10" s="269">
        <v>234.71</v>
      </c>
      <c r="AB10" s="270"/>
      <c r="AC10" s="270"/>
      <c r="AD10" s="271"/>
      <c r="AE10" s="269">
        <v>83.23</v>
      </c>
      <c r="AF10" s="270"/>
      <c r="AG10" s="270"/>
      <c r="AH10" s="271"/>
      <c r="AI10" s="269">
        <v>300</v>
      </c>
      <c r="AJ10" s="270"/>
      <c r="AK10" s="270"/>
      <c r="AL10" s="271"/>
      <c r="AM10" s="269"/>
      <c r="AN10" s="270"/>
      <c r="AO10" s="270"/>
      <c r="AP10" s="271"/>
      <c r="AQ10" s="269"/>
      <c r="AR10" s="270"/>
      <c r="AS10" s="270"/>
      <c r="AT10" s="271"/>
      <c r="AU10" s="269"/>
      <c r="AV10" s="270"/>
      <c r="AW10" s="270"/>
      <c r="AX10" s="271"/>
      <c r="AY10" s="16">
        <f t="shared" si="1"/>
        <v>2236.67</v>
      </c>
      <c r="AZ10" s="163">
        <f t="shared" ca="1" si="0"/>
        <v>248.51888888888891</v>
      </c>
      <c r="BA10" s="1"/>
      <c r="BB10" s="1"/>
    </row>
    <row r="11" spans="1:54" ht="15.75">
      <c r="A11" s="13" t="s">
        <v>127</v>
      </c>
      <c r="B11" s="264">
        <v>180.64</v>
      </c>
      <c r="C11" s="265">
        <f>1.01+0.04+2831.41+0.05</f>
        <v>2832.51</v>
      </c>
      <c r="D11" s="266"/>
      <c r="E11" s="266"/>
      <c r="F11" s="267"/>
      <c r="G11" s="265"/>
      <c r="H11" s="266"/>
      <c r="I11" s="266"/>
      <c r="J11" s="267"/>
      <c r="K11" s="265"/>
      <c r="L11" s="266"/>
      <c r="M11" s="266"/>
      <c r="N11" s="267"/>
      <c r="O11" s="265">
        <v>0.03</v>
      </c>
      <c r="P11" s="266"/>
      <c r="Q11" s="266"/>
      <c r="R11" s="267"/>
      <c r="S11" s="265">
        <f>38.64</f>
        <v>38.64</v>
      </c>
      <c r="T11" s="266"/>
      <c r="U11" s="266"/>
      <c r="V11" s="267"/>
      <c r="W11" s="265"/>
      <c r="X11" s="266"/>
      <c r="Y11" s="266"/>
      <c r="Z11" s="267"/>
      <c r="AA11" s="265">
        <f>0.02</f>
        <v>0.02</v>
      </c>
      <c r="AB11" s="266"/>
      <c r="AC11" s="266"/>
      <c r="AD11" s="267"/>
      <c r="AE11" s="265"/>
      <c r="AF11" s="266"/>
      <c r="AG11" s="266"/>
      <c r="AH11" s="267"/>
      <c r="AI11" s="265"/>
      <c r="AJ11" s="266"/>
      <c r="AK11" s="266"/>
      <c r="AL11" s="267"/>
      <c r="AM11" s="265"/>
      <c r="AN11" s="266"/>
      <c r="AO11" s="266"/>
      <c r="AP11" s="267"/>
      <c r="AQ11" s="265"/>
      <c r="AR11" s="266"/>
      <c r="AS11" s="266"/>
      <c r="AT11" s="267"/>
      <c r="AU11" s="265"/>
      <c r="AV11" s="266"/>
      <c r="AW11" s="266"/>
      <c r="AX11" s="267"/>
      <c r="AY11" s="14">
        <f t="shared" si="1"/>
        <v>2871.2000000000003</v>
      </c>
      <c r="AZ11" s="163">
        <f t="shared" ca="1" si="0"/>
        <v>319.02222222222224</v>
      </c>
      <c r="BA11" s="1"/>
      <c r="BB11" s="1"/>
    </row>
    <row r="12" spans="1:54" ht="15.75">
      <c r="A12" s="15" t="s">
        <v>128</v>
      </c>
      <c r="B12" s="268">
        <v>626.6</v>
      </c>
      <c r="C12" s="269">
        <f>700+50+449</f>
        <v>1199</v>
      </c>
      <c r="D12" s="270"/>
      <c r="E12" s="270"/>
      <c r="F12" s="271"/>
      <c r="G12" s="269">
        <v>447.43</v>
      </c>
      <c r="H12" s="270"/>
      <c r="I12" s="270"/>
      <c r="J12" s="271"/>
      <c r="K12" s="269"/>
      <c r="L12" s="270"/>
      <c r="M12" s="270"/>
      <c r="N12" s="271"/>
      <c r="O12" s="269">
        <f>80.1</f>
        <v>80.099999999999994</v>
      </c>
      <c r="P12" s="270"/>
      <c r="Q12" s="270"/>
      <c r="R12" s="271"/>
      <c r="S12" s="269"/>
      <c r="T12" s="270"/>
      <c r="U12" s="270"/>
      <c r="V12" s="271"/>
      <c r="W12" s="269">
        <f>200</f>
        <v>200</v>
      </c>
      <c r="X12" s="270"/>
      <c r="Y12" s="270"/>
      <c r="Z12" s="271"/>
      <c r="AA12" s="269">
        <f>106.3</f>
        <v>106.3</v>
      </c>
      <c r="AB12" s="270"/>
      <c r="AC12" s="270"/>
      <c r="AD12" s="271"/>
      <c r="AE12" s="269"/>
      <c r="AF12" s="270"/>
      <c r="AG12" s="270"/>
      <c r="AH12" s="271"/>
      <c r="AI12" s="269"/>
      <c r="AJ12" s="270"/>
      <c r="AK12" s="270"/>
      <c r="AL12" s="271"/>
      <c r="AM12" s="269"/>
      <c r="AN12" s="270"/>
      <c r="AO12" s="270"/>
      <c r="AP12" s="271"/>
      <c r="AQ12" s="269"/>
      <c r="AR12" s="270"/>
      <c r="AS12" s="270"/>
      <c r="AT12" s="271"/>
      <c r="AU12" s="269"/>
      <c r="AV12" s="270"/>
      <c r="AW12" s="270"/>
      <c r="AX12" s="271"/>
      <c r="AY12" s="16">
        <f t="shared" si="1"/>
        <v>2032.83</v>
      </c>
      <c r="AZ12" s="163">
        <f t="shared" ca="1" si="0"/>
        <v>225.87</v>
      </c>
      <c r="BA12" s="1"/>
      <c r="BB12" s="1"/>
    </row>
    <row r="13" spans="1:54" ht="15.75">
      <c r="A13" s="13" t="s">
        <v>129</v>
      </c>
      <c r="B13" s="272">
        <v>3448.3199999999993</v>
      </c>
      <c r="C13" s="265">
        <f>93.93</f>
        <v>93.93</v>
      </c>
      <c r="D13" s="266"/>
      <c r="E13" s="266"/>
      <c r="F13" s="267"/>
      <c r="G13" s="265">
        <f>93.93</f>
        <v>93.93</v>
      </c>
      <c r="H13" s="266"/>
      <c r="I13" s="266"/>
      <c r="J13" s="267"/>
      <c r="K13" s="265">
        <f>93.93</f>
        <v>93.93</v>
      </c>
      <c r="L13" s="266"/>
      <c r="M13" s="266"/>
      <c r="N13" s="267"/>
      <c r="O13" s="265">
        <f>93.93+2290.23</f>
        <v>2384.16</v>
      </c>
      <c r="P13" s="266"/>
      <c r="Q13" s="266"/>
      <c r="R13" s="267"/>
      <c r="S13" s="265">
        <f>93.93</f>
        <v>93.93</v>
      </c>
      <c r="T13" s="266"/>
      <c r="U13" s="266"/>
      <c r="V13" s="267"/>
      <c r="W13" s="265">
        <f>93.93</f>
        <v>93.93</v>
      </c>
      <c r="X13" s="266"/>
      <c r="Y13" s="266"/>
      <c r="Z13" s="267"/>
      <c r="AA13" s="265">
        <f>93.93</f>
        <v>93.93</v>
      </c>
      <c r="AB13" s="266"/>
      <c r="AC13" s="266"/>
      <c r="AD13" s="267"/>
      <c r="AE13" s="265">
        <v>114.74</v>
      </c>
      <c r="AF13" s="266"/>
      <c r="AG13" s="266"/>
      <c r="AH13" s="267"/>
      <c r="AI13" s="265">
        <v>93.93</v>
      </c>
      <c r="AJ13" s="266"/>
      <c r="AK13" s="266"/>
      <c r="AL13" s="267"/>
      <c r="AM13" s="265"/>
      <c r="AN13" s="266"/>
      <c r="AO13" s="266"/>
      <c r="AP13" s="267"/>
      <c r="AQ13" s="265"/>
      <c r="AR13" s="266"/>
      <c r="AS13" s="266"/>
      <c r="AT13" s="267"/>
      <c r="AU13" s="265"/>
      <c r="AV13" s="266"/>
      <c r="AW13" s="266"/>
      <c r="AX13" s="267"/>
      <c r="AY13" s="17">
        <f t="shared" si="1"/>
        <v>3156.4099999999989</v>
      </c>
      <c r="AZ13" s="163">
        <f t="shared" ca="1" si="0"/>
        <v>350.71222222222212</v>
      </c>
      <c r="BA13" s="1"/>
      <c r="BB13" s="1"/>
    </row>
    <row r="14" spans="1:54" ht="15.75">
      <c r="A14" s="15" t="s">
        <v>130</v>
      </c>
      <c r="B14" s="268">
        <v>795.41</v>
      </c>
      <c r="C14" s="269"/>
      <c r="D14" s="270"/>
      <c r="E14" s="270"/>
      <c r="F14" s="271"/>
      <c r="G14" s="269">
        <f>27.27+13.86+8.75+34.09</f>
        <v>83.97</v>
      </c>
      <c r="H14" s="270"/>
      <c r="I14" s="270"/>
      <c r="J14" s="271"/>
      <c r="K14" s="269"/>
      <c r="L14" s="270"/>
      <c r="M14" s="270"/>
      <c r="N14" s="271"/>
      <c r="O14" s="269">
        <f>25+27.27+16.9+26.12</f>
        <v>95.289999999999992</v>
      </c>
      <c r="P14" s="270"/>
      <c r="Q14" s="270"/>
      <c r="R14" s="271"/>
      <c r="S14" s="269">
        <f>22.09+27.27</f>
        <v>49.36</v>
      </c>
      <c r="T14" s="270"/>
      <c r="U14" s="270"/>
      <c r="V14" s="271"/>
      <c r="W14" s="269">
        <f>8.75+27.27+27.27</f>
        <v>63.289999999999992</v>
      </c>
      <c r="X14" s="270"/>
      <c r="Y14" s="270"/>
      <c r="Z14" s="271"/>
      <c r="AA14" s="269"/>
      <c r="AB14" s="270"/>
      <c r="AC14" s="270"/>
      <c r="AD14" s="271"/>
      <c r="AE14" s="269"/>
      <c r="AF14" s="270"/>
      <c r="AG14" s="270"/>
      <c r="AH14" s="271"/>
      <c r="AI14" s="269"/>
      <c r="AJ14" s="270"/>
      <c r="AK14" s="270"/>
      <c r="AL14" s="271"/>
      <c r="AM14" s="269"/>
      <c r="AN14" s="270"/>
      <c r="AO14" s="270"/>
      <c r="AP14" s="271"/>
      <c r="AQ14" s="269"/>
      <c r="AR14" s="270"/>
      <c r="AS14" s="270"/>
      <c r="AT14" s="271"/>
      <c r="AU14" s="269"/>
      <c r="AV14" s="270"/>
      <c r="AW14" s="270"/>
      <c r="AX14" s="271"/>
      <c r="AY14" s="16">
        <f t="shared" si="1"/>
        <v>291.90999999999997</v>
      </c>
      <c r="AZ14" s="163">
        <f t="shared" ca="1" si="0"/>
        <v>32.434444444444438</v>
      </c>
      <c r="BA14" s="3"/>
      <c r="BB14" s="3"/>
    </row>
    <row r="15" spans="1:54" ht="15.75">
      <c r="A15" s="13" t="s">
        <v>131</v>
      </c>
      <c r="B15" s="264">
        <v>2461.34</v>
      </c>
      <c r="C15" s="265">
        <v>648.49</v>
      </c>
      <c r="D15" s="266"/>
      <c r="E15" s="266"/>
      <c r="F15" s="267"/>
      <c r="G15" s="265">
        <v>550</v>
      </c>
      <c r="H15" s="266"/>
      <c r="I15" s="266"/>
      <c r="J15" s="267"/>
      <c r="K15" s="265">
        <v>690</v>
      </c>
      <c r="L15" s="266"/>
      <c r="M15" s="266"/>
      <c r="N15" s="267"/>
      <c r="O15" s="265">
        <f>550</f>
        <v>550</v>
      </c>
      <c r="P15" s="266"/>
      <c r="Q15" s="266"/>
      <c r="R15" s="267"/>
      <c r="S15" s="265">
        <v>650.01</v>
      </c>
      <c r="T15" s="266"/>
      <c r="U15" s="266"/>
      <c r="V15" s="267"/>
      <c r="W15" s="265">
        <v>568.34</v>
      </c>
      <c r="X15" s="266"/>
      <c r="Y15" s="266"/>
      <c r="Z15" s="267"/>
      <c r="AA15" s="265">
        <v>632.86</v>
      </c>
      <c r="AB15" s="266"/>
      <c r="AC15" s="266"/>
      <c r="AD15" s="267"/>
      <c r="AE15" s="265">
        <v>550</v>
      </c>
      <c r="AF15" s="266"/>
      <c r="AG15" s="266"/>
      <c r="AH15" s="267"/>
      <c r="AI15" s="265">
        <v>586.85</v>
      </c>
      <c r="AJ15" s="266"/>
      <c r="AK15" s="266"/>
      <c r="AL15" s="267"/>
      <c r="AM15" s="265"/>
      <c r="AN15" s="266"/>
      <c r="AO15" s="266"/>
      <c r="AP15" s="267"/>
      <c r="AQ15" s="265"/>
      <c r="AR15" s="266"/>
      <c r="AS15" s="266"/>
      <c r="AT15" s="267"/>
      <c r="AU15" s="265"/>
      <c r="AV15" s="266"/>
      <c r="AW15" s="266"/>
      <c r="AX15" s="267"/>
      <c r="AY15" s="14">
        <f t="shared" si="1"/>
        <v>5426.55</v>
      </c>
      <c r="AZ15" s="163">
        <f t="shared" ca="1" si="0"/>
        <v>602.95000000000005</v>
      </c>
      <c r="BA15" s="1"/>
      <c r="BB15" s="1"/>
    </row>
    <row r="16" spans="1:54" ht="16.5" thickBot="1">
      <c r="A16" s="15" t="s">
        <v>132</v>
      </c>
      <c r="B16" s="273">
        <v>15626.78</v>
      </c>
      <c r="C16" s="274">
        <f>28.78+200.62+1566.27</f>
        <v>1795.67</v>
      </c>
      <c r="D16" s="275"/>
      <c r="E16" s="275"/>
      <c r="F16" s="276"/>
      <c r="G16" s="274">
        <f>47.52</f>
        <v>47.52</v>
      </c>
      <c r="H16" s="275"/>
      <c r="I16" s="275"/>
      <c r="J16" s="276"/>
      <c r="K16" s="274"/>
      <c r="L16" s="275"/>
      <c r="M16" s="275"/>
      <c r="N16" s="276"/>
      <c r="O16" s="274"/>
      <c r="P16" s="275"/>
      <c r="Q16" s="275"/>
      <c r="R16" s="276"/>
      <c r="S16" s="274"/>
      <c r="T16" s="275"/>
      <c r="U16" s="275"/>
      <c r="V16" s="276"/>
      <c r="W16" s="274"/>
      <c r="X16" s="275"/>
      <c r="Y16" s="275"/>
      <c r="Z16" s="276"/>
      <c r="AA16" s="274">
        <v>26.77</v>
      </c>
      <c r="AB16" s="275"/>
      <c r="AC16" s="275"/>
      <c r="AD16" s="276"/>
      <c r="AE16" s="274">
        <v>49</v>
      </c>
      <c r="AF16" s="275"/>
      <c r="AG16" s="275"/>
      <c r="AH16" s="276"/>
      <c r="AI16" s="274"/>
      <c r="AJ16" s="275"/>
      <c r="AK16" s="275"/>
      <c r="AL16" s="276"/>
      <c r="AM16" s="274"/>
      <c r="AN16" s="275"/>
      <c r="AO16" s="275"/>
      <c r="AP16" s="276"/>
      <c r="AQ16" s="274"/>
      <c r="AR16" s="275"/>
      <c r="AS16" s="275"/>
      <c r="AT16" s="276"/>
      <c r="AU16" s="274"/>
      <c r="AV16" s="275"/>
      <c r="AW16" s="275"/>
      <c r="AX16" s="276"/>
      <c r="AY16" s="85">
        <f>SUM(C16:AX16)</f>
        <v>1918.96</v>
      </c>
      <c r="AZ16" s="163">
        <f t="shared" ca="1" si="0"/>
        <v>213.21777777777777</v>
      </c>
      <c r="BA16" s="3"/>
      <c r="BB16" s="3"/>
    </row>
    <row r="17" spans="1:64" ht="16.5" thickBot="1">
      <c r="A17" s="6" t="s">
        <v>5</v>
      </c>
      <c r="B17" s="277">
        <f>SUM(B8:B16)</f>
        <v>57527.95</v>
      </c>
      <c r="C17" s="278">
        <f>SUM(C8:C16)</f>
        <v>9364.27</v>
      </c>
      <c r="D17" s="279"/>
      <c r="E17" s="279"/>
      <c r="F17" s="280"/>
      <c r="G17" s="278">
        <f>SUM(G8:G16)</f>
        <v>5516.3400000000011</v>
      </c>
      <c r="H17" s="279"/>
      <c r="I17" s="279"/>
      <c r="J17" s="280"/>
      <c r="K17" s="278">
        <f>SUM(K8:K16)</f>
        <v>3826.44</v>
      </c>
      <c r="L17" s="279"/>
      <c r="M17" s="279"/>
      <c r="N17" s="280"/>
      <c r="O17" s="278">
        <f>SUM(O8:O16)</f>
        <v>6525.6500000000005</v>
      </c>
      <c r="P17" s="279"/>
      <c r="Q17" s="279"/>
      <c r="R17" s="280"/>
      <c r="S17" s="278">
        <f>SUM(S8:S16)</f>
        <v>3997.67</v>
      </c>
      <c r="T17" s="279"/>
      <c r="U17" s="279"/>
      <c r="V17" s="280"/>
      <c r="W17" s="278">
        <f>SUM(W8:W16)</f>
        <v>5438.31</v>
      </c>
      <c r="X17" s="279"/>
      <c r="Y17" s="279"/>
      <c r="Z17" s="280"/>
      <c r="AA17" s="278">
        <f>SUM(AA8:AA16)</f>
        <v>4427.8999999999996</v>
      </c>
      <c r="AB17" s="279"/>
      <c r="AC17" s="279"/>
      <c r="AD17" s="280"/>
      <c r="AE17" s="278">
        <f>SUM(AE8:AE16)</f>
        <v>3385.5499999999997</v>
      </c>
      <c r="AF17" s="279"/>
      <c r="AG17" s="279"/>
      <c r="AH17" s="280"/>
      <c r="AI17" s="278">
        <f>SUM(AI8:AI16)</f>
        <v>1261.04</v>
      </c>
      <c r="AJ17" s="279"/>
      <c r="AK17" s="279"/>
      <c r="AL17" s="280"/>
      <c r="AM17" s="278">
        <f>SUM(AM8:AM16)</f>
        <v>0</v>
      </c>
      <c r="AN17" s="279"/>
      <c r="AO17" s="279"/>
      <c r="AP17" s="280"/>
      <c r="AQ17" s="278">
        <f>SUM(AQ8:AQ16)</f>
        <v>0</v>
      </c>
      <c r="AR17" s="279"/>
      <c r="AS17" s="279"/>
      <c r="AT17" s="280"/>
      <c r="AU17" s="278">
        <f>SUM(AU8:AU16)</f>
        <v>0</v>
      </c>
      <c r="AV17" s="279"/>
      <c r="AW17" s="279"/>
      <c r="AX17" s="280"/>
      <c r="AY17" s="18">
        <f>SUM(AY8:AY16)</f>
        <v>43743.17</v>
      </c>
      <c r="AZ17" s="163">
        <f ca="1">AY17/BB$17</f>
        <v>4860.3522222222218</v>
      </c>
      <c r="BA17" s="1" t="s">
        <v>117</v>
      </c>
      <c r="BB17" s="1">
        <f ca="1">MONTH(TODAY())</f>
        <v>9</v>
      </c>
      <c r="BC17" s="87"/>
    </row>
    <row r="18" spans="1:64" ht="32.25" customHeight="1" thickTop="1" thickBot="1">
      <c r="A18" s="19"/>
      <c r="B18" s="19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 t="s">
        <v>478</v>
      </c>
      <c r="AV18" s="206"/>
      <c r="AW18" s="206"/>
      <c r="AX18" s="206"/>
      <c r="AY18" s="297">
        <f>(2250*13)+5500+(550*12)+(93.93*12)</f>
        <v>42477.16</v>
      </c>
      <c r="AZ18" s="297">
        <f ca="1">12*AZ17</f>
        <v>58324.226666666662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622</v>
      </c>
      <c r="BJ19" s="25" t="s">
        <v>625</v>
      </c>
      <c r="BK19" s="25" t="s">
        <v>623</v>
      </c>
      <c r="BL19" s="25" t="s">
        <v>624</v>
      </c>
    </row>
    <row r="20" spans="1:64" ht="16.5" thickBot="1">
      <c r="A20" s="38" t="s">
        <v>498</v>
      </c>
      <c r="B20" s="285">
        <f>580.41-294</f>
        <v>286.40999999999997</v>
      </c>
      <c r="C20" s="26" t="s">
        <v>0</v>
      </c>
      <c r="D20" s="238">
        <f>'01'!B20</f>
        <v>879</v>
      </c>
      <c r="E20" s="238">
        <f>SUM('01'!D20:F20)</f>
        <v>536.24</v>
      </c>
      <c r="F20" s="239">
        <f t="shared" ref="F20:F45" si="2">B20+D20-E20</f>
        <v>629.16999999999985</v>
      </c>
      <c r="G20" s="26" t="s">
        <v>1</v>
      </c>
      <c r="H20" s="238">
        <f>'02'!B20</f>
        <v>700</v>
      </c>
      <c r="I20" s="238">
        <f>SUM('02'!D20:F20)</f>
        <v>605.65</v>
      </c>
      <c r="J20" s="239">
        <f t="shared" ref="J20:J45" si="3">F20+H20-I20</f>
        <v>723.51999999999987</v>
      </c>
      <c r="K20" s="26" t="s">
        <v>2</v>
      </c>
      <c r="L20" s="238">
        <f>'03'!B20</f>
        <v>720.1</v>
      </c>
      <c r="M20" s="238">
        <f>SUM('03'!D20:F20)</f>
        <v>1220.8099999999997</v>
      </c>
      <c r="N20" s="239">
        <f t="shared" ref="N20:N45" si="4">J20+L20-M20</f>
        <v>222.81000000000017</v>
      </c>
      <c r="O20" s="26" t="s">
        <v>3</v>
      </c>
      <c r="P20" s="238">
        <f>'04'!B20</f>
        <v>704</v>
      </c>
      <c r="Q20" s="238">
        <f>SUM('04'!D20:F20)</f>
        <v>684.59</v>
      </c>
      <c r="R20" s="239">
        <f t="shared" ref="R20:R45" si="5">N20+P20-Q20</f>
        <v>242.22000000000014</v>
      </c>
      <c r="S20" s="26" t="s">
        <v>99</v>
      </c>
      <c r="T20" s="238">
        <f>'05'!B20</f>
        <v>804.01</v>
      </c>
      <c r="U20" s="238">
        <f>SUM('05'!D20:F20)</f>
        <v>484.17</v>
      </c>
      <c r="V20" s="239">
        <f t="shared" ref="V20:V45" si="6">R20+T20-U20</f>
        <v>562.05999999999995</v>
      </c>
      <c r="W20" s="26" t="s">
        <v>95</v>
      </c>
      <c r="X20" s="238">
        <f>'06'!B20</f>
        <v>722.33999999999992</v>
      </c>
      <c r="Y20" s="238">
        <f>SUM('06'!D20:F20)</f>
        <v>585.27</v>
      </c>
      <c r="Z20" s="239">
        <f t="shared" ref="Z20:Z45" si="7">V20+X20-Y20</f>
        <v>699.12999999999988</v>
      </c>
      <c r="AA20" s="26" t="s">
        <v>103</v>
      </c>
      <c r="AB20" s="238">
        <f>'07'!B20</f>
        <v>1043.3</v>
      </c>
      <c r="AC20" s="238">
        <f>SUM('07'!D20:F20)</f>
        <v>1375.54</v>
      </c>
      <c r="AD20" s="239">
        <f t="shared" ref="AD20:AD45" si="8">Z20+AB20-AC20</f>
        <v>366.88999999999987</v>
      </c>
      <c r="AE20" s="26" t="s">
        <v>104</v>
      </c>
      <c r="AF20" s="238">
        <f>'08'!B20</f>
        <v>269</v>
      </c>
      <c r="AG20" s="238">
        <f>SUM('08'!D20:F20)</f>
        <v>150.94999999999999</v>
      </c>
      <c r="AH20" s="239">
        <f t="shared" ref="AH20:AH45" si="9">AD20+AF20-AG20</f>
        <v>484.93999999999988</v>
      </c>
      <c r="AI20" s="26" t="s">
        <v>108</v>
      </c>
      <c r="AJ20" s="238">
        <f>'09'!B20</f>
        <v>642.71</v>
      </c>
      <c r="AK20" s="238">
        <f>SUM('09'!D20:F20)</f>
        <v>456.68</v>
      </c>
      <c r="AL20" s="239">
        <f t="shared" ref="AL20:AL45" si="10">AH20+AJ20-AK20</f>
        <v>670.9699999999998</v>
      </c>
      <c r="AM20" s="26" t="s">
        <v>109</v>
      </c>
      <c r="AN20" s="238">
        <f>'10'!B20</f>
        <v>562.14</v>
      </c>
      <c r="AO20" s="238">
        <f>SUM('10'!D20:F20)</f>
        <v>0</v>
      </c>
      <c r="AP20" s="239">
        <f t="shared" ref="AP20:AP45" si="11">AL20+AN20-AO20</f>
        <v>1233.1099999999997</v>
      </c>
      <c r="AQ20" s="26" t="s">
        <v>114</v>
      </c>
      <c r="AR20" s="238">
        <f>'11'!B20</f>
        <v>534</v>
      </c>
      <c r="AS20" s="238">
        <f>SUM('11'!D20:F20)</f>
        <v>0</v>
      </c>
      <c r="AT20" s="239">
        <f t="shared" ref="AT20:AT45" si="12">AP20+AR20-AS20</f>
        <v>1767.1099999999997</v>
      </c>
      <c r="AU20" s="26" t="s">
        <v>118</v>
      </c>
      <c r="AV20" s="238">
        <f>'12'!B20</f>
        <v>534</v>
      </c>
      <c r="AW20" s="238">
        <f>SUM('12'!D20:F20)</f>
        <v>0</v>
      </c>
      <c r="AX20" s="239">
        <f t="shared" ref="AX20:AX45" si="13">AT20+AV20-AW20</f>
        <v>2301.1099999999997</v>
      </c>
      <c r="AY20" s="39">
        <f t="shared" ref="AY20:AY27" si="14">E20+I20+M20+Q20+U20+Y20+AC20+AG20+AK20+AO20+AS20+AW20</f>
        <v>6099.9</v>
      </c>
      <c r="AZ20" s="40">
        <f t="shared" ref="AZ20:AZ45" si="15">AY20/AY$46</f>
        <v>0.15492580710049311</v>
      </c>
      <c r="BA20" s="41">
        <f>_xlfn.RANK.EQ(AZ20,$AZ$20:$AZ$45,)</f>
        <v>2</v>
      </c>
      <c r="BB20" s="41">
        <f t="shared" ref="BB20:BB45" ca="1" si="16">AY20/BB$17</f>
        <v>677.76666666666665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6484.46</v>
      </c>
      <c r="BJ20" s="40">
        <f t="shared" ref="BJ20:BJ45" ca="1" si="17">BI20/BI$46</f>
        <v>0.1482427597899236</v>
      </c>
      <c r="BK20" s="41">
        <f ca="1">_xlfn.RANK.EQ(BJ20,$BJ$20:$BJ$45,)</f>
        <v>3</v>
      </c>
      <c r="BL20" s="41">
        <f ca="1">BI20/BB$17</f>
        <v>720.4955555555556</v>
      </c>
    </row>
    <row r="21" spans="1:64" ht="16.5" thickBot="1">
      <c r="A21" s="43" t="s">
        <v>62</v>
      </c>
      <c r="B21" s="286">
        <v>0</v>
      </c>
      <c r="C21" s="27" t="s">
        <v>0</v>
      </c>
      <c r="D21" s="240">
        <f>'01'!B40</f>
        <v>1387.4</v>
      </c>
      <c r="E21" s="241">
        <f>SUM('01'!D40:F40)</f>
        <v>1250.77</v>
      </c>
      <c r="F21" s="242">
        <f t="shared" si="2"/>
        <v>136.63000000000011</v>
      </c>
      <c r="G21" s="27" t="s">
        <v>1</v>
      </c>
      <c r="H21" s="240">
        <f>'02'!B40</f>
        <v>1205.52</v>
      </c>
      <c r="I21" s="241">
        <f>SUM('02'!D40:F40)</f>
        <v>1068.6300000000001</v>
      </c>
      <c r="J21" s="242">
        <f t="shared" si="3"/>
        <v>273.52</v>
      </c>
      <c r="K21" s="27" t="s">
        <v>2</v>
      </c>
      <c r="L21" s="240">
        <f>'03'!B40</f>
        <v>1158</v>
      </c>
      <c r="M21" s="241">
        <f>SUM('03'!D40:F40)</f>
        <v>917.46</v>
      </c>
      <c r="N21" s="242">
        <f t="shared" si="4"/>
        <v>514.05999999999995</v>
      </c>
      <c r="O21" s="27" t="s">
        <v>3</v>
      </c>
      <c r="P21" s="240">
        <f>'04'!B40</f>
        <v>1158</v>
      </c>
      <c r="Q21" s="241">
        <f>SUM('04'!D40:F40)</f>
        <v>1293.58</v>
      </c>
      <c r="R21" s="242">
        <f t="shared" si="5"/>
        <v>378.48</v>
      </c>
      <c r="S21" s="27" t="s">
        <v>99</v>
      </c>
      <c r="T21" s="240">
        <f>'05'!B40</f>
        <v>1158</v>
      </c>
      <c r="U21" s="241">
        <f>SUM('05'!D40:F40)</f>
        <v>1021.84</v>
      </c>
      <c r="V21" s="242">
        <f t="shared" si="6"/>
        <v>514.64</v>
      </c>
      <c r="W21" s="27" t="s">
        <v>95</v>
      </c>
      <c r="X21" s="240">
        <f>'06'!B40</f>
        <v>1128</v>
      </c>
      <c r="Y21" s="241">
        <f>SUM('06'!D40:F40)</f>
        <v>1118.78</v>
      </c>
      <c r="Z21" s="242">
        <f t="shared" si="7"/>
        <v>523.8599999999999</v>
      </c>
      <c r="AA21" s="27" t="s">
        <v>103</v>
      </c>
      <c r="AB21" s="240">
        <f>'07'!B40</f>
        <v>1128</v>
      </c>
      <c r="AC21" s="241">
        <f>SUM('07'!D40:F40)</f>
        <v>1021.84</v>
      </c>
      <c r="AD21" s="242">
        <f t="shared" si="8"/>
        <v>630.01999999999987</v>
      </c>
      <c r="AE21" s="27" t="s">
        <v>104</v>
      </c>
      <c r="AF21" s="240">
        <f>'08'!B40</f>
        <v>1128</v>
      </c>
      <c r="AG21" s="241">
        <f>SUM('08'!D40:F40)</f>
        <v>1084.46</v>
      </c>
      <c r="AH21" s="242">
        <f t="shared" si="9"/>
        <v>673.56</v>
      </c>
      <c r="AI21" s="27" t="s">
        <v>108</v>
      </c>
      <c r="AJ21" s="240">
        <f>'09'!B40</f>
        <v>1128</v>
      </c>
      <c r="AK21" s="241">
        <f>SUM('09'!D40:F40)</f>
        <v>1084.46</v>
      </c>
      <c r="AL21" s="242">
        <f t="shared" si="10"/>
        <v>717.09999999999991</v>
      </c>
      <c r="AM21" s="27" t="s">
        <v>109</v>
      </c>
      <c r="AN21" s="240">
        <f>'10'!B40</f>
        <v>1128</v>
      </c>
      <c r="AO21" s="241">
        <f>SUM('10'!D40:F40)</f>
        <v>0</v>
      </c>
      <c r="AP21" s="242">
        <f t="shared" si="11"/>
        <v>1845.1</v>
      </c>
      <c r="AQ21" s="27" t="s">
        <v>114</v>
      </c>
      <c r="AR21" s="240">
        <f>'11'!B40</f>
        <v>1128</v>
      </c>
      <c r="AS21" s="241">
        <f>SUM('11'!D40:F40)</f>
        <v>0</v>
      </c>
      <c r="AT21" s="242">
        <f t="shared" si="12"/>
        <v>2973.1</v>
      </c>
      <c r="AU21" s="27" t="s">
        <v>118</v>
      </c>
      <c r="AV21" s="240">
        <f>'12'!B40</f>
        <v>1128</v>
      </c>
      <c r="AW21" s="241">
        <f>SUM('12'!D40:F40)</f>
        <v>0</v>
      </c>
      <c r="AX21" s="242">
        <f t="shared" si="13"/>
        <v>4101.1000000000004</v>
      </c>
      <c r="AY21" s="44">
        <f t="shared" si="14"/>
        <v>9861.82</v>
      </c>
      <c r="AZ21" s="40">
        <f t="shared" si="15"/>
        <v>0.25047138854403928</v>
      </c>
      <c r="BA21" s="41">
        <f t="shared" ref="BA21:BA45" si="18">_xlfn.RANK.EQ(AZ21,$AZ$20:$AZ$45,)</f>
        <v>1</v>
      </c>
      <c r="BB21" s="41">
        <f t="shared" ca="1" si="16"/>
        <v>1095.7577777777778</v>
      </c>
      <c r="BI21" s="236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10578.92</v>
      </c>
      <c r="BJ21" s="40">
        <f t="shared" ca="1" si="17"/>
        <v>0.24184716944769782</v>
      </c>
      <c r="BK21" s="41">
        <f t="shared" ref="BK21:BK45" ca="1" si="20">_xlfn.RANK.EQ(BJ21,$BJ$20:$BJ$45,)</f>
        <v>1</v>
      </c>
      <c r="BL21" s="41">
        <f t="shared" ref="BL21:BL45" ca="1" si="21">BI21/BB$17</f>
        <v>1175.4355555555555</v>
      </c>
    </row>
    <row r="22" spans="1:64" ht="16.5" thickBot="1">
      <c r="A22" s="45" t="s">
        <v>17</v>
      </c>
      <c r="B22" s="287">
        <v>0</v>
      </c>
      <c r="C22" s="26" t="s">
        <v>0</v>
      </c>
      <c r="D22" s="243">
        <f>'01'!B60</f>
        <v>400</v>
      </c>
      <c r="E22" s="243">
        <f>SUM('01'!D60:F60)</f>
        <v>446.3</v>
      </c>
      <c r="F22" s="244">
        <f t="shared" si="2"/>
        <v>-46.300000000000011</v>
      </c>
      <c r="G22" s="26" t="s">
        <v>1</v>
      </c>
      <c r="H22" s="243">
        <f>'02'!B60</f>
        <v>400</v>
      </c>
      <c r="I22" s="243">
        <f>SUM('02'!D60:F60)</f>
        <v>438.4</v>
      </c>
      <c r="J22" s="244">
        <f t="shared" si="3"/>
        <v>-84.699999999999989</v>
      </c>
      <c r="K22" s="26" t="s">
        <v>2</v>
      </c>
      <c r="L22" s="243">
        <f>'03'!B60</f>
        <v>471.46</v>
      </c>
      <c r="M22" s="243">
        <f>SUM('03'!D60:F60)</f>
        <v>423.7</v>
      </c>
      <c r="N22" s="244">
        <f t="shared" si="4"/>
        <v>-36.94</v>
      </c>
      <c r="O22" s="26" t="s">
        <v>3</v>
      </c>
      <c r="P22" s="243">
        <f>'04'!B60</f>
        <v>410</v>
      </c>
      <c r="Q22" s="243">
        <f>SUM('04'!D60:F60)</f>
        <v>606.42999999999995</v>
      </c>
      <c r="R22" s="244">
        <f t="shared" si="5"/>
        <v>-233.36999999999995</v>
      </c>
      <c r="S22" s="26" t="s">
        <v>99</v>
      </c>
      <c r="T22" s="243">
        <f>'05'!B60</f>
        <v>420</v>
      </c>
      <c r="U22" s="243">
        <f>SUM('05'!D60:F60)</f>
        <v>239.60999999999999</v>
      </c>
      <c r="V22" s="244">
        <f t="shared" si="6"/>
        <v>-52.979999999999933</v>
      </c>
      <c r="W22" s="26" t="s">
        <v>95</v>
      </c>
      <c r="X22" s="243">
        <f>'06'!B60</f>
        <v>478</v>
      </c>
      <c r="Y22" s="243">
        <f>SUM('06'!D60:F60)</f>
        <v>554.07000000000005</v>
      </c>
      <c r="Z22" s="244">
        <f t="shared" si="7"/>
        <v>-129.04999999999995</v>
      </c>
      <c r="AA22" s="26" t="s">
        <v>103</v>
      </c>
      <c r="AB22" s="243">
        <f>'07'!B60</f>
        <v>530</v>
      </c>
      <c r="AC22" s="243">
        <f>SUM('07'!D60:F60)</f>
        <v>389.21999999999997</v>
      </c>
      <c r="AD22" s="244">
        <f t="shared" si="8"/>
        <v>11.730000000000075</v>
      </c>
      <c r="AE22" s="26" t="s">
        <v>104</v>
      </c>
      <c r="AF22" s="243">
        <f>'08'!B60</f>
        <v>500</v>
      </c>
      <c r="AG22" s="243">
        <f>SUM('08'!D60:F60)</f>
        <v>415.88999999999993</v>
      </c>
      <c r="AH22" s="244">
        <f t="shared" si="9"/>
        <v>95.840000000000146</v>
      </c>
      <c r="AI22" s="26" t="s">
        <v>108</v>
      </c>
      <c r="AJ22" s="243">
        <f>'09'!B60</f>
        <v>460</v>
      </c>
      <c r="AK22" s="243">
        <f>SUM('09'!D60:F60)</f>
        <v>312.93999999999994</v>
      </c>
      <c r="AL22" s="244">
        <f t="shared" si="10"/>
        <v>242.9000000000002</v>
      </c>
      <c r="AM22" s="26" t="s">
        <v>109</v>
      </c>
      <c r="AN22" s="243">
        <f>'10'!B60</f>
        <v>490</v>
      </c>
      <c r="AO22" s="243">
        <f>SUM('10'!D60:F60)</f>
        <v>0</v>
      </c>
      <c r="AP22" s="244">
        <f t="shared" si="11"/>
        <v>732.9000000000002</v>
      </c>
      <c r="AQ22" s="26" t="s">
        <v>114</v>
      </c>
      <c r="AR22" s="243">
        <f>'11'!B60</f>
        <v>490</v>
      </c>
      <c r="AS22" s="243">
        <f>SUM('11'!D60:F60)</f>
        <v>0</v>
      </c>
      <c r="AT22" s="244">
        <f t="shared" si="12"/>
        <v>1222.9000000000001</v>
      </c>
      <c r="AU22" s="26" t="s">
        <v>118</v>
      </c>
      <c r="AV22" s="243">
        <f>'12'!B60</f>
        <v>490</v>
      </c>
      <c r="AW22" s="243">
        <f>SUM('12'!D60:F60)</f>
        <v>0</v>
      </c>
      <c r="AX22" s="244">
        <f t="shared" si="13"/>
        <v>1712.9</v>
      </c>
      <c r="AY22" s="42">
        <f t="shared" si="14"/>
        <v>3826.56</v>
      </c>
      <c r="AZ22" s="40">
        <f t="shared" si="15"/>
        <v>9.7187313958993257E-2</v>
      </c>
      <c r="BA22" s="41">
        <f t="shared" si="18"/>
        <v>3</v>
      </c>
      <c r="BB22" s="41">
        <f t="shared" ca="1" si="16"/>
        <v>425.17333333333335</v>
      </c>
      <c r="BI22" s="39">
        <f t="shared" ca="1" si="19"/>
        <v>4069.46</v>
      </c>
      <c r="BJ22" s="40">
        <f t="shared" ca="1" si="17"/>
        <v>9.3032878798651311E-2</v>
      </c>
      <c r="BK22" s="41">
        <f t="shared" ca="1" si="20"/>
        <v>4</v>
      </c>
      <c r="BL22" s="41">
        <f t="shared" ca="1" si="21"/>
        <v>452.16222222222223</v>
      </c>
    </row>
    <row r="23" spans="1:64" ht="16.5" thickBot="1">
      <c r="A23" s="43" t="s">
        <v>18</v>
      </c>
      <c r="B23" s="286">
        <v>3.26</v>
      </c>
      <c r="C23" s="27" t="s">
        <v>0</v>
      </c>
      <c r="D23" s="240">
        <f>'01'!B80</f>
        <v>150</v>
      </c>
      <c r="E23" s="241">
        <f>SUM('01'!D80:F80)</f>
        <v>161.19</v>
      </c>
      <c r="F23" s="242">
        <f t="shared" si="2"/>
        <v>-7.9300000000000068</v>
      </c>
      <c r="G23" s="27" t="s">
        <v>1</v>
      </c>
      <c r="H23" s="240">
        <f>'02'!B80</f>
        <v>201</v>
      </c>
      <c r="I23" s="241">
        <f>SUM('02'!D80:F80)</f>
        <v>147.35</v>
      </c>
      <c r="J23" s="242">
        <f t="shared" si="3"/>
        <v>45.72</v>
      </c>
      <c r="K23" s="27" t="s">
        <v>2</v>
      </c>
      <c r="L23" s="240">
        <f>'03'!B80</f>
        <v>88.539999999999992</v>
      </c>
      <c r="M23" s="241">
        <f>SUM('03'!D80:F80)</f>
        <v>180.05</v>
      </c>
      <c r="N23" s="242">
        <f t="shared" si="4"/>
        <v>-45.79000000000002</v>
      </c>
      <c r="O23" s="27" t="s">
        <v>3</v>
      </c>
      <c r="P23" s="240">
        <f>'04'!B80</f>
        <v>150</v>
      </c>
      <c r="Q23" s="241">
        <f>SUM('04'!D80:F80)</f>
        <v>98.300000000000011</v>
      </c>
      <c r="R23" s="242">
        <f t="shared" si="5"/>
        <v>5.9099999999999682</v>
      </c>
      <c r="S23" s="27" t="s">
        <v>99</v>
      </c>
      <c r="T23" s="240">
        <f>'05'!B80</f>
        <v>373</v>
      </c>
      <c r="U23" s="241">
        <f>SUM('05'!D80:F80)</f>
        <v>373.97999999999996</v>
      </c>
      <c r="V23" s="242">
        <f t="shared" si="6"/>
        <v>4.9300000000000068</v>
      </c>
      <c r="W23" s="27" t="s">
        <v>95</v>
      </c>
      <c r="X23" s="240">
        <f>'06'!B80</f>
        <v>150</v>
      </c>
      <c r="Y23" s="241">
        <f>SUM('06'!D80:F80)</f>
        <v>226.57</v>
      </c>
      <c r="Z23" s="242">
        <f t="shared" si="7"/>
        <v>-71.639999999999986</v>
      </c>
      <c r="AA23" s="27" t="s">
        <v>103</v>
      </c>
      <c r="AB23" s="240">
        <f>'07'!B80</f>
        <v>221</v>
      </c>
      <c r="AC23" s="241">
        <f>SUM('07'!D80:F80)</f>
        <v>205.9</v>
      </c>
      <c r="AD23" s="242">
        <f t="shared" si="8"/>
        <v>-56.539999999999992</v>
      </c>
      <c r="AE23" s="27" t="s">
        <v>104</v>
      </c>
      <c r="AF23" s="240">
        <f>'08'!B80</f>
        <v>256.3</v>
      </c>
      <c r="AG23" s="241">
        <f>SUM('08'!D80:F80)</f>
        <v>258.8</v>
      </c>
      <c r="AH23" s="242">
        <f t="shared" si="9"/>
        <v>-59.039999999999992</v>
      </c>
      <c r="AI23" s="27" t="s">
        <v>108</v>
      </c>
      <c r="AJ23" s="240">
        <f>'09'!B80</f>
        <v>150</v>
      </c>
      <c r="AK23" s="241">
        <f>SUM('09'!D80:F80)</f>
        <v>66.009999999999991</v>
      </c>
      <c r="AL23" s="242">
        <f t="shared" si="10"/>
        <v>24.950000000000017</v>
      </c>
      <c r="AM23" s="27" t="s">
        <v>109</v>
      </c>
      <c r="AN23" s="240">
        <f>'10'!B80</f>
        <v>150</v>
      </c>
      <c r="AO23" s="241">
        <f>SUM('10'!D80:F80)</f>
        <v>0</v>
      </c>
      <c r="AP23" s="242">
        <f t="shared" si="11"/>
        <v>174.95000000000002</v>
      </c>
      <c r="AQ23" s="27" t="s">
        <v>114</v>
      </c>
      <c r="AR23" s="240">
        <f>'11'!B80</f>
        <v>150</v>
      </c>
      <c r="AS23" s="241">
        <f>SUM('11'!D80:F80)</f>
        <v>0</v>
      </c>
      <c r="AT23" s="242">
        <f t="shared" si="12"/>
        <v>324.95000000000005</v>
      </c>
      <c r="AU23" s="27" t="s">
        <v>118</v>
      </c>
      <c r="AV23" s="240">
        <f>'12'!B80</f>
        <v>150</v>
      </c>
      <c r="AW23" s="241">
        <f>SUM('12'!D80:F80)</f>
        <v>0</v>
      </c>
      <c r="AX23" s="242">
        <f t="shared" si="13"/>
        <v>474.95000000000005</v>
      </c>
      <c r="AY23" s="44">
        <f t="shared" si="14"/>
        <v>1718.1499999999999</v>
      </c>
      <c r="AZ23" s="40">
        <f t="shared" si="15"/>
        <v>4.3637727744669952E-2</v>
      </c>
      <c r="BA23" s="41">
        <f t="shared" si="18"/>
        <v>7</v>
      </c>
      <c r="BB23" s="41">
        <f t="shared" ca="1" si="16"/>
        <v>190.90555555555554</v>
      </c>
      <c r="BI23" s="236">
        <f t="shared" ca="1" si="19"/>
        <v>1739.84</v>
      </c>
      <c r="BJ23" s="40">
        <f t="shared" ca="1" si="17"/>
        <v>3.9774889997455556E-2</v>
      </c>
      <c r="BK23" s="41">
        <f t="shared" ca="1" si="20"/>
        <v>8</v>
      </c>
      <c r="BL23" s="41">
        <f t="shared" ca="1" si="21"/>
        <v>193.31555555555553</v>
      </c>
    </row>
    <row r="24" spans="1:64" ht="16.5" thickBot="1">
      <c r="A24" s="45" t="s">
        <v>19</v>
      </c>
      <c r="B24" s="287">
        <v>74.56</v>
      </c>
      <c r="C24" s="26" t="s">
        <v>0</v>
      </c>
      <c r="D24" s="243">
        <f>'01'!B100</f>
        <v>150</v>
      </c>
      <c r="E24" s="243">
        <f>SUM('01'!D100:F100)</f>
        <v>158.34</v>
      </c>
      <c r="F24" s="244">
        <f t="shared" si="2"/>
        <v>66.22</v>
      </c>
      <c r="G24" s="26" t="s">
        <v>1</v>
      </c>
      <c r="H24" s="243">
        <f>'02'!B100</f>
        <v>150</v>
      </c>
      <c r="I24" s="243">
        <f>SUM('02'!D100:F100)</f>
        <v>182.92</v>
      </c>
      <c r="J24" s="244">
        <f t="shared" si="3"/>
        <v>33.300000000000011</v>
      </c>
      <c r="K24" s="26" t="s">
        <v>2</v>
      </c>
      <c r="L24" s="243">
        <f>'03'!B100</f>
        <v>150</v>
      </c>
      <c r="M24" s="243">
        <f>SUM('03'!D100:F100)</f>
        <v>142.01</v>
      </c>
      <c r="N24" s="244">
        <f t="shared" si="4"/>
        <v>41.29000000000002</v>
      </c>
      <c r="O24" s="26" t="s">
        <v>3</v>
      </c>
      <c r="P24" s="243">
        <f>'04'!B100</f>
        <v>150</v>
      </c>
      <c r="Q24" s="243">
        <f>SUM('04'!D100:F100)</f>
        <v>89.83</v>
      </c>
      <c r="R24" s="244">
        <f t="shared" si="5"/>
        <v>101.46000000000002</v>
      </c>
      <c r="S24" s="26" t="s">
        <v>99</v>
      </c>
      <c r="T24" s="243">
        <f>'05'!B100</f>
        <v>140</v>
      </c>
      <c r="U24" s="243">
        <f>SUM('05'!D100:F100)</f>
        <v>191.8</v>
      </c>
      <c r="V24" s="244">
        <f t="shared" si="6"/>
        <v>49.660000000000025</v>
      </c>
      <c r="W24" s="26" t="s">
        <v>95</v>
      </c>
      <c r="X24" s="243">
        <f>'06'!B100</f>
        <v>150</v>
      </c>
      <c r="Y24" s="243">
        <f>SUM('06'!D100:F100)</f>
        <v>152.04</v>
      </c>
      <c r="Z24" s="244">
        <f t="shared" si="7"/>
        <v>47.620000000000033</v>
      </c>
      <c r="AA24" s="26" t="s">
        <v>103</v>
      </c>
      <c r="AB24" s="243">
        <f>'07'!B100</f>
        <v>150</v>
      </c>
      <c r="AC24" s="243">
        <f>SUM('07'!D100:F100)</f>
        <v>159.55000000000001</v>
      </c>
      <c r="AD24" s="244">
        <f t="shared" si="8"/>
        <v>38.070000000000022</v>
      </c>
      <c r="AE24" s="26" t="s">
        <v>104</v>
      </c>
      <c r="AF24" s="243">
        <f>'08'!B100</f>
        <v>150</v>
      </c>
      <c r="AG24" s="243">
        <f>SUM('08'!D100:F100)</f>
        <v>164.92</v>
      </c>
      <c r="AH24" s="244">
        <f t="shared" si="9"/>
        <v>23.150000000000034</v>
      </c>
      <c r="AI24" s="26" t="s">
        <v>108</v>
      </c>
      <c r="AJ24" s="243">
        <f>'09'!B100</f>
        <v>150</v>
      </c>
      <c r="AK24" s="243">
        <f>SUM('09'!D100:F100)</f>
        <v>121.38000000000001</v>
      </c>
      <c r="AL24" s="244">
        <f t="shared" si="10"/>
        <v>51.770000000000024</v>
      </c>
      <c r="AM24" s="26" t="s">
        <v>109</v>
      </c>
      <c r="AN24" s="243">
        <f>'10'!B100</f>
        <v>160</v>
      </c>
      <c r="AO24" s="243">
        <f>SUM('10'!D100:F100)</f>
        <v>0</v>
      </c>
      <c r="AP24" s="244">
        <f t="shared" si="11"/>
        <v>211.77000000000004</v>
      </c>
      <c r="AQ24" s="26" t="s">
        <v>114</v>
      </c>
      <c r="AR24" s="243">
        <f>'11'!B100</f>
        <v>160</v>
      </c>
      <c r="AS24" s="243">
        <f>SUM('11'!D100:F100)</f>
        <v>0</v>
      </c>
      <c r="AT24" s="244">
        <f t="shared" si="12"/>
        <v>371.77000000000004</v>
      </c>
      <c r="AU24" s="26" t="s">
        <v>118</v>
      </c>
      <c r="AV24" s="243">
        <f>'12'!B100</f>
        <v>160</v>
      </c>
      <c r="AW24" s="243">
        <f>SUM('12'!D100:F100)</f>
        <v>0</v>
      </c>
      <c r="AX24" s="244">
        <f t="shared" si="13"/>
        <v>531.77</v>
      </c>
      <c r="AY24" s="42">
        <f t="shared" si="14"/>
        <v>1362.7900000000002</v>
      </c>
      <c r="AZ24" s="40">
        <f t="shared" si="15"/>
        <v>3.4612262604055977E-2</v>
      </c>
      <c r="BA24" s="41">
        <f t="shared" si="18"/>
        <v>9</v>
      </c>
      <c r="BB24" s="41">
        <f t="shared" ca="1" si="16"/>
        <v>151.42111111111114</v>
      </c>
      <c r="BI24" s="39">
        <f t="shared" ca="1" si="19"/>
        <v>1340</v>
      </c>
      <c r="BJ24" s="40">
        <f t="shared" ca="1" si="17"/>
        <v>3.0634054048987523E-2</v>
      </c>
      <c r="BK24" s="41">
        <f t="shared" ca="1" si="20"/>
        <v>9</v>
      </c>
      <c r="BL24" s="41">
        <f t="shared" ca="1" si="21"/>
        <v>148.88888888888889</v>
      </c>
    </row>
    <row r="25" spans="1:64" ht="16.5" thickBot="1">
      <c r="A25" s="43" t="s">
        <v>63</v>
      </c>
      <c r="B25" s="286">
        <v>3074.8199999999997</v>
      </c>
      <c r="C25" s="27" t="s">
        <v>0</v>
      </c>
      <c r="D25" s="240">
        <f>'01'!B120</f>
        <v>400</v>
      </c>
      <c r="E25" s="241">
        <f>SUM('01'!D120:F120)</f>
        <v>328.82000000000005</v>
      </c>
      <c r="F25" s="242">
        <f t="shared" si="2"/>
        <v>3145.9999999999995</v>
      </c>
      <c r="G25" s="27" t="s">
        <v>1</v>
      </c>
      <c r="H25" s="240">
        <f>'02'!B120</f>
        <v>400</v>
      </c>
      <c r="I25" s="241">
        <f>SUM('02'!D120:F120)</f>
        <v>328.82000000000005</v>
      </c>
      <c r="J25" s="242">
        <f t="shared" si="3"/>
        <v>3217.1799999999994</v>
      </c>
      <c r="K25" s="27" t="s">
        <v>2</v>
      </c>
      <c r="L25" s="240">
        <f>'03'!B120</f>
        <v>400</v>
      </c>
      <c r="M25" s="241">
        <f>SUM('03'!D120:F120)</f>
        <v>328.82000000000005</v>
      </c>
      <c r="N25" s="242">
        <f t="shared" si="4"/>
        <v>3288.3599999999992</v>
      </c>
      <c r="O25" s="27" t="s">
        <v>3</v>
      </c>
      <c r="P25" s="240">
        <f>'04'!B120</f>
        <v>400</v>
      </c>
      <c r="Q25" s="241">
        <f>SUM('04'!D120:F120)</f>
        <v>328.82000000000005</v>
      </c>
      <c r="R25" s="242">
        <f t="shared" si="5"/>
        <v>3359.5399999999991</v>
      </c>
      <c r="S25" s="27" t="s">
        <v>99</v>
      </c>
      <c r="T25" s="240">
        <f>'05'!B120</f>
        <v>400</v>
      </c>
      <c r="U25" s="241">
        <f>SUM('05'!D120:F120)</f>
        <v>328.82000000000005</v>
      </c>
      <c r="V25" s="242">
        <f t="shared" si="6"/>
        <v>3430.7199999999989</v>
      </c>
      <c r="W25" s="27" t="s">
        <v>95</v>
      </c>
      <c r="X25" s="240">
        <f>'06'!B120</f>
        <v>400</v>
      </c>
      <c r="Y25" s="241">
        <f>SUM('06'!D120:F120)</f>
        <v>328.82000000000005</v>
      </c>
      <c r="Z25" s="242">
        <f t="shared" si="7"/>
        <v>3501.8999999999987</v>
      </c>
      <c r="AA25" s="27" t="s">
        <v>103</v>
      </c>
      <c r="AB25" s="240">
        <f>'07'!B120</f>
        <v>400</v>
      </c>
      <c r="AC25" s="241">
        <f>SUM('07'!D120:F120)</f>
        <v>328.82000000000005</v>
      </c>
      <c r="AD25" s="242">
        <f t="shared" si="8"/>
        <v>3573.0799999999986</v>
      </c>
      <c r="AE25" s="27" t="s">
        <v>104</v>
      </c>
      <c r="AF25" s="240">
        <f>'08'!B120</f>
        <v>400</v>
      </c>
      <c r="AG25" s="241">
        <f>SUM('08'!D120:F120)</f>
        <v>328.82000000000005</v>
      </c>
      <c r="AH25" s="242">
        <f t="shared" si="9"/>
        <v>3644.2599999999984</v>
      </c>
      <c r="AI25" s="27" t="s">
        <v>108</v>
      </c>
      <c r="AJ25" s="240">
        <f>'09'!B120</f>
        <v>400</v>
      </c>
      <c r="AK25" s="241">
        <f>SUM('09'!D120:F120)</f>
        <v>330.82000000000005</v>
      </c>
      <c r="AL25" s="242">
        <f t="shared" si="10"/>
        <v>3713.4399999999982</v>
      </c>
      <c r="AM25" s="27" t="s">
        <v>109</v>
      </c>
      <c r="AN25" s="240">
        <f>'10'!B120</f>
        <v>400</v>
      </c>
      <c r="AO25" s="241">
        <f>SUM('10'!D120:F120)</f>
        <v>0</v>
      </c>
      <c r="AP25" s="242">
        <f t="shared" si="11"/>
        <v>4113.4399999999987</v>
      </c>
      <c r="AQ25" s="27" t="s">
        <v>114</v>
      </c>
      <c r="AR25" s="240">
        <f>'11'!B120</f>
        <v>400</v>
      </c>
      <c r="AS25" s="241">
        <f>SUM('11'!D120:F120)</f>
        <v>0</v>
      </c>
      <c r="AT25" s="242">
        <f t="shared" si="12"/>
        <v>4513.4399999999987</v>
      </c>
      <c r="AU25" s="27" t="s">
        <v>118</v>
      </c>
      <c r="AV25" s="240">
        <f>'12'!B120</f>
        <v>400</v>
      </c>
      <c r="AW25" s="241">
        <f>SUM('12'!D120:F120)</f>
        <v>0</v>
      </c>
      <c r="AX25" s="242">
        <f t="shared" si="13"/>
        <v>4913.4399999999987</v>
      </c>
      <c r="AY25" s="44">
        <f t="shared" si="14"/>
        <v>2961.380000000001</v>
      </c>
      <c r="AZ25" s="40">
        <f t="shared" si="15"/>
        <v>7.5213394749300555E-2</v>
      </c>
      <c r="BA25" s="41">
        <f t="shared" si="18"/>
        <v>5</v>
      </c>
      <c r="BB25" s="41">
        <f t="shared" ca="1" si="16"/>
        <v>329.04222222222234</v>
      </c>
      <c r="BI25" s="236">
        <f t="shared" ca="1" si="19"/>
        <v>3600</v>
      </c>
      <c r="BJ25" s="40">
        <f t="shared" ca="1" si="17"/>
        <v>8.2300443713697824E-2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87">
        <v>34.47</v>
      </c>
      <c r="C26" s="26" t="s">
        <v>0</v>
      </c>
      <c r="D26" s="243">
        <f>'01'!B140</f>
        <v>47.5</v>
      </c>
      <c r="E26" s="243">
        <f>SUM('01'!D140:F140)</f>
        <v>37.5</v>
      </c>
      <c r="F26" s="244">
        <f t="shared" si="2"/>
        <v>44.47</v>
      </c>
      <c r="G26" s="26" t="s">
        <v>1</v>
      </c>
      <c r="H26" s="243">
        <f>'02'!B140</f>
        <v>50</v>
      </c>
      <c r="I26" s="243">
        <f>SUM('02'!D140:F140)</f>
        <v>47.5</v>
      </c>
      <c r="J26" s="244">
        <f t="shared" si="3"/>
        <v>46.97</v>
      </c>
      <c r="K26" s="26" t="s">
        <v>2</v>
      </c>
      <c r="L26" s="243">
        <f>'03'!B140</f>
        <v>37.5</v>
      </c>
      <c r="M26" s="243">
        <f>SUM('03'!D140:F140)</f>
        <v>42.5</v>
      </c>
      <c r="N26" s="244">
        <f t="shared" si="4"/>
        <v>41.97</v>
      </c>
      <c r="O26" s="26" t="s">
        <v>3</v>
      </c>
      <c r="P26" s="243">
        <f>'04'!B140</f>
        <v>48</v>
      </c>
      <c r="Q26" s="243">
        <f>SUM('04'!D140:F140)</f>
        <v>60.49</v>
      </c>
      <c r="R26" s="244">
        <f t="shared" si="5"/>
        <v>29.479999999999997</v>
      </c>
      <c r="S26" s="26" t="s">
        <v>99</v>
      </c>
      <c r="T26" s="243">
        <f>'05'!B140</f>
        <v>48</v>
      </c>
      <c r="U26" s="243">
        <f>SUM('05'!D140:F140)</f>
        <v>35.5</v>
      </c>
      <c r="V26" s="244">
        <f t="shared" si="6"/>
        <v>41.97999999999999</v>
      </c>
      <c r="W26" s="26" t="s">
        <v>95</v>
      </c>
      <c r="X26" s="243">
        <f>'06'!B140</f>
        <v>48</v>
      </c>
      <c r="Y26" s="243">
        <f>SUM('06'!D140:F140)</f>
        <v>60.49</v>
      </c>
      <c r="Z26" s="244">
        <f t="shared" si="7"/>
        <v>29.489999999999988</v>
      </c>
      <c r="AA26" s="26" t="s">
        <v>103</v>
      </c>
      <c r="AB26" s="243">
        <f>'07'!B140</f>
        <v>48</v>
      </c>
      <c r="AC26" s="243">
        <f>SUM('07'!D140:F140)</f>
        <v>45.49</v>
      </c>
      <c r="AD26" s="244">
        <f t="shared" si="8"/>
        <v>31.999999999999979</v>
      </c>
      <c r="AE26" s="26" t="s">
        <v>104</v>
      </c>
      <c r="AF26" s="243">
        <f>'08'!B140</f>
        <v>48</v>
      </c>
      <c r="AG26" s="243">
        <f>SUM('08'!D140:F140)</f>
        <v>50.49</v>
      </c>
      <c r="AH26" s="244">
        <f t="shared" si="9"/>
        <v>29.50999999999997</v>
      </c>
      <c r="AI26" s="26" t="s">
        <v>108</v>
      </c>
      <c r="AJ26" s="243">
        <f>'09'!B140</f>
        <v>48</v>
      </c>
      <c r="AK26" s="243">
        <f>SUM('09'!D140:F140)</f>
        <v>22.990000000000002</v>
      </c>
      <c r="AL26" s="244">
        <f t="shared" si="10"/>
        <v>54.51999999999996</v>
      </c>
      <c r="AM26" s="26" t="s">
        <v>109</v>
      </c>
      <c r="AN26" s="243">
        <f>'10'!B140</f>
        <v>48</v>
      </c>
      <c r="AO26" s="243">
        <f>SUM('10'!D140:F140)</f>
        <v>0</v>
      </c>
      <c r="AP26" s="244">
        <f t="shared" si="11"/>
        <v>102.51999999999995</v>
      </c>
      <c r="AQ26" s="26" t="s">
        <v>114</v>
      </c>
      <c r="AR26" s="243">
        <f>'11'!B140</f>
        <v>48</v>
      </c>
      <c r="AS26" s="243">
        <f>SUM('11'!D140:F140)</f>
        <v>0</v>
      </c>
      <c r="AT26" s="244">
        <f t="shared" si="12"/>
        <v>150.51999999999995</v>
      </c>
      <c r="AU26" s="26" t="s">
        <v>118</v>
      </c>
      <c r="AV26" s="243">
        <f>'12'!B140</f>
        <v>48</v>
      </c>
      <c r="AW26" s="243">
        <f>SUM('12'!D140:F140)</f>
        <v>0</v>
      </c>
      <c r="AX26" s="244">
        <f t="shared" si="13"/>
        <v>198.51999999999995</v>
      </c>
      <c r="AY26" s="42">
        <f t="shared" si="14"/>
        <v>402.95000000000005</v>
      </c>
      <c r="AZ26" s="40">
        <f t="shared" si="15"/>
        <v>1.0234160227404336E-2</v>
      </c>
      <c r="BA26" s="41">
        <f t="shared" si="18"/>
        <v>16</v>
      </c>
      <c r="BB26" s="41">
        <f t="shared" ca="1" si="16"/>
        <v>44.772222222222226</v>
      </c>
      <c r="BI26" s="39">
        <f t="shared" ca="1" si="19"/>
        <v>423</v>
      </c>
      <c r="BJ26" s="40">
        <f t="shared" ca="1" si="17"/>
        <v>9.6703021363594936E-3</v>
      </c>
      <c r="BK26" s="41">
        <f t="shared" ca="1" si="20"/>
        <v>16</v>
      </c>
      <c r="BL26" s="41">
        <f t="shared" ca="1" si="21"/>
        <v>47</v>
      </c>
    </row>
    <row r="27" spans="1:64" ht="16.5" thickBot="1">
      <c r="A27" s="43" t="s">
        <v>20</v>
      </c>
      <c r="B27" s="288">
        <v>125.39</v>
      </c>
      <c r="C27" s="27" t="s">
        <v>0</v>
      </c>
      <c r="D27" s="240">
        <f>'01'!B160</f>
        <v>60</v>
      </c>
      <c r="E27" s="240">
        <f>SUM('01'!D160:F160)</f>
        <v>44.38</v>
      </c>
      <c r="F27" s="245">
        <f t="shared" si="2"/>
        <v>141.01</v>
      </c>
      <c r="G27" s="27" t="s">
        <v>1</v>
      </c>
      <c r="H27" s="240">
        <f>'02'!B160</f>
        <v>60</v>
      </c>
      <c r="I27" s="240">
        <f>SUM('02'!D160:F160)</f>
        <v>23.07</v>
      </c>
      <c r="J27" s="245">
        <f t="shared" si="3"/>
        <v>177.94</v>
      </c>
      <c r="K27" s="27" t="s">
        <v>2</v>
      </c>
      <c r="L27" s="240">
        <f>'03'!B160</f>
        <v>60</v>
      </c>
      <c r="M27" s="240">
        <f>SUM('03'!D160:F160)</f>
        <v>44.73</v>
      </c>
      <c r="N27" s="245">
        <f t="shared" si="4"/>
        <v>193.21</v>
      </c>
      <c r="O27" s="27" t="s">
        <v>3</v>
      </c>
      <c r="P27" s="240">
        <f>'04'!B160</f>
        <v>50</v>
      </c>
      <c r="Q27" s="240">
        <f>SUM('04'!D160:F160)</f>
        <v>103.28999999999999</v>
      </c>
      <c r="R27" s="245">
        <f t="shared" si="5"/>
        <v>139.92000000000002</v>
      </c>
      <c r="S27" s="27" t="s">
        <v>99</v>
      </c>
      <c r="T27" s="240">
        <f>'05'!B160</f>
        <v>50</v>
      </c>
      <c r="U27" s="240">
        <f>SUM('05'!D160:F160)</f>
        <v>0</v>
      </c>
      <c r="V27" s="245">
        <f t="shared" si="6"/>
        <v>189.92000000000002</v>
      </c>
      <c r="W27" s="27" t="s">
        <v>95</v>
      </c>
      <c r="X27" s="240">
        <f>'06'!B160</f>
        <v>50</v>
      </c>
      <c r="Y27" s="240">
        <f>SUM('06'!D160:F160)</f>
        <v>31.56</v>
      </c>
      <c r="Z27" s="245">
        <f t="shared" si="7"/>
        <v>208.36</v>
      </c>
      <c r="AA27" s="27" t="s">
        <v>103</v>
      </c>
      <c r="AB27" s="240">
        <f>'07'!B160</f>
        <v>50</v>
      </c>
      <c r="AC27" s="240">
        <f>SUM('07'!D160:F160)</f>
        <v>0</v>
      </c>
      <c r="AD27" s="245">
        <f t="shared" si="8"/>
        <v>258.36</v>
      </c>
      <c r="AE27" s="27" t="s">
        <v>104</v>
      </c>
      <c r="AF27" s="240">
        <f>'08'!B160</f>
        <v>50</v>
      </c>
      <c r="AG27" s="240">
        <f>SUM('08'!D160:F160)</f>
        <v>90.83</v>
      </c>
      <c r="AH27" s="245">
        <f t="shared" si="9"/>
        <v>217.53000000000003</v>
      </c>
      <c r="AI27" s="27" t="s">
        <v>108</v>
      </c>
      <c r="AJ27" s="240">
        <f>'09'!B160</f>
        <v>50</v>
      </c>
      <c r="AK27" s="240">
        <f>SUM('09'!D160:F160)</f>
        <v>0</v>
      </c>
      <c r="AL27" s="245">
        <f t="shared" si="10"/>
        <v>267.53000000000003</v>
      </c>
      <c r="AM27" s="27" t="s">
        <v>109</v>
      </c>
      <c r="AN27" s="240">
        <f>'10'!B160</f>
        <v>50</v>
      </c>
      <c r="AO27" s="240">
        <f>SUM('10'!D160:F160)</f>
        <v>0</v>
      </c>
      <c r="AP27" s="245">
        <f t="shared" si="11"/>
        <v>317.53000000000003</v>
      </c>
      <c r="AQ27" s="27" t="s">
        <v>114</v>
      </c>
      <c r="AR27" s="240">
        <f>'11'!B160</f>
        <v>50</v>
      </c>
      <c r="AS27" s="240">
        <f>SUM('11'!D160:F160)</f>
        <v>0</v>
      </c>
      <c r="AT27" s="245">
        <f t="shared" si="12"/>
        <v>367.53000000000003</v>
      </c>
      <c r="AU27" s="27" t="s">
        <v>118</v>
      </c>
      <c r="AV27" s="240">
        <f>'12'!B160</f>
        <v>50</v>
      </c>
      <c r="AW27" s="240">
        <f>SUM('12'!D160:F160)</f>
        <v>0</v>
      </c>
      <c r="AX27" s="245">
        <f t="shared" si="13"/>
        <v>417.53000000000003</v>
      </c>
      <c r="AY27" s="44">
        <f t="shared" si="14"/>
        <v>337.86</v>
      </c>
      <c r="AZ27" s="40">
        <f t="shared" si="15"/>
        <v>8.5809985716114381E-3</v>
      </c>
      <c r="BA27" s="41">
        <f t="shared" si="18"/>
        <v>17</v>
      </c>
      <c r="BB27" s="41">
        <f t="shared" ca="1" si="16"/>
        <v>37.54</v>
      </c>
      <c r="BI27" s="236">
        <f t="shared" ca="1" si="19"/>
        <v>480</v>
      </c>
      <c r="BJ27" s="40">
        <f t="shared" ca="1" si="17"/>
        <v>1.0973392495159709E-2</v>
      </c>
      <c r="BK27" s="41">
        <f t="shared" ca="1" si="20"/>
        <v>15</v>
      </c>
      <c r="BL27" s="41">
        <f t="shared" ca="1" si="21"/>
        <v>53.333333333333336</v>
      </c>
    </row>
    <row r="28" spans="1:64" ht="16.5" thickBot="1">
      <c r="A28" s="45" t="s">
        <v>21</v>
      </c>
      <c r="B28" s="285">
        <v>12.36</v>
      </c>
      <c r="C28" s="26" t="s">
        <v>0</v>
      </c>
      <c r="D28" s="243">
        <f>'01'!B180</f>
        <v>900</v>
      </c>
      <c r="E28" s="243">
        <f>SUM('01'!D180:F180)</f>
        <v>1057.42</v>
      </c>
      <c r="F28" s="246">
        <f t="shared" si="2"/>
        <v>-145.06000000000006</v>
      </c>
      <c r="G28" s="26" t="s">
        <v>1</v>
      </c>
      <c r="H28" s="243">
        <f>'02'!B180</f>
        <v>647.43000000000006</v>
      </c>
      <c r="I28" s="243">
        <f>SUM('02'!D180:F180)</f>
        <v>447.43</v>
      </c>
      <c r="J28" s="246">
        <f t="shared" si="3"/>
        <v>54.94</v>
      </c>
      <c r="K28" s="26" t="s">
        <v>2</v>
      </c>
      <c r="L28" s="243">
        <f>'03'!B180</f>
        <v>200</v>
      </c>
      <c r="M28" s="243">
        <f>SUM('03'!D180:F180)</f>
        <v>140</v>
      </c>
      <c r="N28" s="246">
        <f t="shared" si="4"/>
        <v>114.94</v>
      </c>
      <c r="O28" s="26" t="s">
        <v>3</v>
      </c>
      <c r="P28" s="243">
        <f>'04'!B180</f>
        <v>280.10000000000002</v>
      </c>
      <c r="Q28" s="243">
        <f>SUM('04'!D180:F180)</f>
        <v>182.6</v>
      </c>
      <c r="R28" s="246">
        <f t="shared" si="5"/>
        <v>212.44000000000003</v>
      </c>
      <c r="S28" s="26" t="s">
        <v>99</v>
      </c>
      <c r="T28" s="243">
        <f>'05'!B180</f>
        <v>200</v>
      </c>
      <c r="U28" s="243">
        <f>SUM('05'!D180:F180)</f>
        <v>0</v>
      </c>
      <c r="V28" s="246">
        <f t="shared" si="6"/>
        <v>412.44000000000005</v>
      </c>
      <c r="W28" s="26" t="s">
        <v>95</v>
      </c>
      <c r="X28" s="243">
        <f>'06'!B180</f>
        <v>200</v>
      </c>
      <c r="Y28" s="243">
        <f>SUM('06'!D180:F180)</f>
        <v>318.27999999999997</v>
      </c>
      <c r="Z28" s="246">
        <f t="shared" si="7"/>
        <v>294.16000000000008</v>
      </c>
      <c r="AA28" s="26" t="s">
        <v>103</v>
      </c>
      <c r="AB28" s="243">
        <f>'07'!B180</f>
        <v>200</v>
      </c>
      <c r="AC28" s="243">
        <f>SUM('07'!D180:F180)</f>
        <v>9.5</v>
      </c>
      <c r="AD28" s="246">
        <f t="shared" si="8"/>
        <v>484.66000000000008</v>
      </c>
      <c r="AE28" s="26" t="s">
        <v>104</v>
      </c>
      <c r="AF28" s="243">
        <f>'08'!B180</f>
        <v>200</v>
      </c>
      <c r="AG28" s="243">
        <f>SUM('08'!D180:F180)</f>
        <v>304.88</v>
      </c>
      <c r="AH28" s="246">
        <f t="shared" si="9"/>
        <v>379.78000000000009</v>
      </c>
      <c r="AI28" s="26" t="s">
        <v>108</v>
      </c>
      <c r="AJ28" s="243">
        <f>'09'!B180</f>
        <v>200</v>
      </c>
      <c r="AK28" s="243">
        <f>SUM('09'!D180:F180)</f>
        <v>1038.21</v>
      </c>
      <c r="AL28" s="246">
        <f t="shared" si="10"/>
        <v>-458.42999999999995</v>
      </c>
      <c r="AM28" s="26" t="s">
        <v>109</v>
      </c>
      <c r="AN28" s="243">
        <f>'10'!B180</f>
        <v>240</v>
      </c>
      <c r="AO28" s="243">
        <f>SUM('10'!D180:F180)</f>
        <v>0</v>
      </c>
      <c r="AP28" s="246">
        <f t="shared" si="11"/>
        <v>-218.42999999999995</v>
      </c>
      <c r="AQ28" s="26" t="s">
        <v>114</v>
      </c>
      <c r="AR28" s="243">
        <f>'11'!B180</f>
        <v>200</v>
      </c>
      <c r="AS28" s="243">
        <f>SUM('11'!D180:F180)</f>
        <v>0</v>
      </c>
      <c r="AT28" s="246">
        <f t="shared" si="12"/>
        <v>-18.42999999999995</v>
      </c>
      <c r="AU28" s="26" t="s">
        <v>118</v>
      </c>
      <c r="AV28" s="243">
        <f>'12'!B180</f>
        <v>200</v>
      </c>
      <c r="AW28" s="243">
        <f>SUM('12'!D180:F180)</f>
        <v>0</v>
      </c>
      <c r="AX28" s="246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8.8850645009884932E-2</v>
      </c>
      <c r="BA28" s="41">
        <f t="shared" si="18"/>
        <v>4</v>
      </c>
      <c r="BB28" s="41">
        <f t="shared" ca="1" si="16"/>
        <v>388.70222222222225</v>
      </c>
      <c r="BI28" s="39">
        <f t="shared" ca="1" si="19"/>
        <v>3027.53</v>
      </c>
      <c r="BJ28" s="40">
        <f t="shared" ca="1" si="17"/>
        <v>6.921307287681433E-2</v>
      </c>
      <c r="BK28" s="41">
        <f t="shared" ca="1" si="20"/>
        <v>6</v>
      </c>
      <c r="BL28" s="41">
        <f t="shared" ca="1" si="21"/>
        <v>336.39222222222224</v>
      </c>
    </row>
    <row r="29" spans="1:64" ht="16.5" thickBot="1">
      <c r="A29" s="43" t="s">
        <v>22</v>
      </c>
      <c r="B29" s="286">
        <v>216.28000000000003</v>
      </c>
      <c r="C29" s="27" t="s">
        <v>0</v>
      </c>
      <c r="D29" s="240">
        <f>'01'!B200</f>
        <v>50</v>
      </c>
      <c r="E29" s="241">
        <f>SUM('01'!D200:F200)</f>
        <v>218.53</v>
      </c>
      <c r="F29" s="247">
        <f t="shared" si="2"/>
        <v>47.750000000000028</v>
      </c>
      <c r="G29" s="27" t="s">
        <v>1</v>
      </c>
      <c r="H29" s="240">
        <f>'02'!B200</f>
        <v>50</v>
      </c>
      <c r="I29" s="241">
        <f>SUM('02'!D200:F200)</f>
        <v>58.319999999999993</v>
      </c>
      <c r="J29" s="247">
        <f t="shared" si="3"/>
        <v>39.430000000000035</v>
      </c>
      <c r="K29" s="27" t="s">
        <v>2</v>
      </c>
      <c r="L29" s="240">
        <f>'03'!B200</f>
        <v>50</v>
      </c>
      <c r="M29" s="241">
        <f>SUM('03'!D200:F200)</f>
        <v>144.17000000000002</v>
      </c>
      <c r="N29" s="247">
        <f t="shared" si="4"/>
        <v>-54.739999999999981</v>
      </c>
      <c r="O29" s="27" t="s">
        <v>3</v>
      </c>
      <c r="P29" s="240">
        <f>'04'!B200</f>
        <v>60</v>
      </c>
      <c r="Q29" s="241">
        <f>SUM('04'!D200:F200)</f>
        <v>86</v>
      </c>
      <c r="R29" s="247">
        <f t="shared" si="5"/>
        <v>-80.739999999999981</v>
      </c>
      <c r="S29" s="27" t="s">
        <v>99</v>
      </c>
      <c r="T29" s="240">
        <f>'05'!B200</f>
        <v>60</v>
      </c>
      <c r="U29" s="241">
        <f>SUM('05'!D200:F200)</f>
        <v>108.25</v>
      </c>
      <c r="V29" s="247">
        <f t="shared" si="6"/>
        <v>-128.98999999999998</v>
      </c>
      <c r="W29" s="27" t="s">
        <v>95</v>
      </c>
      <c r="X29" s="240">
        <f>'06'!B200</f>
        <v>60</v>
      </c>
      <c r="Y29" s="241">
        <f>SUM('06'!D200:F200)</f>
        <v>14.99</v>
      </c>
      <c r="Z29" s="247">
        <f t="shared" si="7"/>
        <v>-83.979999999999976</v>
      </c>
      <c r="AA29" s="27" t="s">
        <v>103</v>
      </c>
      <c r="AB29" s="240">
        <f>'07'!B200</f>
        <v>60</v>
      </c>
      <c r="AC29" s="241">
        <f>SUM('07'!D200:F200)</f>
        <v>120.06999999999998</v>
      </c>
      <c r="AD29" s="247">
        <f t="shared" si="8"/>
        <v>-144.04999999999995</v>
      </c>
      <c r="AE29" s="27" t="s">
        <v>104</v>
      </c>
      <c r="AF29" s="240">
        <f>'08'!B200</f>
        <v>214.05</v>
      </c>
      <c r="AG29" s="241">
        <f>SUM('08'!D200:F200)</f>
        <v>25</v>
      </c>
      <c r="AH29" s="247">
        <f t="shared" si="9"/>
        <v>45.000000000000057</v>
      </c>
      <c r="AI29" s="27" t="s">
        <v>108</v>
      </c>
      <c r="AJ29" s="240">
        <f>'09'!B200</f>
        <v>70</v>
      </c>
      <c r="AK29" s="241">
        <f>SUM('09'!D200:F200)</f>
        <v>33.799999999999997</v>
      </c>
      <c r="AL29" s="247">
        <f t="shared" si="10"/>
        <v>81.20000000000006</v>
      </c>
      <c r="AM29" s="27" t="s">
        <v>109</v>
      </c>
      <c r="AN29" s="240">
        <f>'10'!B200</f>
        <v>70</v>
      </c>
      <c r="AO29" s="241">
        <f>SUM('10'!D200:F200)</f>
        <v>0</v>
      </c>
      <c r="AP29" s="247">
        <f t="shared" si="11"/>
        <v>151.20000000000005</v>
      </c>
      <c r="AQ29" s="27" t="s">
        <v>114</v>
      </c>
      <c r="AR29" s="240">
        <f>'11'!B200</f>
        <v>70</v>
      </c>
      <c r="AS29" s="241">
        <f>SUM('11'!D200:F200)</f>
        <v>0</v>
      </c>
      <c r="AT29" s="247">
        <f t="shared" si="12"/>
        <v>221.20000000000005</v>
      </c>
      <c r="AU29" s="27" t="s">
        <v>118</v>
      </c>
      <c r="AV29" s="240">
        <f>'12'!B200</f>
        <v>70</v>
      </c>
      <c r="AW29" s="241">
        <f>SUM('12'!D200:F200)</f>
        <v>0</v>
      </c>
      <c r="AX29" s="247">
        <f t="shared" si="13"/>
        <v>291.20000000000005</v>
      </c>
      <c r="AY29" s="44">
        <f t="shared" si="22"/>
        <v>809.12999999999988</v>
      </c>
      <c r="AZ29" s="40">
        <f t="shared" si="15"/>
        <v>2.0550356284401709E-2</v>
      </c>
      <c r="BA29" s="41">
        <f t="shared" si="18"/>
        <v>11</v>
      </c>
      <c r="BB29" s="41">
        <f t="shared" ca="1" si="16"/>
        <v>89.903333333333322</v>
      </c>
      <c r="BI29" s="236">
        <f t="shared" ca="1" si="19"/>
        <v>674.05</v>
      </c>
      <c r="BJ29" s="40">
        <f t="shared" ca="1" si="17"/>
        <v>1.540961502367167E-2</v>
      </c>
      <c r="BK29" s="41">
        <f t="shared" ca="1" si="20"/>
        <v>12</v>
      </c>
      <c r="BL29" s="41">
        <f t="shared" ca="1" si="21"/>
        <v>74.894444444444446</v>
      </c>
    </row>
    <row r="30" spans="1:64" ht="16.5" thickBot="1">
      <c r="A30" s="45" t="s">
        <v>23</v>
      </c>
      <c r="B30" s="287">
        <v>43.870000000000005</v>
      </c>
      <c r="C30" s="26" t="s">
        <v>0</v>
      </c>
      <c r="D30" s="243">
        <f>'01'!B220</f>
        <v>35</v>
      </c>
      <c r="E30" s="243">
        <f>SUM('01'!D220:F220)</f>
        <v>122.37</v>
      </c>
      <c r="F30" s="248">
        <f t="shared" si="2"/>
        <v>-43.5</v>
      </c>
      <c r="G30" s="26" t="s">
        <v>1</v>
      </c>
      <c r="H30" s="243">
        <f>'02'!B220</f>
        <v>35</v>
      </c>
      <c r="I30" s="243">
        <f>SUM('02'!D220:F220)</f>
        <v>0</v>
      </c>
      <c r="J30" s="248">
        <f t="shared" si="3"/>
        <v>-8.5</v>
      </c>
      <c r="K30" s="26" t="s">
        <v>2</v>
      </c>
      <c r="L30" s="243">
        <f>'03'!B220</f>
        <v>35</v>
      </c>
      <c r="M30" s="243">
        <f>SUM('03'!D220:F220)</f>
        <v>40</v>
      </c>
      <c r="N30" s="248">
        <f t="shared" si="4"/>
        <v>-13.5</v>
      </c>
      <c r="O30" s="26" t="s">
        <v>3</v>
      </c>
      <c r="P30" s="243">
        <f>'04'!B220</f>
        <v>35</v>
      </c>
      <c r="Q30" s="243">
        <f>SUM('04'!D220:F220)</f>
        <v>31.54</v>
      </c>
      <c r="R30" s="248">
        <f t="shared" si="5"/>
        <v>-10.039999999999999</v>
      </c>
      <c r="S30" s="26" t="s">
        <v>99</v>
      </c>
      <c r="T30" s="243">
        <f>'05'!B220</f>
        <v>35</v>
      </c>
      <c r="U30" s="243">
        <f>SUM('05'!D220:F220)</f>
        <v>0</v>
      </c>
      <c r="V30" s="248">
        <f t="shared" si="6"/>
        <v>24.96</v>
      </c>
      <c r="W30" s="26" t="s">
        <v>95</v>
      </c>
      <c r="X30" s="243">
        <f>'06'!B220</f>
        <v>35</v>
      </c>
      <c r="Y30" s="243">
        <f>SUM('06'!D220:F220)</f>
        <v>44.87</v>
      </c>
      <c r="Z30" s="248">
        <f t="shared" si="7"/>
        <v>15.090000000000003</v>
      </c>
      <c r="AA30" s="26" t="s">
        <v>103</v>
      </c>
      <c r="AB30" s="243">
        <f>'07'!B220</f>
        <v>35</v>
      </c>
      <c r="AC30" s="243">
        <f>SUM('07'!D220:F220)</f>
        <v>10.050000000000001</v>
      </c>
      <c r="AD30" s="248">
        <f t="shared" si="8"/>
        <v>40.040000000000006</v>
      </c>
      <c r="AE30" s="26" t="s">
        <v>104</v>
      </c>
      <c r="AF30" s="243">
        <f>'08'!B220</f>
        <v>35</v>
      </c>
      <c r="AG30" s="243">
        <f>SUM('08'!D220:F220)</f>
        <v>77.38</v>
      </c>
      <c r="AH30" s="248">
        <f t="shared" si="9"/>
        <v>-2.3399999999999892</v>
      </c>
      <c r="AI30" s="26" t="s">
        <v>108</v>
      </c>
      <c r="AJ30" s="243">
        <f>'09'!B220</f>
        <v>35</v>
      </c>
      <c r="AK30" s="243">
        <f>SUM('09'!D220:F220)</f>
        <v>0</v>
      </c>
      <c r="AL30" s="248">
        <f t="shared" si="10"/>
        <v>32.660000000000011</v>
      </c>
      <c r="AM30" s="26" t="s">
        <v>109</v>
      </c>
      <c r="AN30" s="243">
        <f>'10'!B220</f>
        <v>35</v>
      </c>
      <c r="AO30" s="243">
        <f>SUM('10'!D220:F220)</f>
        <v>0</v>
      </c>
      <c r="AP30" s="248">
        <f t="shared" si="11"/>
        <v>67.660000000000011</v>
      </c>
      <c r="AQ30" s="26" t="s">
        <v>114</v>
      </c>
      <c r="AR30" s="243">
        <f>'11'!B220</f>
        <v>35</v>
      </c>
      <c r="AS30" s="243">
        <f>SUM('11'!D220:F220)</f>
        <v>0</v>
      </c>
      <c r="AT30" s="248">
        <f t="shared" si="12"/>
        <v>102.66000000000001</v>
      </c>
      <c r="AU30" s="26" t="s">
        <v>118</v>
      </c>
      <c r="AV30" s="243">
        <f>'12'!B220</f>
        <v>35</v>
      </c>
      <c r="AW30" s="243">
        <f>SUM('12'!D220:F220)</f>
        <v>0</v>
      </c>
      <c r="AX30" s="248">
        <f t="shared" si="13"/>
        <v>137.66000000000003</v>
      </c>
      <c r="AY30" s="42">
        <f t="shared" si="22"/>
        <v>326.21000000000004</v>
      </c>
      <c r="AZ30" s="40">
        <f t="shared" si="15"/>
        <v>8.2851108271040294E-3</v>
      </c>
      <c r="BA30" s="41">
        <f t="shared" si="18"/>
        <v>18</v>
      </c>
      <c r="BB30" s="41">
        <f t="shared" ca="1" si="16"/>
        <v>36.245555555555562</v>
      </c>
      <c r="BI30" s="39">
        <f t="shared" ca="1" si="19"/>
        <v>315</v>
      </c>
      <c r="BJ30" s="40">
        <f t="shared" ca="1" si="17"/>
        <v>7.2012888249485593E-3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86">
        <v>132</v>
      </c>
      <c r="C31" s="27" t="s">
        <v>0</v>
      </c>
      <c r="D31" s="240">
        <f>'01'!B240</f>
        <v>70</v>
      </c>
      <c r="E31" s="241">
        <f>SUM('01'!D240:F240)</f>
        <v>140</v>
      </c>
      <c r="F31" s="247">
        <f t="shared" si="2"/>
        <v>62</v>
      </c>
      <c r="G31" s="27" t="s">
        <v>1</v>
      </c>
      <c r="H31" s="240">
        <f>'02'!B240</f>
        <v>70</v>
      </c>
      <c r="I31" s="241">
        <f>SUM('02'!D240:F240)</f>
        <v>20</v>
      </c>
      <c r="J31" s="247">
        <f t="shared" si="3"/>
        <v>112</v>
      </c>
      <c r="K31" s="27" t="s">
        <v>2</v>
      </c>
      <c r="L31" s="240">
        <f>'03'!B240</f>
        <v>85</v>
      </c>
      <c r="M31" s="241">
        <f>SUM('03'!D240:F240)</f>
        <v>200</v>
      </c>
      <c r="N31" s="247">
        <f t="shared" si="4"/>
        <v>-3</v>
      </c>
      <c r="O31" s="27" t="s">
        <v>3</v>
      </c>
      <c r="P31" s="240">
        <f>'04'!B240</f>
        <v>85</v>
      </c>
      <c r="Q31" s="241">
        <f>SUM('04'!D240:F240)</f>
        <v>20</v>
      </c>
      <c r="R31" s="247">
        <f t="shared" si="5"/>
        <v>62</v>
      </c>
      <c r="S31" s="27" t="s">
        <v>99</v>
      </c>
      <c r="T31" s="240">
        <f>'05'!B240</f>
        <v>85</v>
      </c>
      <c r="U31" s="241">
        <f>SUM('05'!D240:F240)</f>
        <v>20</v>
      </c>
      <c r="V31" s="247">
        <f t="shared" si="6"/>
        <v>127</v>
      </c>
      <c r="W31" s="27" t="s">
        <v>95</v>
      </c>
      <c r="X31" s="240">
        <f>'06'!B240</f>
        <v>90</v>
      </c>
      <c r="Y31" s="241">
        <f>SUM('06'!D240:F240)</f>
        <v>215</v>
      </c>
      <c r="Z31" s="247">
        <f t="shared" si="7"/>
        <v>2</v>
      </c>
      <c r="AA31" s="27" t="s">
        <v>103</v>
      </c>
      <c r="AB31" s="240">
        <f>'07'!B240</f>
        <v>90</v>
      </c>
      <c r="AC31" s="241">
        <f>SUM('07'!D240:F240)</f>
        <v>20</v>
      </c>
      <c r="AD31" s="247">
        <f t="shared" si="8"/>
        <v>72</v>
      </c>
      <c r="AE31" s="27" t="s">
        <v>104</v>
      </c>
      <c r="AF31" s="240">
        <f>'08'!B240</f>
        <v>25</v>
      </c>
      <c r="AG31" s="241">
        <f>SUM('08'!D240:F240)</f>
        <v>0</v>
      </c>
      <c r="AH31" s="247">
        <f t="shared" si="9"/>
        <v>97</v>
      </c>
      <c r="AI31" s="27" t="s">
        <v>108</v>
      </c>
      <c r="AJ31" s="240">
        <f>'09'!B240</f>
        <v>20</v>
      </c>
      <c r="AK31" s="241">
        <f>SUM('09'!D240:F240)</f>
        <v>20</v>
      </c>
      <c r="AL31" s="247">
        <f t="shared" si="10"/>
        <v>97</v>
      </c>
      <c r="AM31" s="27" t="s">
        <v>109</v>
      </c>
      <c r="AN31" s="240">
        <f>'10'!B240</f>
        <v>20</v>
      </c>
      <c r="AO31" s="241">
        <f>SUM('10'!D240:F240)</f>
        <v>0</v>
      </c>
      <c r="AP31" s="247">
        <f t="shared" si="11"/>
        <v>117</v>
      </c>
      <c r="AQ31" s="27" t="s">
        <v>114</v>
      </c>
      <c r="AR31" s="240">
        <f>'11'!B240</f>
        <v>20</v>
      </c>
      <c r="AS31" s="241">
        <f>SUM('11'!D240:F240)</f>
        <v>0</v>
      </c>
      <c r="AT31" s="247">
        <f t="shared" si="12"/>
        <v>137</v>
      </c>
      <c r="AU31" s="27" t="s">
        <v>118</v>
      </c>
      <c r="AV31" s="240">
        <f>'12'!B240</f>
        <v>20</v>
      </c>
      <c r="AW31" s="241">
        <f>SUM('12'!D240:F240)</f>
        <v>0</v>
      </c>
      <c r="AX31" s="247">
        <f t="shared" si="13"/>
        <v>157</v>
      </c>
      <c r="AY31" s="44">
        <f t="shared" si="22"/>
        <v>655</v>
      </c>
      <c r="AZ31" s="40">
        <f t="shared" si="15"/>
        <v>1.6635748725523862E-2</v>
      </c>
      <c r="BA31" s="41">
        <f t="shared" si="18"/>
        <v>13</v>
      </c>
      <c r="BB31" s="41">
        <f t="shared" ca="1" si="16"/>
        <v>72.777777777777771</v>
      </c>
      <c r="BI31" s="236">
        <f t="shared" ca="1" si="19"/>
        <v>620</v>
      </c>
      <c r="BJ31" s="40">
        <f t="shared" ca="1" si="17"/>
        <v>1.4173965306247958E-2</v>
      </c>
      <c r="BK31" s="41">
        <f t="shared" ca="1" si="20"/>
        <v>13</v>
      </c>
      <c r="BL31" s="41">
        <f t="shared" ca="1" si="21"/>
        <v>68.888888888888886</v>
      </c>
    </row>
    <row r="32" spans="1:64" ht="16.5" thickBot="1">
      <c r="A32" s="45" t="s">
        <v>204</v>
      </c>
      <c r="B32" s="287">
        <v>0</v>
      </c>
      <c r="C32" s="26" t="s">
        <v>0</v>
      </c>
      <c r="D32" s="243">
        <f>'01'!B260</f>
        <v>50</v>
      </c>
      <c r="E32" s="243">
        <f>SUM('01'!D260:F260)</f>
        <v>167.38</v>
      </c>
      <c r="F32" s="248">
        <f t="shared" si="2"/>
        <v>-117.38</v>
      </c>
      <c r="G32" s="26" t="s">
        <v>1</v>
      </c>
      <c r="H32" s="243">
        <f>'02'!B260</f>
        <v>50</v>
      </c>
      <c r="I32" s="243">
        <f>SUM('02'!D260:F260)</f>
        <v>65.16</v>
      </c>
      <c r="J32" s="248">
        <f t="shared" si="3"/>
        <v>-132.54</v>
      </c>
      <c r="K32" s="26" t="s">
        <v>2</v>
      </c>
      <c r="L32" s="243">
        <f>'03'!B260</f>
        <v>70</v>
      </c>
      <c r="M32" s="243">
        <f>SUM('03'!D260:F260)</f>
        <v>26.520000000000003</v>
      </c>
      <c r="N32" s="248">
        <f t="shared" si="4"/>
        <v>-89.06</v>
      </c>
      <c r="O32" s="26" t="s">
        <v>3</v>
      </c>
      <c r="P32" s="243">
        <f>'04'!B260</f>
        <v>70</v>
      </c>
      <c r="Q32" s="243">
        <f>SUM('04'!D260:F260)</f>
        <v>195.24</v>
      </c>
      <c r="R32" s="248">
        <f t="shared" si="5"/>
        <v>-214.3</v>
      </c>
      <c r="S32" s="26" t="s">
        <v>99</v>
      </c>
      <c r="T32" s="243">
        <f>'05'!B260</f>
        <v>80</v>
      </c>
      <c r="U32" s="243">
        <f>SUM('05'!D260:F260)</f>
        <v>87.43</v>
      </c>
      <c r="V32" s="248">
        <f t="shared" si="6"/>
        <v>-221.73000000000002</v>
      </c>
      <c r="W32" s="26" t="s">
        <v>95</v>
      </c>
      <c r="X32" s="243">
        <f>'06'!B260</f>
        <v>80</v>
      </c>
      <c r="Y32" s="243">
        <f>SUM('06'!D260:F260)</f>
        <v>2.38</v>
      </c>
      <c r="Z32" s="248">
        <f t="shared" si="7"/>
        <v>-144.11000000000001</v>
      </c>
      <c r="AA32" s="26" t="s">
        <v>103</v>
      </c>
      <c r="AB32" s="243">
        <f>'07'!B260</f>
        <v>80</v>
      </c>
      <c r="AC32" s="243">
        <f>SUM('07'!D260:F260)</f>
        <v>502.48</v>
      </c>
      <c r="AD32" s="248">
        <f t="shared" si="8"/>
        <v>-566.59</v>
      </c>
      <c r="AE32" s="26" t="s">
        <v>104</v>
      </c>
      <c r="AF32" s="243">
        <f>'08'!B260</f>
        <v>616.59</v>
      </c>
      <c r="AG32" s="243">
        <f>SUM('08'!D260:F260)</f>
        <v>35.629999999999995</v>
      </c>
      <c r="AH32" s="248">
        <f t="shared" si="9"/>
        <v>14.370000000000005</v>
      </c>
      <c r="AI32" s="26" t="s">
        <v>108</v>
      </c>
      <c r="AJ32" s="243">
        <f>'09'!B260</f>
        <v>50</v>
      </c>
      <c r="AK32" s="243">
        <f>SUM('09'!D260:F260)</f>
        <v>10.4</v>
      </c>
      <c r="AL32" s="248">
        <f t="shared" si="10"/>
        <v>53.970000000000006</v>
      </c>
      <c r="AM32" s="26" t="s">
        <v>109</v>
      </c>
      <c r="AN32" s="243">
        <f>'10'!B260</f>
        <v>50</v>
      </c>
      <c r="AO32" s="243">
        <f>SUM('10'!D260:F260)</f>
        <v>0</v>
      </c>
      <c r="AP32" s="248">
        <f t="shared" si="11"/>
        <v>103.97</v>
      </c>
      <c r="AQ32" s="26" t="s">
        <v>114</v>
      </c>
      <c r="AR32" s="243">
        <f>'11'!B260</f>
        <v>50</v>
      </c>
      <c r="AS32" s="243">
        <f>SUM('11'!D260:F260)</f>
        <v>0</v>
      </c>
      <c r="AT32" s="248">
        <f t="shared" si="12"/>
        <v>153.97</v>
      </c>
      <c r="AU32" s="26" t="s">
        <v>118</v>
      </c>
      <c r="AV32" s="243">
        <f>'12'!B260</f>
        <v>50</v>
      </c>
      <c r="AW32" s="243">
        <f>SUM('12'!D260:F260)</f>
        <v>0</v>
      </c>
      <c r="AX32" s="248">
        <f t="shared" si="13"/>
        <v>203.97</v>
      </c>
      <c r="AY32" s="42">
        <f t="shared" si="22"/>
        <v>1092.6200000000003</v>
      </c>
      <c r="AZ32" s="40">
        <f t="shared" si="15"/>
        <v>2.775046072134639E-2</v>
      </c>
      <c r="BA32" s="41">
        <f t="shared" si="18"/>
        <v>10</v>
      </c>
      <c r="BB32" s="41">
        <f t="shared" ca="1" si="16"/>
        <v>121.40222222222226</v>
      </c>
      <c r="BI32" s="39">
        <f t="shared" ca="1" si="19"/>
        <v>1146.5900000000001</v>
      </c>
      <c r="BJ32" s="40">
        <f t="shared" ca="1" si="17"/>
        <v>2.621246271046911E-2</v>
      </c>
      <c r="BK32" s="41">
        <f t="shared" ca="1" si="20"/>
        <v>10</v>
      </c>
      <c r="BL32" s="41">
        <f t="shared" ca="1" si="21"/>
        <v>127.39888888888891</v>
      </c>
    </row>
    <row r="33" spans="1:64" ht="16.5" thickBot="1">
      <c r="A33" s="43" t="s">
        <v>122</v>
      </c>
      <c r="B33" s="286">
        <v>60</v>
      </c>
      <c r="C33" s="27" t="s">
        <v>0</v>
      </c>
      <c r="D33" s="240">
        <f>'01'!B280</f>
        <v>10</v>
      </c>
      <c r="E33" s="241">
        <f>SUM('01'!D280:F280)</f>
        <v>0</v>
      </c>
      <c r="F33" s="247">
        <f t="shared" si="2"/>
        <v>70</v>
      </c>
      <c r="G33" s="27" t="s">
        <v>1</v>
      </c>
      <c r="H33" s="240">
        <f>'02'!B280</f>
        <v>10</v>
      </c>
      <c r="I33" s="241">
        <f>SUM('02'!D280:F280)</f>
        <v>0</v>
      </c>
      <c r="J33" s="247">
        <f t="shared" si="3"/>
        <v>80</v>
      </c>
      <c r="K33" s="27" t="s">
        <v>2</v>
      </c>
      <c r="L33" s="240">
        <f>'03'!B280</f>
        <v>20</v>
      </c>
      <c r="M33" s="241">
        <f>SUM('03'!D280:F280)</f>
        <v>31.54</v>
      </c>
      <c r="N33" s="247">
        <f t="shared" si="4"/>
        <v>68.460000000000008</v>
      </c>
      <c r="O33" s="27" t="s">
        <v>3</v>
      </c>
      <c r="P33" s="240">
        <f>'04'!B280</f>
        <v>20</v>
      </c>
      <c r="Q33" s="241">
        <f>SUM('04'!D280:F280)</f>
        <v>0</v>
      </c>
      <c r="R33" s="247">
        <f t="shared" si="5"/>
        <v>88.460000000000008</v>
      </c>
      <c r="S33" s="27" t="s">
        <v>99</v>
      </c>
      <c r="T33" s="240">
        <f>'05'!B280</f>
        <v>11.54</v>
      </c>
      <c r="U33" s="241">
        <f>SUM('05'!D280:F280)</f>
        <v>0</v>
      </c>
      <c r="V33" s="247">
        <f t="shared" si="6"/>
        <v>100</v>
      </c>
      <c r="W33" s="27" t="s">
        <v>95</v>
      </c>
      <c r="X33" s="240">
        <f>'06'!B280</f>
        <v>10</v>
      </c>
      <c r="Y33" s="241">
        <f>SUM('06'!D280:F280)</f>
        <v>0</v>
      </c>
      <c r="Z33" s="247">
        <f t="shared" si="7"/>
        <v>110</v>
      </c>
      <c r="AA33" s="27" t="s">
        <v>103</v>
      </c>
      <c r="AB33" s="240">
        <f>'07'!B280</f>
        <v>10</v>
      </c>
      <c r="AC33" s="241">
        <f>SUM('07'!D280:F280)</f>
        <v>0</v>
      </c>
      <c r="AD33" s="247">
        <f t="shared" si="8"/>
        <v>120</v>
      </c>
      <c r="AE33" s="27" t="s">
        <v>104</v>
      </c>
      <c r="AF33" s="240">
        <f>'08'!B280</f>
        <v>50</v>
      </c>
      <c r="AG33" s="241">
        <f>SUM('08'!D280:F280)</f>
        <v>0</v>
      </c>
      <c r="AH33" s="247">
        <f t="shared" si="9"/>
        <v>170</v>
      </c>
      <c r="AI33" s="27" t="s">
        <v>108</v>
      </c>
      <c r="AJ33" s="240">
        <f>'09'!B280</f>
        <v>50</v>
      </c>
      <c r="AK33" s="241">
        <f>SUM('09'!D280:F280)</f>
        <v>0</v>
      </c>
      <c r="AL33" s="247">
        <f t="shared" si="10"/>
        <v>220</v>
      </c>
      <c r="AM33" s="27" t="s">
        <v>109</v>
      </c>
      <c r="AN33" s="240">
        <f>'10'!B280</f>
        <v>50</v>
      </c>
      <c r="AO33" s="241">
        <f>SUM('10'!D280:F280)</f>
        <v>0</v>
      </c>
      <c r="AP33" s="247">
        <f t="shared" si="11"/>
        <v>270</v>
      </c>
      <c r="AQ33" s="27" t="s">
        <v>114</v>
      </c>
      <c r="AR33" s="240">
        <f>'11'!B280</f>
        <v>50</v>
      </c>
      <c r="AS33" s="241">
        <f>SUM('11'!D280:F280)</f>
        <v>0</v>
      </c>
      <c r="AT33" s="247">
        <f t="shared" si="12"/>
        <v>320</v>
      </c>
      <c r="AU33" s="27" t="s">
        <v>118</v>
      </c>
      <c r="AV33" s="240">
        <f>'12'!B280</f>
        <v>50</v>
      </c>
      <c r="AW33" s="241">
        <f>SUM('12'!D280:F280)</f>
        <v>0</v>
      </c>
      <c r="AX33" s="247">
        <f t="shared" si="13"/>
        <v>370</v>
      </c>
      <c r="AY33" s="44">
        <f t="shared" si="22"/>
        <v>31.54</v>
      </c>
      <c r="AZ33" s="40">
        <f t="shared" si="15"/>
        <v>8.010557477908741E-4</v>
      </c>
      <c r="BA33" s="41">
        <f t="shared" si="18"/>
        <v>22</v>
      </c>
      <c r="BB33" s="41">
        <f t="shared" ca="1" si="16"/>
        <v>3.5044444444444443</v>
      </c>
      <c r="BI33" s="236">
        <f t="shared" ca="1" si="19"/>
        <v>191.54</v>
      </c>
      <c r="BJ33" s="40">
        <f t="shared" ca="1" si="17"/>
        <v>4.3788408302560221E-3</v>
      </c>
      <c r="BK33" s="41">
        <f t="shared" ca="1" si="20"/>
        <v>21</v>
      </c>
      <c r="BL33" s="41">
        <f t="shared" ca="1" si="21"/>
        <v>21.28222222222222</v>
      </c>
    </row>
    <row r="34" spans="1:64" ht="16.5" thickBot="1">
      <c r="A34" s="45" t="s">
        <v>25</v>
      </c>
      <c r="B34" s="287">
        <v>104.33000000000001</v>
      </c>
      <c r="C34" s="26" t="s">
        <v>0</v>
      </c>
      <c r="D34" s="243">
        <f>'01'!B300</f>
        <v>894</v>
      </c>
      <c r="E34" s="243">
        <f>SUM('01'!D300:F300)</f>
        <v>1063.25</v>
      </c>
      <c r="F34" s="248">
        <f t="shared" si="2"/>
        <v>-64.919999999999959</v>
      </c>
      <c r="G34" s="26" t="s">
        <v>1</v>
      </c>
      <c r="H34" s="243">
        <f>'02'!B300</f>
        <v>120</v>
      </c>
      <c r="I34" s="243">
        <f>SUM('02'!D300:F300)</f>
        <v>85</v>
      </c>
      <c r="J34" s="248">
        <f t="shared" si="3"/>
        <v>-29.919999999999959</v>
      </c>
      <c r="K34" s="26" t="s">
        <v>2</v>
      </c>
      <c r="L34" s="243">
        <f>'03'!B300</f>
        <v>120</v>
      </c>
      <c r="M34" s="243">
        <f>SUM('03'!D300:F300)</f>
        <v>75.09</v>
      </c>
      <c r="N34" s="248">
        <f t="shared" si="4"/>
        <v>14.990000000000038</v>
      </c>
      <c r="O34" s="26" t="s">
        <v>3</v>
      </c>
      <c r="P34" s="243">
        <f>'04'!B300</f>
        <v>374.6</v>
      </c>
      <c r="Q34" s="243">
        <f>SUM('04'!D300:F300)</f>
        <v>271.98</v>
      </c>
      <c r="R34" s="248">
        <f t="shared" si="5"/>
        <v>117.61000000000001</v>
      </c>
      <c r="S34" s="26" t="s">
        <v>99</v>
      </c>
      <c r="T34" s="243">
        <f>'05'!B300</f>
        <v>150</v>
      </c>
      <c r="U34" s="243">
        <f>SUM('05'!D300:F300)</f>
        <v>173.54000000000002</v>
      </c>
      <c r="V34" s="248">
        <f t="shared" si="6"/>
        <v>94.07</v>
      </c>
      <c r="W34" s="26" t="s">
        <v>95</v>
      </c>
      <c r="X34" s="243">
        <f>'06'!B300</f>
        <v>150</v>
      </c>
      <c r="Y34" s="243">
        <f>SUM('06'!D300:F300)</f>
        <v>155.10000000000002</v>
      </c>
      <c r="Z34" s="248">
        <f t="shared" si="7"/>
        <v>88.96999999999997</v>
      </c>
      <c r="AA34" s="26" t="s">
        <v>103</v>
      </c>
      <c r="AB34" s="243">
        <f>'07'!B300</f>
        <v>320</v>
      </c>
      <c r="AC34" s="243">
        <f>SUM('07'!D300:F300)</f>
        <v>75.539999999999992</v>
      </c>
      <c r="AD34" s="248">
        <f t="shared" si="8"/>
        <v>333.42999999999995</v>
      </c>
      <c r="AE34" s="26" t="s">
        <v>104</v>
      </c>
      <c r="AF34" s="243">
        <f>'08'!B300</f>
        <v>120</v>
      </c>
      <c r="AG34" s="243">
        <f>SUM('08'!D300:F300)</f>
        <v>4</v>
      </c>
      <c r="AH34" s="248">
        <f t="shared" si="9"/>
        <v>449.42999999999995</v>
      </c>
      <c r="AI34" s="26" t="s">
        <v>108</v>
      </c>
      <c r="AJ34" s="243">
        <f>'09'!B300</f>
        <v>100</v>
      </c>
      <c r="AK34" s="243">
        <f>SUM('09'!D300:F300)</f>
        <v>38.549999999999997</v>
      </c>
      <c r="AL34" s="248">
        <f t="shared" si="10"/>
        <v>510.87999999999994</v>
      </c>
      <c r="AM34" s="26" t="s">
        <v>109</v>
      </c>
      <c r="AN34" s="243">
        <f>'10'!B300</f>
        <v>60</v>
      </c>
      <c r="AO34" s="243">
        <f>SUM('10'!D300:F300)</f>
        <v>0</v>
      </c>
      <c r="AP34" s="248">
        <f t="shared" si="11"/>
        <v>570.87999999999988</v>
      </c>
      <c r="AQ34" s="26" t="s">
        <v>114</v>
      </c>
      <c r="AR34" s="243">
        <f>'11'!B300</f>
        <v>100</v>
      </c>
      <c r="AS34" s="243">
        <f>SUM('11'!D300:F300)</f>
        <v>0</v>
      </c>
      <c r="AT34" s="248">
        <f t="shared" si="12"/>
        <v>670.87999999999988</v>
      </c>
      <c r="AU34" s="26" t="s">
        <v>118</v>
      </c>
      <c r="AV34" s="243">
        <f>'12'!B300</f>
        <v>100</v>
      </c>
      <c r="AW34" s="243">
        <f>SUM('12'!D300:F300)</f>
        <v>0</v>
      </c>
      <c r="AX34" s="248">
        <f t="shared" si="13"/>
        <v>770.87999999999988</v>
      </c>
      <c r="AY34" s="42">
        <f>E34+I34+M34+Q34+U34+Y34+AC34+AG34+AK34+AO34+AS34+AW34+(E36+I36+M36)</f>
        <v>2630.3</v>
      </c>
      <c r="AZ34" s="40">
        <f t="shared" si="15"/>
        <v>6.6804595225565519E-2</v>
      </c>
      <c r="BA34" s="41">
        <f t="shared" si="18"/>
        <v>6</v>
      </c>
      <c r="BB34" s="41">
        <f t="shared" ca="1" si="16"/>
        <v>292.25555555555559</v>
      </c>
      <c r="BI34" s="39">
        <f t="shared" ca="1" si="19"/>
        <v>2348.6</v>
      </c>
      <c r="BJ34" s="40">
        <f t="shared" ca="1" si="17"/>
        <v>5.3691895029441862E-2</v>
      </c>
      <c r="BK34" s="41">
        <f t="shared" ca="1" si="20"/>
        <v>7</v>
      </c>
      <c r="BL34" s="41">
        <f t="shared" ca="1" si="21"/>
        <v>260.95555555555552</v>
      </c>
    </row>
    <row r="35" spans="1:64" ht="16.5" thickBot="1">
      <c r="A35" s="50" t="s">
        <v>123</v>
      </c>
      <c r="B35" s="288">
        <v>2079.1000000000004</v>
      </c>
      <c r="C35" s="27" t="s">
        <v>0</v>
      </c>
      <c r="D35" s="240">
        <f>'01'!B320</f>
        <v>100</v>
      </c>
      <c r="E35" s="240">
        <f>SUM('01'!D320:F320)</f>
        <v>257.46000000000004</v>
      </c>
      <c r="F35" s="245">
        <f t="shared" si="2"/>
        <v>1921.6400000000003</v>
      </c>
      <c r="G35" s="27" t="s">
        <v>1</v>
      </c>
      <c r="H35" s="240">
        <f>'02'!B320</f>
        <v>100</v>
      </c>
      <c r="I35" s="240">
        <f>SUM('02'!D320:F320)</f>
        <v>220.79000000000002</v>
      </c>
      <c r="J35" s="245">
        <f t="shared" si="3"/>
        <v>1800.8500000000004</v>
      </c>
      <c r="K35" s="27" t="s">
        <v>2</v>
      </c>
      <c r="L35" s="240">
        <f>'03'!B320</f>
        <v>100</v>
      </c>
      <c r="M35" s="240">
        <f>SUM('03'!D320:F320)</f>
        <v>243.64999999999998</v>
      </c>
      <c r="N35" s="245">
        <f t="shared" si="4"/>
        <v>1657.2000000000003</v>
      </c>
      <c r="O35" s="27" t="s">
        <v>3</v>
      </c>
      <c r="P35" s="240">
        <f>'04'!B320</f>
        <v>100</v>
      </c>
      <c r="Q35" s="240">
        <f>SUM('04'!D320:F320)</f>
        <v>197.51999999999998</v>
      </c>
      <c r="R35" s="245">
        <f t="shared" si="5"/>
        <v>1559.6800000000003</v>
      </c>
      <c r="S35" s="27" t="s">
        <v>99</v>
      </c>
      <c r="T35" s="240">
        <f>'05'!B320</f>
        <v>100</v>
      </c>
      <c r="U35" s="240">
        <f>SUM('05'!D320:F320)</f>
        <v>134.93</v>
      </c>
      <c r="V35" s="245">
        <f t="shared" si="6"/>
        <v>1524.7500000000002</v>
      </c>
      <c r="W35" s="27" t="s">
        <v>95</v>
      </c>
      <c r="X35" s="240">
        <f>'06'!B320</f>
        <v>100</v>
      </c>
      <c r="Y35" s="240">
        <f>SUM('06'!D320:F320)</f>
        <v>164.22</v>
      </c>
      <c r="Z35" s="245">
        <f t="shared" si="7"/>
        <v>1460.5300000000002</v>
      </c>
      <c r="AA35" s="27" t="s">
        <v>103</v>
      </c>
      <c r="AB35" s="240">
        <f>'07'!B320</f>
        <v>100</v>
      </c>
      <c r="AC35" s="240">
        <f>SUM('07'!D320:F320)</f>
        <v>169.52999999999997</v>
      </c>
      <c r="AD35" s="245">
        <f t="shared" si="8"/>
        <v>1391.0000000000002</v>
      </c>
      <c r="AE35" s="27" t="s">
        <v>104</v>
      </c>
      <c r="AF35" s="240">
        <f>'08'!B320</f>
        <v>100</v>
      </c>
      <c r="AG35" s="240">
        <f>SUM('08'!D320:F320)</f>
        <v>125</v>
      </c>
      <c r="AH35" s="245">
        <f t="shared" si="9"/>
        <v>1366.0000000000002</v>
      </c>
      <c r="AI35" s="27" t="s">
        <v>108</v>
      </c>
      <c r="AJ35" s="240">
        <f>'09'!B320</f>
        <v>110</v>
      </c>
      <c r="AK35" s="240">
        <f>SUM('09'!D320:F320)</f>
        <v>73.61</v>
      </c>
      <c r="AL35" s="245">
        <f t="shared" si="10"/>
        <v>1402.3900000000003</v>
      </c>
      <c r="AM35" s="27" t="s">
        <v>109</v>
      </c>
      <c r="AN35" s="240">
        <f>'10'!B320</f>
        <v>110</v>
      </c>
      <c r="AO35" s="240">
        <f>SUM('10'!D320:F320)</f>
        <v>0</v>
      </c>
      <c r="AP35" s="245">
        <f t="shared" si="11"/>
        <v>1512.3900000000003</v>
      </c>
      <c r="AQ35" s="27" t="s">
        <v>114</v>
      </c>
      <c r="AR35" s="240">
        <f>'11'!B320</f>
        <v>115</v>
      </c>
      <c r="AS35" s="240">
        <f>SUM('11'!D320:F320)</f>
        <v>0</v>
      </c>
      <c r="AT35" s="245">
        <f t="shared" si="12"/>
        <v>1627.3900000000003</v>
      </c>
      <c r="AU35" s="27" t="s">
        <v>118</v>
      </c>
      <c r="AV35" s="240">
        <f>'12'!B320</f>
        <v>115</v>
      </c>
      <c r="AW35" s="240">
        <f>SUM('12'!D320:F320)</f>
        <v>0</v>
      </c>
      <c r="AX35" s="245">
        <f t="shared" si="13"/>
        <v>1742.3900000000003</v>
      </c>
      <c r="AY35" s="44">
        <f t="shared" si="22"/>
        <v>1586.71</v>
      </c>
      <c r="AZ35" s="40">
        <f t="shared" si="15"/>
        <v>4.0299402840115975E-2</v>
      </c>
      <c r="BA35" s="41">
        <f t="shared" si="18"/>
        <v>8</v>
      </c>
      <c r="BB35" s="41">
        <f t="shared" ca="1" si="16"/>
        <v>176.30111111111111</v>
      </c>
      <c r="BI35" s="236">
        <f t="shared" ca="1" si="19"/>
        <v>910</v>
      </c>
      <c r="BJ35" s="40">
        <f t="shared" ca="1" si="17"/>
        <v>2.0803723272073617E-2</v>
      </c>
      <c r="BK35" s="41">
        <f t="shared" ca="1" si="20"/>
        <v>11</v>
      </c>
      <c r="BL35" s="41">
        <f t="shared" ca="1" si="21"/>
        <v>101.11111111111111</v>
      </c>
    </row>
    <row r="36" spans="1:64" ht="16.5" thickBot="1">
      <c r="A36" s="46" t="s">
        <v>387</v>
      </c>
      <c r="B36" s="285">
        <v>782.85</v>
      </c>
      <c r="C36" s="26" t="s">
        <v>0</v>
      </c>
      <c r="D36" s="249">
        <f>'01'!B340</f>
        <v>50</v>
      </c>
      <c r="E36" s="249">
        <f>SUM('01'!D340:F340)</f>
        <v>0</v>
      </c>
      <c r="F36" s="244">
        <f t="shared" si="2"/>
        <v>832.85</v>
      </c>
      <c r="G36" s="26" t="s">
        <v>1</v>
      </c>
      <c r="H36" s="249">
        <f>'02'!B340</f>
        <v>50</v>
      </c>
      <c r="I36" s="249">
        <f>SUM('02'!D340:F340)</f>
        <v>600</v>
      </c>
      <c r="J36" s="244">
        <f t="shared" si="3"/>
        <v>282.85000000000002</v>
      </c>
      <c r="K36" s="26" t="s">
        <v>2</v>
      </c>
      <c r="L36" s="249">
        <f>'03'!B340</f>
        <v>30</v>
      </c>
      <c r="M36" s="249">
        <f>SUM('03'!D340:F340)</f>
        <v>88.25</v>
      </c>
      <c r="N36" s="244">
        <f t="shared" si="4"/>
        <v>224.60000000000002</v>
      </c>
      <c r="O36" s="26" t="s">
        <v>3</v>
      </c>
      <c r="P36" s="249">
        <f>'04'!B340</f>
        <v>-224.6</v>
      </c>
      <c r="Q36" s="249">
        <f>SUM('04'!D340:F340)</f>
        <v>0</v>
      </c>
      <c r="R36" s="244">
        <f t="shared" si="5"/>
        <v>2.8421709430404007E-14</v>
      </c>
      <c r="S36" s="26" t="s">
        <v>99</v>
      </c>
      <c r="T36" s="249">
        <f>'05'!B340</f>
        <v>4</v>
      </c>
      <c r="U36" s="249">
        <f>SUM('05'!D340:F340)</f>
        <v>4</v>
      </c>
      <c r="V36" s="244">
        <f t="shared" si="6"/>
        <v>2.8421709430404007E-14</v>
      </c>
      <c r="W36" s="26" t="s">
        <v>95</v>
      </c>
      <c r="X36" s="249">
        <f>'06'!B340</f>
        <v>10</v>
      </c>
      <c r="Y36" s="249">
        <f>SUM('06'!D340:F340)</f>
        <v>89</v>
      </c>
      <c r="Z36" s="244">
        <f t="shared" si="7"/>
        <v>-78.999999999999972</v>
      </c>
      <c r="AA36" s="26" t="s">
        <v>103</v>
      </c>
      <c r="AB36" s="249">
        <f>'07'!B340</f>
        <v>10</v>
      </c>
      <c r="AC36" s="249">
        <f>SUM('07'!D340:F340)</f>
        <v>172.71</v>
      </c>
      <c r="AD36" s="244">
        <f t="shared" si="8"/>
        <v>-241.70999999999998</v>
      </c>
      <c r="AE36" s="26" t="s">
        <v>104</v>
      </c>
      <c r="AF36" s="249">
        <f>'08'!B340</f>
        <v>331.73</v>
      </c>
      <c r="AG36" s="249">
        <f>SUM('08'!D340:F340)</f>
        <v>4.3499999999999996</v>
      </c>
      <c r="AH36" s="244">
        <f t="shared" si="9"/>
        <v>85.670000000000044</v>
      </c>
      <c r="AI36" s="26" t="s">
        <v>108</v>
      </c>
      <c r="AJ36" s="249">
        <f>'09'!B340</f>
        <v>90</v>
      </c>
      <c r="AK36" s="249">
        <f>SUM('09'!D340:F340)</f>
        <v>348</v>
      </c>
      <c r="AL36" s="244">
        <f t="shared" si="10"/>
        <v>-172.32999999999996</v>
      </c>
      <c r="AM36" s="26" t="s">
        <v>109</v>
      </c>
      <c r="AN36" s="249">
        <f>'10'!B340</f>
        <v>90</v>
      </c>
      <c r="AO36" s="249">
        <f>SUM('10'!D340:F340)</f>
        <v>0</v>
      </c>
      <c r="AP36" s="244">
        <f t="shared" si="11"/>
        <v>-82.329999999999956</v>
      </c>
      <c r="AQ36" s="26" t="s">
        <v>114</v>
      </c>
      <c r="AR36" s="249">
        <f>'11'!B340</f>
        <v>90</v>
      </c>
      <c r="AS36" s="249">
        <f>SUM('11'!D340:F340)</f>
        <v>0</v>
      </c>
      <c r="AT36" s="244">
        <f t="shared" si="12"/>
        <v>7.6700000000000443</v>
      </c>
      <c r="AU36" s="26" t="s">
        <v>118</v>
      </c>
      <c r="AV36" s="249">
        <f>'12'!B340</f>
        <v>90</v>
      </c>
      <c r="AW36" s="249">
        <f>SUM('12'!D340:F340)</f>
        <v>0</v>
      </c>
      <c r="AX36" s="244">
        <f t="shared" si="13"/>
        <v>97.670000000000044</v>
      </c>
      <c r="AY36" s="39">
        <f>Q36+U36+Y36+AC36+AG36+AK36+AO36+AS36+AW36</f>
        <v>618.06000000000006</v>
      </c>
      <c r="AZ36" s="40">
        <f t="shared" si="15"/>
        <v>1.5697543293583631E-2</v>
      </c>
      <c r="BA36" s="41">
        <f t="shared" si="18"/>
        <v>14</v>
      </c>
      <c r="BB36" s="41">
        <f t="shared" ca="1" si="16"/>
        <v>68.673333333333346</v>
      </c>
      <c r="BI36" s="39">
        <f t="shared" ca="1" si="19"/>
        <v>351.13</v>
      </c>
      <c r="BJ36" s="40">
        <f t="shared" ca="1" si="17"/>
        <v>8.0272652225529765E-3</v>
      </c>
      <c r="BK36" s="41">
        <f t="shared" ca="1" si="20"/>
        <v>18</v>
      </c>
      <c r="BL36" s="41">
        <f t="shared" ca="1" si="21"/>
        <v>39.014444444444443</v>
      </c>
    </row>
    <row r="37" spans="1:64" ht="16.5" thickBot="1">
      <c r="A37" s="43" t="s">
        <v>26</v>
      </c>
      <c r="B37" s="286">
        <v>458.51</v>
      </c>
      <c r="C37" s="27" t="s">
        <v>0</v>
      </c>
      <c r="D37" s="250">
        <f>'01'!B360</f>
        <v>30</v>
      </c>
      <c r="E37" s="250">
        <f>SUM('01'!D360:F360)</f>
        <v>416.13</v>
      </c>
      <c r="F37" s="242">
        <f t="shared" si="2"/>
        <v>72.38</v>
      </c>
      <c r="G37" s="27" t="s">
        <v>1</v>
      </c>
      <c r="H37" s="250">
        <f>'02'!B360</f>
        <v>30</v>
      </c>
      <c r="I37" s="250">
        <f>SUM('02'!D360:F360)</f>
        <v>0</v>
      </c>
      <c r="J37" s="242">
        <f t="shared" si="3"/>
        <v>102.38</v>
      </c>
      <c r="K37" s="27" t="s">
        <v>2</v>
      </c>
      <c r="L37" s="250">
        <f>'03'!B360</f>
        <v>30</v>
      </c>
      <c r="M37" s="250">
        <f>SUM('03'!D360:F360)</f>
        <v>0</v>
      </c>
      <c r="N37" s="242">
        <f t="shared" si="4"/>
        <v>132.38</v>
      </c>
      <c r="O37" s="27" t="s">
        <v>3</v>
      </c>
      <c r="P37" s="250">
        <f>'04'!B360</f>
        <v>30</v>
      </c>
      <c r="Q37" s="250">
        <f>SUM('04'!D360:F360)</f>
        <v>0</v>
      </c>
      <c r="R37" s="242">
        <f t="shared" si="5"/>
        <v>162.38</v>
      </c>
      <c r="S37" s="27" t="s">
        <v>99</v>
      </c>
      <c r="T37" s="250">
        <f>'05'!B360</f>
        <v>30</v>
      </c>
      <c r="U37" s="250">
        <f>SUM('05'!D360:F360)</f>
        <v>0</v>
      </c>
      <c r="V37" s="242">
        <f t="shared" si="6"/>
        <v>192.38</v>
      </c>
      <c r="W37" s="27" t="s">
        <v>95</v>
      </c>
      <c r="X37" s="250">
        <f>'06'!B360</f>
        <v>30</v>
      </c>
      <c r="Y37" s="250">
        <f>SUM('06'!D360:F360)</f>
        <v>0</v>
      </c>
      <c r="Z37" s="242">
        <f t="shared" si="7"/>
        <v>222.38</v>
      </c>
      <c r="AA37" s="27" t="s">
        <v>103</v>
      </c>
      <c r="AB37" s="250">
        <f>'07'!B360</f>
        <v>30</v>
      </c>
      <c r="AC37" s="250">
        <f>SUM('07'!D360:F360)</f>
        <v>86</v>
      </c>
      <c r="AD37" s="242">
        <f t="shared" si="8"/>
        <v>166.38</v>
      </c>
      <c r="AE37" s="27" t="s">
        <v>104</v>
      </c>
      <c r="AF37" s="250">
        <f>'08'!B360</f>
        <v>50</v>
      </c>
      <c r="AG37" s="250">
        <f>SUM('08'!D360:F360)</f>
        <v>0</v>
      </c>
      <c r="AH37" s="242">
        <f t="shared" si="9"/>
        <v>216.38</v>
      </c>
      <c r="AI37" s="27" t="s">
        <v>108</v>
      </c>
      <c r="AJ37" s="250">
        <f>'09'!B360</f>
        <v>60</v>
      </c>
      <c r="AK37" s="250">
        <f>SUM('09'!D360:F360)</f>
        <v>65</v>
      </c>
      <c r="AL37" s="242">
        <f t="shared" si="10"/>
        <v>211.38</v>
      </c>
      <c r="AM37" s="27" t="s">
        <v>109</v>
      </c>
      <c r="AN37" s="250">
        <f>'10'!B360</f>
        <v>60</v>
      </c>
      <c r="AO37" s="250">
        <f>SUM('10'!D360:F360)</f>
        <v>0</v>
      </c>
      <c r="AP37" s="242">
        <f t="shared" si="11"/>
        <v>271.38</v>
      </c>
      <c r="AQ37" s="27" t="s">
        <v>114</v>
      </c>
      <c r="AR37" s="250">
        <f>'11'!B360</f>
        <v>40</v>
      </c>
      <c r="AS37" s="250">
        <f>SUM('11'!D360:F360)</f>
        <v>0</v>
      </c>
      <c r="AT37" s="242">
        <f t="shared" si="12"/>
        <v>311.38</v>
      </c>
      <c r="AU37" s="27" t="s">
        <v>118</v>
      </c>
      <c r="AV37" s="250">
        <f>'12'!B360</f>
        <v>40</v>
      </c>
      <c r="AW37" s="250">
        <f>SUM('12'!D360:F360)</f>
        <v>0</v>
      </c>
      <c r="AX37" s="242">
        <f t="shared" si="13"/>
        <v>351.38</v>
      </c>
      <c r="AY37" s="44">
        <f t="shared" si="22"/>
        <v>567.13</v>
      </c>
      <c r="AZ37" s="40">
        <f t="shared" si="15"/>
        <v>1.4404018587337935E-2</v>
      </c>
      <c r="BA37" s="41">
        <f t="shared" si="18"/>
        <v>15</v>
      </c>
      <c r="BB37" s="41">
        <f t="shared" ca="1" si="16"/>
        <v>63.014444444444443</v>
      </c>
      <c r="BI37" s="236">
        <f t="shared" ca="1" si="19"/>
        <v>320</v>
      </c>
      <c r="BJ37" s="40">
        <f t="shared" ca="1" si="17"/>
        <v>7.3155949967731396E-3</v>
      </c>
      <c r="BK37" s="41">
        <f t="shared" ca="1" si="20"/>
        <v>19</v>
      </c>
      <c r="BL37" s="41">
        <f t="shared" ca="1" si="21"/>
        <v>35.555555555555557</v>
      </c>
    </row>
    <row r="38" spans="1:64" ht="16.5" thickBot="1">
      <c r="A38" s="45" t="s">
        <v>27</v>
      </c>
      <c r="B38" s="287">
        <v>71.02000000000001</v>
      </c>
      <c r="C38" s="26" t="s">
        <v>0</v>
      </c>
      <c r="D38" s="251">
        <f>'01'!B380</f>
        <v>30</v>
      </c>
      <c r="E38" s="251">
        <f>SUM('01'!D380:F380)</f>
        <v>34.99</v>
      </c>
      <c r="F38" s="244">
        <f t="shared" si="2"/>
        <v>66.03</v>
      </c>
      <c r="G38" s="26" t="s">
        <v>1</v>
      </c>
      <c r="H38" s="251">
        <f>'02'!B380</f>
        <v>50</v>
      </c>
      <c r="I38" s="251">
        <f>SUM('02'!D380:F380)</f>
        <v>123.72</v>
      </c>
      <c r="J38" s="244">
        <f t="shared" si="3"/>
        <v>-7.6899999999999977</v>
      </c>
      <c r="K38" s="26" t="s">
        <v>2</v>
      </c>
      <c r="L38" s="251">
        <f>'03'!B380</f>
        <v>40</v>
      </c>
      <c r="M38" s="251">
        <f>SUM('03'!D380:F380)</f>
        <v>28.3</v>
      </c>
      <c r="N38" s="244">
        <f t="shared" si="4"/>
        <v>4.0100000000000016</v>
      </c>
      <c r="O38" s="26" t="s">
        <v>3</v>
      </c>
      <c r="P38" s="251">
        <f>'04'!B380</f>
        <v>40</v>
      </c>
      <c r="Q38" s="251">
        <f>SUM('04'!D380:F380)</f>
        <v>69.490000000000009</v>
      </c>
      <c r="R38" s="244">
        <f t="shared" si="5"/>
        <v>-25.480000000000004</v>
      </c>
      <c r="S38" s="26" t="s">
        <v>99</v>
      </c>
      <c r="T38" s="251">
        <f>'05'!B380</f>
        <v>50</v>
      </c>
      <c r="U38" s="251">
        <f>SUM('05'!D380:F380)</f>
        <v>76.52</v>
      </c>
      <c r="V38" s="244">
        <f t="shared" si="6"/>
        <v>-52</v>
      </c>
      <c r="W38" s="26" t="s">
        <v>95</v>
      </c>
      <c r="X38" s="251">
        <f>'06'!B380</f>
        <v>100</v>
      </c>
      <c r="Y38" s="251">
        <f>SUM('06'!D380:F380)</f>
        <v>87.449999999999989</v>
      </c>
      <c r="Z38" s="244">
        <f t="shared" si="7"/>
        <v>-39.449999999999989</v>
      </c>
      <c r="AA38" s="26" t="s">
        <v>103</v>
      </c>
      <c r="AB38" s="251">
        <f>'07'!B380</f>
        <v>103</v>
      </c>
      <c r="AC38" s="251">
        <f>SUM('07'!D380:F380)</f>
        <v>90.669999999999987</v>
      </c>
      <c r="AD38" s="244">
        <f t="shared" si="8"/>
        <v>-27.119999999999976</v>
      </c>
      <c r="AE38" s="26" t="s">
        <v>104</v>
      </c>
      <c r="AF38" s="251">
        <f>'08'!B380</f>
        <v>96.77</v>
      </c>
      <c r="AG38" s="251">
        <f>SUM('08'!D380:F380)</f>
        <v>139.63999999999999</v>
      </c>
      <c r="AH38" s="244">
        <f t="shared" si="9"/>
        <v>-69.989999999999966</v>
      </c>
      <c r="AI38" s="26" t="s">
        <v>108</v>
      </c>
      <c r="AJ38" s="251">
        <f>'09'!B380</f>
        <v>70</v>
      </c>
      <c r="AK38" s="251">
        <f>SUM('09'!D380:F380)</f>
        <v>45.64</v>
      </c>
      <c r="AL38" s="244">
        <f t="shared" si="10"/>
        <v>-45.629999999999967</v>
      </c>
      <c r="AM38" s="26" t="s">
        <v>109</v>
      </c>
      <c r="AN38" s="251">
        <f>'10'!B380</f>
        <v>70</v>
      </c>
      <c r="AO38" s="251">
        <f>SUM('10'!D380:F380)</f>
        <v>0</v>
      </c>
      <c r="AP38" s="244">
        <f t="shared" si="11"/>
        <v>24.370000000000033</v>
      </c>
      <c r="AQ38" s="26" t="s">
        <v>114</v>
      </c>
      <c r="AR38" s="251">
        <f>'11'!B380</f>
        <v>70</v>
      </c>
      <c r="AS38" s="251">
        <f>SUM('11'!D380:F380)</f>
        <v>0</v>
      </c>
      <c r="AT38" s="244">
        <f t="shared" si="12"/>
        <v>94.370000000000033</v>
      </c>
      <c r="AU38" s="26" t="s">
        <v>118</v>
      </c>
      <c r="AV38" s="251">
        <f>'12'!B380</f>
        <v>70</v>
      </c>
      <c r="AW38" s="251">
        <f>SUM('12'!D380:F380)</f>
        <v>0</v>
      </c>
      <c r="AX38" s="244">
        <f t="shared" si="13"/>
        <v>164.37000000000003</v>
      </c>
      <c r="AY38" s="42">
        <f t="shared" si="22"/>
        <v>696.42</v>
      </c>
      <c r="AZ38" s="40">
        <f t="shared" si="15"/>
        <v>1.7687737599128742E-2</v>
      </c>
      <c r="BA38" s="41">
        <f t="shared" si="18"/>
        <v>12</v>
      </c>
      <c r="BB38" s="41">
        <f t="shared" ca="1" si="16"/>
        <v>77.38</v>
      </c>
      <c r="BI38" s="39">
        <f t="shared" ca="1" si="19"/>
        <v>579.77</v>
      </c>
      <c r="BJ38" s="40">
        <f t="shared" ca="1" si="17"/>
        <v>1.3254257847747385E-2</v>
      </c>
      <c r="BK38" s="41">
        <f t="shared" ca="1" si="20"/>
        <v>14</v>
      </c>
      <c r="BL38" s="41">
        <f t="shared" ca="1" si="21"/>
        <v>64.418888888888887</v>
      </c>
    </row>
    <row r="39" spans="1:64" ht="16.5" thickBot="1">
      <c r="A39" s="43" t="s">
        <v>28</v>
      </c>
      <c r="B39" s="286">
        <v>1000</v>
      </c>
      <c r="C39" s="27" t="s">
        <v>0</v>
      </c>
      <c r="D39" s="250">
        <f>'01'!B400</f>
        <v>10</v>
      </c>
      <c r="E39" s="250">
        <f>SUM('01'!D400:F400)</f>
        <v>0</v>
      </c>
      <c r="F39" s="242">
        <f t="shared" si="2"/>
        <v>1010</v>
      </c>
      <c r="G39" s="27" t="s">
        <v>1</v>
      </c>
      <c r="H39" s="250">
        <f>'02'!B400</f>
        <v>10</v>
      </c>
      <c r="I39" s="250">
        <f>SUM('02'!D400:F400)</f>
        <v>0</v>
      </c>
      <c r="J39" s="242">
        <f t="shared" si="3"/>
        <v>1020</v>
      </c>
      <c r="K39" s="27" t="s">
        <v>2</v>
      </c>
      <c r="L39" s="250">
        <f>'03'!B400</f>
        <v>10</v>
      </c>
      <c r="M39" s="250">
        <f>SUM('03'!D400:F400)</f>
        <v>0</v>
      </c>
      <c r="N39" s="242">
        <f t="shared" si="4"/>
        <v>1030</v>
      </c>
      <c r="O39" s="27" t="s">
        <v>3</v>
      </c>
      <c r="P39" s="250">
        <f>'04'!B400</f>
        <v>10</v>
      </c>
      <c r="Q39" s="250">
        <f>SUM('04'!D400:F400)</f>
        <v>0</v>
      </c>
      <c r="R39" s="242">
        <f t="shared" si="5"/>
        <v>1040</v>
      </c>
      <c r="S39" s="27" t="s">
        <v>99</v>
      </c>
      <c r="T39" s="250">
        <f>'05'!B400</f>
        <v>10</v>
      </c>
      <c r="U39" s="250">
        <f>SUM('05'!D400:F400)</f>
        <v>0</v>
      </c>
      <c r="V39" s="242">
        <f t="shared" si="6"/>
        <v>1050</v>
      </c>
      <c r="W39" s="27" t="s">
        <v>95</v>
      </c>
      <c r="X39" s="250">
        <f>'06'!B400</f>
        <v>10</v>
      </c>
      <c r="Y39" s="250">
        <f>SUM('06'!D400:F400)</f>
        <v>0</v>
      </c>
      <c r="Z39" s="242">
        <f t="shared" si="7"/>
        <v>1060</v>
      </c>
      <c r="AA39" s="27" t="s">
        <v>103</v>
      </c>
      <c r="AB39" s="250">
        <f>'07'!B400</f>
        <v>10</v>
      </c>
      <c r="AC39" s="250">
        <f>SUM('07'!D400:F400)</f>
        <v>0</v>
      </c>
      <c r="AD39" s="242">
        <f t="shared" si="8"/>
        <v>1070</v>
      </c>
      <c r="AE39" s="27" t="s">
        <v>104</v>
      </c>
      <c r="AF39" s="250">
        <f>'08'!B400</f>
        <v>10</v>
      </c>
      <c r="AG39" s="250">
        <f>SUM('08'!D400:F400)</f>
        <v>0</v>
      </c>
      <c r="AH39" s="242">
        <f t="shared" si="9"/>
        <v>1080</v>
      </c>
      <c r="AI39" s="27" t="s">
        <v>108</v>
      </c>
      <c r="AJ39" s="250">
        <f>'09'!B400</f>
        <v>20</v>
      </c>
      <c r="AK39" s="250">
        <f>SUM('09'!D400:F400)</f>
        <v>0</v>
      </c>
      <c r="AL39" s="242">
        <f t="shared" si="10"/>
        <v>1100</v>
      </c>
      <c r="AM39" s="27" t="s">
        <v>109</v>
      </c>
      <c r="AN39" s="250">
        <f>'10'!B400</f>
        <v>20</v>
      </c>
      <c r="AO39" s="250">
        <f>SUM('10'!D400:F400)</f>
        <v>0</v>
      </c>
      <c r="AP39" s="242">
        <f t="shared" si="11"/>
        <v>1120</v>
      </c>
      <c r="AQ39" s="27" t="s">
        <v>114</v>
      </c>
      <c r="AR39" s="250">
        <f>'11'!B400</f>
        <v>20</v>
      </c>
      <c r="AS39" s="250">
        <f>SUM('11'!D400:F400)</f>
        <v>0</v>
      </c>
      <c r="AT39" s="242">
        <f t="shared" si="12"/>
        <v>1140</v>
      </c>
      <c r="AU39" s="27" t="s">
        <v>118</v>
      </c>
      <c r="AV39" s="250">
        <f>'12'!B400</f>
        <v>20</v>
      </c>
      <c r="AW39" s="250">
        <f>SUM('12'!D400:F400)</f>
        <v>0</v>
      </c>
      <c r="AX39" s="242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236">
        <f t="shared" ca="1" si="19"/>
        <v>100</v>
      </c>
      <c r="BJ39" s="40">
        <f t="shared" ca="1" si="17"/>
        <v>2.286123436491606E-3</v>
      </c>
      <c r="BK39" s="41">
        <f t="shared" ca="1" si="20"/>
        <v>22</v>
      </c>
      <c r="BL39" s="41">
        <f t="shared" ca="1" si="21"/>
        <v>11.111111111111111</v>
      </c>
    </row>
    <row r="40" spans="1:64" ht="16.5" thickBot="1">
      <c r="A40" s="45" t="s">
        <v>65</v>
      </c>
      <c r="B40" s="287">
        <v>3403.7200000000003</v>
      </c>
      <c r="C40" s="26" t="s">
        <v>0</v>
      </c>
      <c r="D40" s="251">
        <f>'01'!B420</f>
        <v>2487.4700000000003</v>
      </c>
      <c r="E40" s="251">
        <f>SUM('01'!D420:F420)</f>
        <v>42.88</v>
      </c>
      <c r="F40" s="244">
        <f t="shared" si="2"/>
        <v>5848.31</v>
      </c>
      <c r="G40" s="26" t="s">
        <v>1</v>
      </c>
      <c r="H40" s="251">
        <f>'02'!B420</f>
        <v>-5092.08</v>
      </c>
      <c r="I40" s="251">
        <f>SUM('02'!D420:F420)</f>
        <v>56.01</v>
      </c>
      <c r="J40" s="244">
        <f t="shared" si="3"/>
        <v>700.22000000000048</v>
      </c>
      <c r="K40" s="26" t="s">
        <v>2</v>
      </c>
      <c r="L40" s="251">
        <f>'03'!B420</f>
        <v>0</v>
      </c>
      <c r="M40" s="251">
        <f>SUM('03'!D420:F420)</f>
        <v>0</v>
      </c>
      <c r="N40" s="244">
        <f>J40+L40-M40</f>
        <v>700.22000000000048</v>
      </c>
      <c r="O40" s="26" t="s">
        <v>3</v>
      </c>
      <c r="P40" s="251">
        <f>'04'!B420</f>
        <v>0.03</v>
      </c>
      <c r="Q40" s="251">
        <f>SUM('04'!D420:F420)</f>
        <v>20</v>
      </c>
      <c r="R40" s="244">
        <f t="shared" si="5"/>
        <v>680.25000000000045</v>
      </c>
      <c r="S40" s="26" t="s">
        <v>99</v>
      </c>
      <c r="T40" s="251">
        <f>'05'!B420</f>
        <v>38.64</v>
      </c>
      <c r="U40" s="251">
        <f>SUM('05'!D420:F420)</f>
        <v>0</v>
      </c>
      <c r="V40" s="244">
        <f t="shared" si="6"/>
        <v>718.89000000000044</v>
      </c>
      <c r="W40" s="26" t="s">
        <v>95</v>
      </c>
      <c r="X40" s="251">
        <f>'06'!B420</f>
        <v>0</v>
      </c>
      <c r="Y40" s="251">
        <f>SUM('06'!D420:F420)</f>
        <v>0</v>
      </c>
      <c r="Z40" s="244">
        <f t="shared" si="7"/>
        <v>718.89000000000044</v>
      </c>
      <c r="AA40" s="26" t="s">
        <v>103</v>
      </c>
      <c r="AB40" s="251">
        <f>'07'!B420</f>
        <v>0</v>
      </c>
      <c r="AC40" s="251">
        <f>SUM('07'!D420:F420)</f>
        <v>0</v>
      </c>
      <c r="AD40" s="244">
        <f t="shared" si="8"/>
        <v>718.89000000000044</v>
      </c>
      <c r="AE40" s="26" t="s">
        <v>104</v>
      </c>
      <c r="AF40" s="251">
        <f>'08'!B420</f>
        <v>0</v>
      </c>
      <c r="AG40" s="251">
        <f>SUM('08'!D420:F420)</f>
        <v>0</v>
      </c>
      <c r="AH40" s="244">
        <f t="shared" si="9"/>
        <v>718.89000000000044</v>
      </c>
      <c r="AI40" s="26" t="s">
        <v>108</v>
      </c>
      <c r="AJ40" s="251">
        <f>'09'!B420</f>
        <v>0</v>
      </c>
      <c r="AK40" s="251">
        <f>SUM('09'!D420:F420)</f>
        <v>0</v>
      </c>
      <c r="AL40" s="244">
        <f t="shared" si="10"/>
        <v>718.89000000000044</v>
      </c>
      <c r="AM40" s="26" t="s">
        <v>109</v>
      </c>
      <c r="AN40" s="251">
        <f>'10'!B420</f>
        <v>10</v>
      </c>
      <c r="AO40" s="251">
        <f>SUM('10'!D420:F420)</f>
        <v>0</v>
      </c>
      <c r="AP40" s="244">
        <f t="shared" si="11"/>
        <v>728.89000000000044</v>
      </c>
      <c r="AQ40" s="26" t="s">
        <v>114</v>
      </c>
      <c r="AR40" s="251">
        <f>'11'!B420</f>
        <v>30</v>
      </c>
      <c r="AS40" s="251">
        <f>SUM('11'!D420:F420)</f>
        <v>0</v>
      </c>
      <c r="AT40" s="244">
        <f t="shared" si="12"/>
        <v>758.89000000000044</v>
      </c>
      <c r="AU40" s="26" t="s">
        <v>118</v>
      </c>
      <c r="AV40" s="251">
        <f>'12'!B420</f>
        <v>30</v>
      </c>
      <c r="AW40" s="251">
        <f>SUM('12'!D420:F420)</f>
        <v>0</v>
      </c>
      <c r="AX40" s="244">
        <f t="shared" si="13"/>
        <v>788.89000000000044</v>
      </c>
      <c r="AY40" s="42">
        <f t="shared" si="22"/>
        <v>118.89</v>
      </c>
      <c r="AZ40" s="40">
        <f t="shared" si="15"/>
        <v>3.0195788793550104E-3</v>
      </c>
      <c r="BA40" s="41">
        <f t="shared" si="18"/>
        <v>19</v>
      </c>
      <c r="BB40" s="41">
        <f t="shared" ca="1" si="16"/>
        <v>13.21</v>
      </c>
      <c r="BI40" s="39">
        <f t="shared" ca="1" si="19"/>
        <v>-2565.9399999999996</v>
      </c>
      <c r="BJ40" s="40">
        <f t="shared" ca="1" si="17"/>
        <v>-5.8660555706312706E-2</v>
      </c>
      <c r="BK40" s="41">
        <f t="shared" ca="1" si="20"/>
        <v>26</v>
      </c>
      <c r="BL40" s="41">
        <f t="shared" ca="1" si="21"/>
        <v>-285.10444444444443</v>
      </c>
    </row>
    <row r="41" spans="1:64" ht="16.5" thickBot="1">
      <c r="A41" s="43" t="s">
        <v>29</v>
      </c>
      <c r="B41" s="286">
        <v>5305.51</v>
      </c>
      <c r="C41" s="27" t="s">
        <v>0</v>
      </c>
      <c r="D41" s="250">
        <f>'01'!B440</f>
        <v>-636.14</v>
      </c>
      <c r="E41" s="250">
        <f>SUM('01'!D440:F440)</f>
        <v>0</v>
      </c>
      <c r="F41" s="242">
        <f t="shared" si="2"/>
        <v>4669.37</v>
      </c>
      <c r="G41" s="27" t="s">
        <v>1</v>
      </c>
      <c r="H41" s="250">
        <f>'02'!B440</f>
        <v>1117.3900000000001</v>
      </c>
      <c r="I41" s="250">
        <f>SUM('02'!D440:F440)</f>
        <v>0</v>
      </c>
      <c r="J41" s="242">
        <f t="shared" si="3"/>
        <v>5786.76</v>
      </c>
      <c r="K41" s="27" t="s">
        <v>2</v>
      </c>
      <c r="L41" s="250">
        <f>'03'!B440</f>
        <v>-59.16</v>
      </c>
      <c r="M41" s="250">
        <f>SUM('03'!D440:F440)</f>
        <v>0</v>
      </c>
      <c r="N41" s="242">
        <f t="shared" si="4"/>
        <v>5727.6</v>
      </c>
      <c r="O41" s="27" t="s">
        <v>3</v>
      </c>
      <c r="P41" s="250">
        <f>'04'!B440</f>
        <v>2565.52</v>
      </c>
      <c r="Q41" s="250">
        <f>SUM('04'!D440:F440)</f>
        <v>0</v>
      </c>
      <c r="R41" s="242">
        <f t="shared" si="5"/>
        <v>8293.1200000000008</v>
      </c>
      <c r="S41" s="27" t="s">
        <v>99</v>
      </c>
      <c r="T41" s="250">
        <f>'05'!B440</f>
        <v>-250.52</v>
      </c>
      <c r="U41" s="250">
        <f>SUM('05'!D440:F440)</f>
        <v>0</v>
      </c>
      <c r="V41" s="242">
        <f t="shared" si="6"/>
        <v>8042.6</v>
      </c>
      <c r="W41" s="27" t="s">
        <v>95</v>
      </c>
      <c r="X41" s="250">
        <f>'06'!B440</f>
        <v>1436.9700000000003</v>
      </c>
      <c r="Y41" s="250">
        <f>SUM('06'!D440:F440)</f>
        <v>0</v>
      </c>
      <c r="Z41" s="242">
        <f t="shared" si="7"/>
        <v>9479.57</v>
      </c>
      <c r="AA41" s="27" t="s">
        <v>103</v>
      </c>
      <c r="AB41" s="250">
        <f>'07'!B440</f>
        <v>-190.40000000000055</v>
      </c>
      <c r="AC41" s="250">
        <f>SUM('07'!D440:F440)</f>
        <v>0</v>
      </c>
      <c r="AD41" s="242">
        <f t="shared" si="8"/>
        <v>9289.1699999999983</v>
      </c>
      <c r="AE41" s="27" t="s">
        <v>104</v>
      </c>
      <c r="AF41" s="250">
        <f>'08'!B440</f>
        <v>-1589.8899999999999</v>
      </c>
      <c r="AG41" s="250">
        <f>SUM('08'!D440:F440)</f>
        <v>0</v>
      </c>
      <c r="AH41" s="242">
        <f t="shared" si="9"/>
        <v>7699.2799999999988</v>
      </c>
      <c r="AI41" s="27" t="s">
        <v>108</v>
      </c>
      <c r="AJ41" s="250">
        <f>'09'!B440</f>
        <v>-2747.67</v>
      </c>
      <c r="AK41" s="250">
        <f>SUM('09'!D440:F440)</f>
        <v>0</v>
      </c>
      <c r="AL41" s="242">
        <f t="shared" si="10"/>
        <v>4951.6099999999988</v>
      </c>
      <c r="AM41" s="27" t="s">
        <v>109</v>
      </c>
      <c r="AN41" s="250">
        <f>'10'!B440</f>
        <v>-3928.14</v>
      </c>
      <c r="AO41" s="250">
        <f>SUM('10'!D440:F440)</f>
        <v>0</v>
      </c>
      <c r="AP41" s="242">
        <f t="shared" si="11"/>
        <v>1023.4699999999989</v>
      </c>
      <c r="AQ41" s="27" t="s">
        <v>114</v>
      </c>
      <c r="AR41" s="250">
        <f>'11'!B440</f>
        <v>0</v>
      </c>
      <c r="AS41" s="250">
        <f>SUM('11'!D440:F440)</f>
        <v>0</v>
      </c>
      <c r="AT41" s="242">
        <f t="shared" si="12"/>
        <v>1023.4699999999989</v>
      </c>
      <c r="AU41" s="27" t="s">
        <v>118</v>
      </c>
      <c r="AV41" s="250">
        <f>'12'!B440</f>
        <v>0</v>
      </c>
      <c r="AW41" s="250">
        <f>SUM('12'!D440:F440)</f>
        <v>0</v>
      </c>
      <c r="AX41" s="242">
        <f t="shared" si="13"/>
        <v>1023.4699999999989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236">
        <f t="shared" ca="1" si="19"/>
        <v>-353.90000000000009</v>
      </c>
      <c r="BJ41" s="40">
        <f t="shared" ca="1" si="17"/>
        <v>-8.0905908417437961E-3</v>
      </c>
      <c r="BK41" s="41">
        <f t="shared" ca="1" si="20"/>
        <v>25</v>
      </c>
      <c r="BL41" s="41">
        <f t="shared" ca="1" si="21"/>
        <v>-39.32222222222223</v>
      </c>
    </row>
    <row r="42" spans="1:64" ht="16.5" thickBot="1">
      <c r="A42" s="45" t="s">
        <v>263</v>
      </c>
      <c r="B42" s="287">
        <v>0</v>
      </c>
      <c r="C42" s="26" t="s">
        <v>0</v>
      </c>
      <c r="D42" s="251">
        <f>'01'!B460</f>
        <v>1800.04</v>
      </c>
      <c r="E42" s="251">
        <f>SUM('01'!D460:F460)</f>
        <v>0</v>
      </c>
      <c r="F42" s="244">
        <f t="shared" si="2"/>
        <v>1800.04</v>
      </c>
      <c r="G42" s="26" t="s">
        <v>1</v>
      </c>
      <c r="H42" s="251">
        <f>'02'!B460</f>
        <v>5092.08</v>
      </c>
      <c r="I42" s="251">
        <f>SUM('02'!D460:F460)</f>
        <v>0</v>
      </c>
      <c r="J42" s="244">
        <f t="shared" si="3"/>
        <v>6892.12</v>
      </c>
      <c r="K42" s="26" t="s">
        <v>2</v>
      </c>
      <c r="L42" s="251">
        <f>'03'!B460</f>
        <v>0</v>
      </c>
      <c r="M42" s="251">
        <f>SUM('03'!D460:F460)</f>
        <v>0</v>
      </c>
      <c r="N42" s="244">
        <f t="shared" si="4"/>
        <v>6892.12</v>
      </c>
      <c r="O42" s="26" t="s">
        <v>3</v>
      </c>
      <c r="P42" s="251">
        <f>'04'!B460</f>
        <v>0</v>
      </c>
      <c r="Q42" s="251">
        <f>SUM('04'!D460:F460)</f>
        <v>0</v>
      </c>
      <c r="R42" s="244">
        <f t="shared" si="5"/>
        <v>6892.12</v>
      </c>
      <c r="S42" s="26" t="s">
        <v>99</v>
      </c>
      <c r="T42" s="251">
        <f>'05'!B460</f>
        <v>0</v>
      </c>
      <c r="U42" s="251">
        <f>SUM('05'!D460:F460)</f>
        <v>0</v>
      </c>
      <c r="V42" s="244">
        <f t="shared" si="6"/>
        <v>6892.12</v>
      </c>
      <c r="W42" s="26" t="s">
        <v>95</v>
      </c>
      <c r="X42" s="251">
        <f>'06'!B460</f>
        <v>0</v>
      </c>
      <c r="Y42" s="251">
        <f>SUM('06'!D460:F460)</f>
        <v>0</v>
      </c>
      <c r="Z42" s="244">
        <f t="shared" si="7"/>
        <v>6892.12</v>
      </c>
      <c r="AA42" s="26" t="s">
        <v>103</v>
      </c>
      <c r="AB42" s="251">
        <f>'07'!B460</f>
        <v>0</v>
      </c>
      <c r="AC42" s="251">
        <f>SUM('07'!D460:F460)</f>
        <v>0</v>
      </c>
      <c r="AD42" s="244">
        <f t="shared" si="8"/>
        <v>6892.12</v>
      </c>
      <c r="AE42" s="26" t="s">
        <v>104</v>
      </c>
      <c r="AF42" s="251">
        <f>'08'!B460</f>
        <v>0</v>
      </c>
      <c r="AG42" s="251">
        <f>SUM('08'!D460:F460)</f>
        <v>0</v>
      </c>
      <c r="AH42" s="244">
        <f t="shared" si="9"/>
        <v>6892.12</v>
      </c>
      <c r="AI42" s="26" t="s">
        <v>108</v>
      </c>
      <c r="AJ42" s="251">
        <f>'09'!B460</f>
        <v>0</v>
      </c>
      <c r="AK42" s="251">
        <f>SUM('09'!D460:F460)</f>
        <v>0</v>
      </c>
      <c r="AL42" s="244">
        <f t="shared" si="10"/>
        <v>6892.12</v>
      </c>
      <c r="AM42" s="26" t="s">
        <v>109</v>
      </c>
      <c r="AN42" s="251">
        <f>'10'!B460</f>
        <v>0</v>
      </c>
      <c r="AO42" s="251">
        <f>SUM('10'!D460:F460)</f>
        <v>0</v>
      </c>
      <c r="AP42" s="244">
        <f t="shared" si="11"/>
        <v>6892.12</v>
      </c>
      <c r="AQ42" s="26" t="s">
        <v>114</v>
      </c>
      <c r="AR42" s="251">
        <f>'11'!B460</f>
        <v>0</v>
      </c>
      <c r="AS42" s="251">
        <f>SUM('11'!D460:F460)</f>
        <v>0</v>
      </c>
      <c r="AT42" s="244">
        <f t="shared" si="12"/>
        <v>6892.12</v>
      </c>
      <c r="AU42" s="26" t="s">
        <v>118</v>
      </c>
      <c r="AV42" s="251">
        <f>'12'!B460</f>
        <v>0</v>
      </c>
      <c r="AW42" s="251">
        <f>SUM('12'!D460:F460)</f>
        <v>0</v>
      </c>
      <c r="AX42" s="244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0.15756237059112527</v>
      </c>
      <c r="BK42" s="41">
        <f t="shared" ca="1" si="20"/>
        <v>2</v>
      </c>
      <c r="BL42" s="41">
        <f t="shared" ca="1" si="21"/>
        <v>765.79111111111115</v>
      </c>
    </row>
    <row r="43" spans="1:64" ht="16.5" thickBot="1">
      <c r="A43" s="50" t="s">
        <v>468</v>
      </c>
      <c r="B43" s="288">
        <v>0</v>
      </c>
      <c r="C43" s="27" t="s">
        <v>0</v>
      </c>
      <c r="D43" s="240">
        <f>'01'!B480</f>
        <v>0</v>
      </c>
      <c r="E43" s="240">
        <f>SUM('01'!D480:F480)</f>
        <v>0</v>
      </c>
      <c r="F43" s="242">
        <f t="shared" si="2"/>
        <v>0</v>
      </c>
      <c r="G43" s="27" t="s">
        <v>1</v>
      </c>
      <c r="H43" s="240">
        <f>'02'!B480</f>
        <v>0</v>
      </c>
      <c r="I43" s="240">
        <f>SUM('02'!D480:F480)</f>
        <v>0</v>
      </c>
      <c r="J43" s="242">
        <f t="shared" si="3"/>
        <v>0</v>
      </c>
      <c r="K43" s="27" t="s">
        <v>2</v>
      </c>
      <c r="L43" s="240">
        <f>'03'!B480</f>
        <v>0</v>
      </c>
      <c r="M43" s="240">
        <f>SUM('03'!D480:F480)</f>
        <v>0</v>
      </c>
      <c r="N43" s="242">
        <f t="shared" si="4"/>
        <v>0</v>
      </c>
      <c r="O43" s="27" t="s">
        <v>3</v>
      </c>
      <c r="P43" s="240">
        <f>'04'!B480</f>
        <v>0</v>
      </c>
      <c r="Q43" s="240">
        <f>SUM('04'!D480:F480)</f>
        <v>0</v>
      </c>
      <c r="R43" s="242">
        <f t="shared" si="5"/>
        <v>0</v>
      </c>
      <c r="S43" s="27" t="s">
        <v>99</v>
      </c>
      <c r="T43" s="240">
        <f>'05'!B480</f>
        <v>0</v>
      </c>
      <c r="U43" s="240">
        <f>SUM('05'!D480:F480)</f>
        <v>0</v>
      </c>
      <c r="V43" s="242">
        <f t="shared" si="6"/>
        <v>0</v>
      </c>
      <c r="W43" s="27" t="s">
        <v>95</v>
      </c>
      <c r="X43" s="240">
        <f>'06'!B480</f>
        <v>0</v>
      </c>
      <c r="Y43" s="240">
        <f>SUM('06'!D480:F480)</f>
        <v>0</v>
      </c>
      <c r="Z43" s="242">
        <f t="shared" si="7"/>
        <v>0</v>
      </c>
      <c r="AA43" s="27" t="s">
        <v>103</v>
      </c>
      <c r="AB43" s="240">
        <f>'07'!B480</f>
        <v>0</v>
      </c>
      <c r="AC43" s="240">
        <f>SUM('07'!D480:F480)</f>
        <v>0</v>
      </c>
      <c r="AD43" s="242">
        <f t="shared" si="8"/>
        <v>0</v>
      </c>
      <c r="AE43" s="27" t="s">
        <v>104</v>
      </c>
      <c r="AF43" s="240">
        <f>'08'!B480</f>
        <v>315</v>
      </c>
      <c r="AG43" s="240">
        <f>SUM('08'!D480:F480)</f>
        <v>0</v>
      </c>
      <c r="AH43" s="242">
        <f t="shared" si="9"/>
        <v>315</v>
      </c>
      <c r="AI43" s="27" t="s">
        <v>108</v>
      </c>
      <c r="AJ43" s="240">
        <f>'09'!B480</f>
        <v>56</v>
      </c>
      <c r="AK43" s="240">
        <f>SUM('09'!D480:F480)</f>
        <v>100</v>
      </c>
      <c r="AL43" s="242">
        <f t="shared" si="10"/>
        <v>271</v>
      </c>
      <c r="AM43" s="27" t="s">
        <v>109</v>
      </c>
      <c r="AN43" s="240">
        <f>'10'!B480</f>
        <v>55</v>
      </c>
      <c r="AO43" s="240">
        <f>SUM('10'!D480:F480)</f>
        <v>0</v>
      </c>
      <c r="AP43" s="242">
        <f t="shared" si="11"/>
        <v>326</v>
      </c>
      <c r="AQ43" s="27" t="s">
        <v>114</v>
      </c>
      <c r="AR43" s="240">
        <f>'11'!B480</f>
        <v>50</v>
      </c>
      <c r="AS43" s="240">
        <f>SUM('11'!D480:F480)</f>
        <v>0</v>
      </c>
      <c r="AT43" s="242">
        <f t="shared" si="12"/>
        <v>376</v>
      </c>
      <c r="AU43" s="27" t="s">
        <v>118</v>
      </c>
      <c r="AV43" s="240">
        <f>'12'!B480</f>
        <v>50</v>
      </c>
      <c r="AW43" s="240">
        <f>SUM('12'!D480:F480)</f>
        <v>0</v>
      </c>
      <c r="AX43" s="242">
        <f t="shared" si="13"/>
        <v>426</v>
      </c>
      <c r="AY43" s="44">
        <f t="shared" si="22"/>
        <v>100</v>
      </c>
      <c r="AZ43" s="40">
        <f t="shared" si="15"/>
        <v>2.5398089657288339E-3</v>
      </c>
      <c r="BA43" s="41">
        <f t="shared" si="18"/>
        <v>20</v>
      </c>
      <c r="BB43" s="41">
        <f t="shared" ca="1" si="16"/>
        <v>11.111111111111111</v>
      </c>
      <c r="BI43" s="236">
        <f t="shared" ca="1" si="19"/>
        <v>371</v>
      </c>
      <c r="BJ43" s="40">
        <f t="shared" ca="1" si="17"/>
        <v>8.4815179493838589E-3</v>
      </c>
      <c r="BK43" s="41">
        <f t="shared" ca="1" si="20"/>
        <v>17</v>
      </c>
      <c r="BL43" s="41">
        <f t="shared" ca="1" si="21"/>
        <v>41.222222222222221</v>
      </c>
    </row>
    <row r="44" spans="1:64" ht="16.5" thickBot="1">
      <c r="A44" s="75" t="s">
        <v>31</v>
      </c>
      <c r="B44" s="289">
        <v>0</v>
      </c>
      <c r="C44" s="26" t="s">
        <v>0</v>
      </c>
      <c r="D44" s="252">
        <f>'01'!B500</f>
        <v>0</v>
      </c>
      <c r="E44" s="252">
        <f>SUM('01'!D500:F500)</f>
        <v>0</v>
      </c>
      <c r="F44" s="253">
        <f t="shared" si="2"/>
        <v>0</v>
      </c>
      <c r="G44" s="26" t="s">
        <v>1</v>
      </c>
      <c r="H44" s="252">
        <f>'02'!B500</f>
        <v>0</v>
      </c>
      <c r="I44" s="252">
        <f>SUM('02'!D500:F500)</f>
        <v>0</v>
      </c>
      <c r="J44" s="253">
        <f t="shared" si="3"/>
        <v>0</v>
      </c>
      <c r="K44" s="26" t="s">
        <v>2</v>
      </c>
      <c r="L44" s="252">
        <f>'03'!B500</f>
        <v>0</v>
      </c>
      <c r="M44" s="252">
        <f>SUM('03'!D500:F500)</f>
        <v>0</v>
      </c>
      <c r="N44" s="253">
        <f t="shared" si="4"/>
        <v>0</v>
      </c>
      <c r="O44" s="26" t="s">
        <v>3</v>
      </c>
      <c r="P44" s="252">
        <f>'04'!B500</f>
        <v>0</v>
      </c>
      <c r="Q44" s="252">
        <f>SUM('04'!D500:F500)</f>
        <v>0</v>
      </c>
      <c r="R44" s="253">
        <f t="shared" si="5"/>
        <v>0</v>
      </c>
      <c r="S44" s="26" t="s">
        <v>99</v>
      </c>
      <c r="T44" s="252">
        <f>'05'!B500</f>
        <v>0</v>
      </c>
      <c r="U44" s="252">
        <f>SUM('05'!D500:F500)</f>
        <v>0</v>
      </c>
      <c r="V44" s="253">
        <f t="shared" si="6"/>
        <v>0</v>
      </c>
      <c r="W44" s="26" t="s">
        <v>95</v>
      </c>
      <c r="X44" s="252">
        <f>'06'!B500</f>
        <v>0</v>
      </c>
      <c r="Y44" s="252">
        <f>SUM('06'!D500:F500)</f>
        <v>0</v>
      </c>
      <c r="Z44" s="253">
        <f t="shared" si="7"/>
        <v>0</v>
      </c>
      <c r="AA44" s="26" t="s">
        <v>103</v>
      </c>
      <c r="AB44" s="252">
        <f>'07'!B500</f>
        <v>0</v>
      </c>
      <c r="AC44" s="252">
        <f>SUM('07'!D500:F500)</f>
        <v>0</v>
      </c>
      <c r="AD44" s="253">
        <f t="shared" si="8"/>
        <v>0</v>
      </c>
      <c r="AE44" s="26" t="s">
        <v>104</v>
      </c>
      <c r="AF44" s="252">
        <f>'08'!B500</f>
        <v>0</v>
      </c>
      <c r="AG44" s="252">
        <f>SUM('08'!D500:F500)</f>
        <v>0</v>
      </c>
      <c r="AH44" s="253">
        <f t="shared" si="9"/>
        <v>0</v>
      </c>
      <c r="AI44" s="26" t="s">
        <v>108</v>
      </c>
      <c r="AJ44" s="252">
        <f>'09'!B500</f>
        <v>0</v>
      </c>
      <c r="AK44" s="252">
        <f>SUM('09'!D500:F500)</f>
        <v>0</v>
      </c>
      <c r="AL44" s="253">
        <f t="shared" si="10"/>
        <v>0</v>
      </c>
      <c r="AM44" s="26" t="s">
        <v>109</v>
      </c>
      <c r="AN44" s="252">
        <f>'10'!B500</f>
        <v>0</v>
      </c>
      <c r="AO44" s="252">
        <f>SUM('10'!D500:F500)</f>
        <v>0</v>
      </c>
      <c r="AP44" s="253">
        <f t="shared" si="11"/>
        <v>0</v>
      </c>
      <c r="AQ44" s="26" t="s">
        <v>114</v>
      </c>
      <c r="AR44" s="252">
        <f>'11'!B500</f>
        <v>0</v>
      </c>
      <c r="AS44" s="252">
        <f>SUM('11'!D500:F500)</f>
        <v>0</v>
      </c>
      <c r="AT44" s="253">
        <f t="shared" si="12"/>
        <v>0</v>
      </c>
      <c r="AU44" s="26" t="s">
        <v>118</v>
      </c>
      <c r="AV44" s="252">
        <f>'12'!B500</f>
        <v>0</v>
      </c>
      <c r="AW44" s="252">
        <f>SUM('12'!D500:F500)</f>
        <v>0</v>
      </c>
      <c r="AX44" s="253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90">
        <v>68.220000000000027</v>
      </c>
      <c r="C45" s="77" t="s">
        <v>0</v>
      </c>
      <c r="D45" s="254">
        <f>'01'!B520</f>
        <v>10</v>
      </c>
      <c r="E45" s="255">
        <f>SUM('01'!D520:F520)</f>
        <v>0</v>
      </c>
      <c r="F45" s="256">
        <f t="shared" si="2"/>
        <v>78.220000000000027</v>
      </c>
      <c r="G45" s="77" t="s">
        <v>1</v>
      </c>
      <c r="H45" s="254">
        <f>'02'!B520</f>
        <v>10</v>
      </c>
      <c r="I45" s="255">
        <f>SUM('02'!D520:F520)</f>
        <v>0</v>
      </c>
      <c r="J45" s="256">
        <f t="shared" si="3"/>
        <v>88.220000000000027</v>
      </c>
      <c r="K45" s="77" t="s">
        <v>2</v>
      </c>
      <c r="L45" s="254">
        <f>'03'!B520</f>
        <v>10</v>
      </c>
      <c r="M45" s="255">
        <f>SUM('03'!D520:F520)</f>
        <v>3.5</v>
      </c>
      <c r="N45" s="256">
        <f t="shared" si="4"/>
        <v>94.720000000000027</v>
      </c>
      <c r="O45" s="77" t="s">
        <v>3</v>
      </c>
      <c r="P45" s="254">
        <f>'04'!B520</f>
        <v>10</v>
      </c>
      <c r="Q45" s="255">
        <f>SUM('04'!D520:F520)</f>
        <v>0</v>
      </c>
      <c r="R45" s="256">
        <f t="shared" si="5"/>
        <v>104.72000000000003</v>
      </c>
      <c r="S45" s="77" t="s">
        <v>99</v>
      </c>
      <c r="T45" s="254">
        <f>'05'!B520</f>
        <v>0</v>
      </c>
      <c r="U45" s="255">
        <f>SUM('05'!D520:F520)</f>
        <v>0</v>
      </c>
      <c r="V45" s="256">
        <f t="shared" si="6"/>
        <v>104.72000000000003</v>
      </c>
      <c r="W45" s="77" t="s">
        <v>95</v>
      </c>
      <c r="X45" s="254">
        <f>'06'!B520</f>
        <v>0</v>
      </c>
      <c r="Y45" s="255">
        <f>SUM('06'!D520:F520)</f>
        <v>0</v>
      </c>
      <c r="Z45" s="256">
        <f t="shared" si="7"/>
        <v>104.72000000000003</v>
      </c>
      <c r="AA45" s="77" t="s">
        <v>103</v>
      </c>
      <c r="AB45" s="254">
        <f>'07'!B520</f>
        <v>0</v>
      </c>
      <c r="AC45" s="255">
        <f>SUM('07'!D520:F520)</f>
        <v>67.8</v>
      </c>
      <c r="AD45" s="256">
        <f t="shared" si="8"/>
        <v>36.92000000000003</v>
      </c>
      <c r="AE45" s="77" t="s">
        <v>104</v>
      </c>
      <c r="AF45" s="254">
        <f>'08'!B520</f>
        <v>10</v>
      </c>
      <c r="AG45" s="255">
        <f>SUM('08'!D520:F520)</f>
        <v>0</v>
      </c>
      <c r="AH45" s="256">
        <f t="shared" si="9"/>
        <v>46.92000000000003</v>
      </c>
      <c r="AI45" s="77" t="s">
        <v>108</v>
      </c>
      <c r="AJ45" s="254">
        <f>'09'!B520</f>
        <v>49</v>
      </c>
      <c r="AK45" s="255">
        <f>SUM('09'!D520:F520)</f>
        <v>0</v>
      </c>
      <c r="AL45" s="256">
        <f t="shared" si="10"/>
        <v>95.92000000000003</v>
      </c>
      <c r="AM45" s="77" t="s">
        <v>109</v>
      </c>
      <c r="AN45" s="254">
        <f>'10'!B520</f>
        <v>0</v>
      </c>
      <c r="AO45" s="255">
        <f>SUM('10'!D520:F520)</f>
        <v>0</v>
      </c>
      <c r="AP45" s="256">
        <f t="shared" si="11"/>
        <v>95.92000000000003</v>
      </c>
      <c r="AQ45" s="77" t="s">
        <v>114</v>
      </c>
      <c r="AR45" s="254">
        <f>'11'!B520</f>
        <v>0</v>
      </c>
      <c r="AS45" s="255">
        <f>SUM('11'!D520:F520)</f>
        <v>0</v>
      </c>
      <c r="AT45" s="256">
        <f t="shared" si="12"/>
        <v>95.92000000000003</v>
      </c>
      <c r="AU45" s="77" t="s">
        <v>118</v>
      </c>
      <c r="AV45" s="254">
        <f>'12'!B520</f>
        <v>0</v>
      </c>
      <c r="AW45" s="255">
        <f>SUM('12'!D520:F520)</f>
        <v>0</v>
      </c>
      <c r="AX45" s="256">
        <f t="shared" si="13"/>
        <v>95.92000000000003</v>
      </c>
      <c r="AY45" s="78">
        <f t="shared" si="22"/>
        <v>71.3</v>
      </c>
      <c r="AZ45" s="40">
        <f t="shared" si="15"/>
        <v>1.8108837925646583E-3</v>
      </c>
      <c r="BA45" s="41">
        <f t="shared" si="18"/>
        <v>21</v>
      </c>
      <c r="BB45" s="41">
        <f t="shared" ca="1" si="16"/>
        <v>7.9222222222222216</v>
      </c>
      <c r="BI45" s="236">
        <f t="shared" ca="1" si="19"/>
        <v>99</v>
      </c>
      <c r="BJ45" s="40">
        <f t="shared" ca="1" si="17"/>
        <v>2.2632622021266902E-3</v>
      </c>
      <c r="BK45" s="41">
        <f t="shared" ca="1" si="20"/>
        <v>23</v>
      </c>
      <c r="BL45" s="41">
        <f t="shared" ca="1" si="21"/>
        <v>11</v>
      </c>
    </row>
    <row r="46" spans="1:64" ht="17.25" thickTop="1" thickBot="1">
      <c r="A46" s="80" t="s">
        <v>5</v>
      </c>
      <c r="B46" s="291">
        <f>SUM(B20:B45)</f>
        <v>17336.68</v>
      </c>
      <c r="C46" s="81"/>
      <c r="D46" s="257">
        <f>SUM(D20:D45)</f>
        <v>9364.27</v>
      </c>
      <c r="E46" s="257">
        <f>SUM(E20:E45)</f>
        <v>6483.9500000000007</v>
      </c>
      <c r="F46" s="258">
        <f>SUM(F20:F45)</f>
        <v>20217</v>
      </c>
      <c r="G46" s="81"/>
      <c r="H46" s="257">
        <f>SUM(H20:H45)</f>
        <v>5516.34</v>
      </c>
      <c r="I46" s="257">
        <f>SUM(I20:I45)</f>
        <v>4518.7700000000013</v>
      </c>
      <c r="J46" s="258">
        <f>SUM(J20:J45)</f>
        <v>21214.570000000003</v>
      </c>
      <c r="K46" s="81"/>
      <c r="L46" s="257">
        <f>SUM(L20:L45)</f>
        <v>3826.44</v>
      </c>
      <c r="M46" s="257">
        <f>SUM(M20:M45)</f>
        <v>4321.1000000000004</v>
      </c>
      <c r="N46" s="258">
        <f>SUM(N20:N45)</f>
        <v>20719.91</v>
      </c>
      <c r="O46" s="81"/>
      <c r="P46" s="257">
        <f>SUM(P20:P45)</f>
        <v>6525.65</v>
      </c>
      <c r="Q46" s="257">
        <f>SUM(Q20:Q45)</f>
        <v>4339.7</v>
      </c>
      <c r="R46" s="258">
        <f>SUM(R20:R45)</f>
        <v>22905.86</v>
      </c>
      <c r="S46" s="81"/>
      <c r="T46" s="257">
        <f>SUM(T20:T45)</f>
        <v>3996.6700000000005</v>
      </c>
      <c r="U46" s="257">
        <f>SUM(U20:U45)</f>
        <v>3280.39</v>
      </c>
      <c r="V46" s="258">
        <f>SUM(V20:V45)</f>
        <v>23622.14</v>
      </c>
      <c r="W46" s="81"/>
      <c r="X46" s="257">
        <f>SUM(X20:X45)</f>
        <v>5438.31</v>
      </c>
      <c r="Y46" s="257">
        <f>SUM(Y20:Y45)</f>
        <v>4148.8899999999994</v>
      </c>
      <c r="Z46" s="258">
        <f>SUM(Z20:Z45)</f>
        <v>24911.56</v>
      </c>
      <c r="AA46" s="81"/>
      <c r="AB46" s="257">
        <f>SUM(AB20:AB45)</f>
        <v>4427.8999999999996</v>
      </c>
      <c r="AC46" s="257">
        <f>SUM(AC20:AC45)</f>
        <v>4850.7100000000009</v>
      </c>
      <c r="AD46" s="258">
        <f>SUM(AD20:AD45)</f>
        <v>24488.749999999996</v>
      </c>
      <c r="AE46" s="81"/>
      <c r="AF46" s="257">
        <f>SUM(AF20:AF45)</f>
        <v>3385.5500000000006</v>
      </c>
      <c r="AG46" s="257">
        <f>SUM(AG20:AG45)</f>
        <v>3261.04</v>
      </c>
      <c r="AH46" s="258">
        <f>SUM(AH20:AH45)</f>
        <v>24613.26</v>
      </c>
      <c r="AI46" s="81"/>
      <c r="AJ46" s="257">
        <f>SUM(AJ20:AJ45)</f>
        <v>1261.04</v>
      </c>
      <c r="AK46" s="257">
        <f>SUM(AK20:AK45)</f>
        <v>4168.49</v>
      </c>
      <c r="AL46" s="258">
        <f>SUM(AL20:AL45)</f>
        <v>21705.809999999994</v>
      </c>
      <c r="AM46" s="81"/>
      <c r="AN46" s="257">
        <f>SUM(AN20:AN45)</f>
        <v>0</v>
      </c>
      <c r="AO46" s="257">
        <f>SUM(AO20:AO45)</f>
        <v>0</v>
      </c>
      <c r="AP46" s="258">
        <f>SUM(AP20:AP45)</f>
        <v>21705.809999999998</v>
      </c>
      <c r="AQ46" s="81"/>
      <c r="AR46" s="257">
        <f>SUM(AR20:AR45)</f>
        <v>3900</v>
      </c>
      <c r="AS46" s="257">
        <f>SUM(AS20:AS45)</f>
        <v>0</v>
      </c>
      <c r="AT46" s="258">
        <f>SUM(AT20:AT45)</f>
        <v>25605.80999999999</v>
      </c>
      <c r="AU46" s="81"/>
      <c r="AV46" s="257">
        <f>SUM(AV20:AV45)</f>
        <v>3900</v>
      </c>
      <c r="AW46" s="257">
        <f>SUM(AW20:AW45)</f>
        <v>0</v>
      </c>
      <c r="AX46" s="258">
        <f>SUM(AX20:AX45)</f>
        <v>29505.809999999994</v>
      </c>
      <c r="AY46" s="28">
        <f>SUM(AY20:AY45)</f>
        <v>39373.040000000001</v>
      </c>
      <c r="AZ46" s="1"/>
      <c r="BA46" s="1"/>
      <c r="BB46" s="237">
        <f ca="1">SUM(BB20:BB45)</f>
        <v>4374.782222222223</v>
      </c>
      <c r="BI46" s="28">
        <f ca="1">SUM(BI20:BI45)</f>
        <v>43742.169999999984</v>
      </c>
      <c r="BJ46" s="1"/>
      <c r="BK46" s="1"/>
      <c r="BL46" s="237">
        <f ca="1">SUM(BL20:BL45)</f>
        <v>4860.2411111111123</v>
      </c>
    </row>
    <row r="47" spans="1:64" s="68" customFormat="1" ht="12.75">
      <c r="A47" s="67" t="s">
        <v>314</v>
      </c>
      <c r="B47" s="259"/>
      <c r="C47" s="259">
        <f>C5-B46</f>
        <v>0</v>
      </c>
      <c r="D47" s="259">
        <f>C17-D46</f>
        <v>0</v>
      </c>
      <c r="E47" s="259">
        <f>C17-E46</f>
        <v>2880.3199999999997</v>
      </c>
      <c r="F47" s="259"/>
      <c r="G47" s="259">
        <f>G5-F46</f>
        <v>0</v>
      </c>
      <c r="H47" s="259">
        <f>G17-H46</f>
        <v>0</v>
      </c>
      <c r="I47" s="259">
        <f>G17-I46</f>
        <v>997.56999999999971</v>
      </c>
      <c r="J47" s="259"/>
      <c r="K47" s="259">
        <f>K5-J46</f>
        <v>0</v>
      </c>
      <c r="L47" s="259">
        <f>K17-L46</f>
        <v>0</v>
      </c>
      <c r="M47" s="259">
        <f>K17-M46</f>
        <v>-494.66000000000031</v>
      </c>
      <c r="N47" s="259"/>
      <c r="O47" s="259">
        <f>O5-N46</f>
        <v>0</v>
      </c>
      <c r="P47" s="259">
        <f>O17-P46</f>
        <v>0</v>
      </c>
      <c r="Q47" s="259">
        <f>O17-Q46</f>
        <v>2185.9500000000007</v>
      </c>
      <c r="R47" s="259"/>
      <c r="S47" s="259">
        <f>S5-R46</f>
        <v>0</v>
      </c>
      <c r="T47" s="259">
        <f>S17-T46</f>
        <v>0.99999999999954525</v>
      </c>
      <c r="U47" s="259">
        <f>S17-U46</f>
        <v>717.2800000000002</v>
      </c>
      <c r="V47" s="259"/>
      <c r="W47" s="259">
        <f>W5-V46</f>
        <v>0</v>
      </c>
      <c r="X47" s="259">
        <f>W17-X46</f>
        <v>0</v>
      </c>
      <c r="Y47" s="259">
        <f>W17-Y46</f>
        <v>1289.420000000001</v>
      </c>
      <c r="Z47" s="259"/>
      <c r="AA47" s="259">
        <f>AA5-Z46</f>
        <v>0</v>
      </c>
      <c r="AB47" s="259">
        <f>AA17-AB46</f>
        <v>0</v>
      </c>
      <c r="AC47" s="259">
        <f>AA17-AC46</f>
        <v>-422.81000000000131</v>
      </c>
      <c r="AD47" s="259"/>
      <c r="AE47" s="259">
        <f>AE5-AD46</f>
        <v>0</v>
      </c>
      <c r="AF47" s="259">
        <f>AE17-AF46</f>
        <v>0</v>
      </c>
      <c r="AG47" s="259">
        <f>AE17-AG46</f>
        <v>124.50999999999976</v>
      </c>
      <c r="AH47" s="259"/>
      <c r="AI47" s="259">
        <f>AI5-AH46</f>
        <v>0</v>
      </c>
      <c r="AJ47" s="259">
        <f>AI17-AJ46</f>
        <v>0</v>
      </c>
      <c r="AK47" s="259">
        <f>AI17-AK46</f>
        <v>-2907.45</v>
      </c>
      <c r="AL47" s="259"/>
      <c r="AM47" s="259">
        <f>AM5-AL46</f>
        <v>-6603.9199999999928</v>
      </c>
      <c r="AN47" s="259">
        <f>AM17-AN46</f>
        <v>0</v>
      </c>
      <c r="AO47" s="259">
        <f>AM17-AO46</f>
        <v>0</v>
      </c>
      <c r="AP47" s="259"/>
      <c r="AQ47" s="259">
        <f>AQ5-AP46</f>
        <v>-6603.9199999999964</v>
      </c>
      <c r="AR47" s="259">
        <f>AQ17-AR46</f>
        <v>-3900</v>
      </c>
      <c r="AS47" s="259">
        <f>AQ17-AS46</f>
        <v>0</v>
      </c>
      <c r="AT47" s="259"/>
      <c r="AU47" s="259">
        <f>AU5-AT46</f>
        <v>-10503.919999999989</v>
      </c>
      <c r="AV47" s="259">
        <f>AU17-AV46</f>
        <v>-3900</v>
      </c>
      <c r="AW47" s="259">
        <f>AU17-AW46</f>
        <v>0</v>
      </c>
      <c r="AX47" s="259"/>
      <c r="AY47" s="259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628</v>
      </c>
      <c r="AW48" s="5"/>
      <c r="AX48" s="5"/>
      <c r="AY48" s="163">
        <v>46128</v>
      </c>
      <c r="AZ48" s="163"/>
      <c r="BA48" s="1" t="s">
        <v>629</v>
      </c>
      <c r="BB48" s="163">
        <f ca="1">12*BB46</f>
        <v>52497.386666666673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340.93999999999994</v>
      </c>
      <c r="AL50" s="170"/>
      <c r="AM50" s="170"/>
      <c r="AN50" s="170"/>
      <c r="AO50" s="170">
        <f>AO22</f>
        <v>0</v>
      </c>
      <c r="AP50" s="170"/>
      <c r="AQ50" s="170"/>
      <c r="AR50" s="170"/>
      <c r="AS50" s="170">
        <f>AS22</f>
        <v>0</v>
      </c>
      <c r="AT50" s="170"/>
      <c r="AU50" s="170"/>
      <c r="AV50" s="170"/>
      <c r="AW50" s="170">
        <f>AW22</f>
        <v>0</v>
      </c>
      <c r="AX50" s="170"/>
      <c r="AY50" s="170"/>
    </row>
    <row r="51" spans="1:61" ht="15.75" thickBot="1"/>
    <row r="52" spans="1:61">
      <c r="C52" s="179" t="s">
        <v>197</v>
      </c>
      <c r="D52" s="180"/>
      <c r="E52" s="180"/>
      <c r="F52" s="181"/>
      <c r="G52" s="179" t="s">
        <v>197</v>
      </c>
      <c r="H52" s="180"/>
      <c r="I52" s="180"/>
      <c r="J52" s="181"/>
      <c r="K52" s="179" t="s">
        <v>197</v>
      </c>
      <c r="L52" s="180"/>
      <c r="M52" s="180"/>
      <c r="N52" s="181"/>
      <c r="O52" s="179" t="s">
        <v>197</v>
      </c>
      <c r="P52" s="180"/>
      <c r="Q52" s="180"/>
      <c r="R52" s="181"/>
      <c r="S52" s="179" t="s">
        <v>197</v>
      </c>
      <c r="T52" s="180"/>
      <c r="U52" s="180"/>
      <c r="V52" s="181"/>
      <c r="W52" s="179" t="s">
        <v>197</v>
      </c>
      <c r="X52" s="180"/>
      <c r="Y52" s="180"/>
      <c r="Z52" s="181"/>
      <c r="AA52" s="179" t="s">
        <v>197</v>
      </c>
      <c r="AB52" s="180"/>
      <c r="AC52" s="180"/>
      <c r="AD52" s="181"/>
      <c r="AE52" s="179" t="s">
        <v>197</v>
      </c>
      <c r="AF52" s="180"/>
      <c r="AG52" s="180"/>
      <c r="AH52" s="181"/>
      <c r="AI52" s="179" t="s">
        <v>197</v>
      </c>
      <c r="AJ52" s="180"/>
      <c r="AK52" s="180"/>
      <c r="AL52" s="181"/>
      <c r="AM52" s="179" t="s">
        <v>197</v>
      </c>
      <c r="AN52" s="180"/>
      <c r="AO52" s="180"/>
      <c r="AP52" s="181"/>
      <c r="AQ52" s="179" t="s">
        <v>197</v>
      </c>
      <c r="AR52" s="180"/>
      <c r="AS52" s="180"/>
      <c r="AT52" s="181"/>
      <c r="AU52" s="179" t="s">
        <v>197</v>
      </c>
      <c r="AV52" s="180"/>
      <c r="AW52" s="180"/>
      <c r="AX52" s="181"/>
    </row>
    <row r="53" spans="1:61" ht="15.75" thickBot="1">
      <c r="C53" s="141" t="s">
        <v>198</v>
      </c>
      <c r="D53" s="182" t="s">
        <v>33</v>
      </c>
      <c r="E53" s="183"/>
      <c r="F53" s="142" t="s">
        <v>134</v>
      </c>
      <c r="G53" s="141" t="s">
        <v>198</v>
      </c>
      <c r="H53" s="182" t="s">
        <v>33</v>
      </c>
      <c r="I53" s="183"/>
      <c r="J53" s="142" t="s">
        <v>134</v>
      </c>
      <c r="K53" s="141" t="s">
        <v>198</v>
      </c>
      <c r="L53" s="182" t="s">
        <v>33</v>
      </c>
      <c r="M53" s="183"/>
      <c r="N53" s="142" t="s">
        <v>134</v>
      </c>
      <c r="O53" s="141" t="s">
        <v>198</v>
      </c>
      <c r="P53" s="182" t="s">
        <v>33</v>
      </c>
      <c r="Q53" s="183"/>
      <c r="R53" s="142" t="s">
        <v>134</v>
      </c>
      <c r="S53" s="141" t="s">
        <v>198</v>
      </c>
      <c r="T53" s="182" t="s">
        <v>33</v>
      </c>
      <c r="U53" s="183"/>
      <c r="V53" s="142" t="s">
        <v>134</v>
      </c>
      <c r="W53" s="141" t="s">
        <v>198</v>
      </c>
      <c r="X53" s="182" t="s">
        <v>33</v>
      </c>
      <c r="Y53" s="183"/>
      <c r="Z53" s="142" t="s">
        <v>134</v>
      </c>
      <c r="AA53" s="141" t="s">
        <v>198</v>
      </c>
      <c r="AB53" s="182" t="s">
        <v>33</v>
      </c>
      <c r="AC53" s="183"/>
      <c r="AD53" s="142" t="s">
        <v>134</v>
      </c>
      <c r="AE53" s="141" t="s">
        <v>198</v>
      </c>
      <c r="AF53" s="182" t="s">
        <v>33</v>
      </c>
      <c r="AG53" s="183"/>
      <c r="AH53" s="142" t="s">
        <v>134</v>
      </c>
      <c r="AI53" s="141" t="s">
        <v>198</v>
      </c>
      <c r="AJ53" s="182" t="s">
        <v>33</v>
      </c>
      <c r="AK53" s="183"/>
      <c r="AL53" s="142" t="s">
        <v>134</v>
      </c>
      <c r="AM53" s="141" t="s">
        <v>198</v>
      </c>
      <c r="AN53" s="182" t="s">
        <v>33</v>
      </c>
      <c r="AO53" s="183"/>
      <c r="AP53" s="142" t="s">
        <v>134</v>
      </c>
      <c r="AQ53" s="141" t="s">
        <v>198</v>
      </c>
      <c r="AR53" s="182" t="s">
        <v>33</v>
      </c>
      <c r="AS53" s="183"/>
      <c r="AT53" s="142" t="s">
        <v>134</v>
      </c>
      <c r="AU53" s="141" t="s">
        <v>198</v>
      </c>
      <c r="AV53" s="182" t="s">
        <v>33</v>
      </c>
      <c r="AW53" s="183"/>
      <c r="AX53" s="142" t="s">
        <v>134</v>
      </c>
    </row>
    <row r="54" spans="1:61">
      <c r="C54" s="143">
        <v>43112</v>
      </c>
      <c r="D54" s="184" t="s">
        <v>199</v>
      </c>
      <c r="E54" s="185"/>
      <c r="F54" s="146">
        <v>10</v>
      </c>
      <c r="G54" s="143">
        <v>43137</v>
      </c>
      <c r="H54" s="184" t="s">
        <v>219</v>
      </c>
      <c r="I54" s="185"/>
      <c r="J54" s="148">
        <v>10</v>
      </c>
      <c r="K54" s="143">
        <v>43166</v>
      </c>
      <c r="L54" s="202" t="s">
        <v>287</v>
      </c>
      <c r="M54" s="203"/>
      <c r="N54" s="148"/>
      <c r="O54" s="143">
        <v>43195</v>
      </c>
      <c r="P54" s="202" t="s">
        <v>219</v>
      </c>
      <c r="Q54" s="203"/>
      <c r="R54" s="153">
        <v>10</v>
      </c>
      <c r="S54" s="143">
        <v>43224</v>
      </c>
      <c r="T54" s="202" t="s">
        <v>287</v>
      </c>
      <c r="U54" s="203"/>
      <c r="V54" s="154"/>
      <c r="W54" s="144">
        <v>43264</v>
      </c>
      <c r="X54" s="194" t="s">
        <v>199</v>
      </c>
      <c r="Y54" s="195"/>
      <c r="Z54" s="155">
        <v>15</v>
      </c>
      <c r="AA54" s="143"/>
      <c r="AB54" s="200" t="s">
        <v>370</v>
      </c>
      <c r="AC54" s="201"/>
      <c r="AD54" s="148">
        <f>1452-580.8</f>
        <v>871.2</v>
      </c>
      <c r="AE54" s="143"/>
      <c r="AF54" s="190"/>
      <c r="AG54" s="191"/>
      <c r="AH54" s="148"/>
      <c r="AI54" s="143">
        <v>43370</v>
      </c>
      <c r="AJ54" s="192" t="s">
        <v>219</v>
      </c>
      <c r="AK54" s="193"/>
      <c r="AL54" s="148">
        <v>10</v>
      </c>
      <c r="AM54" s="143"/>
      <c r="AN54" s="190"/>
      <c r="AO54" s="191"/>
      <c r="AP54" s="148"/>
      <c r="AQ54" s="143"/>
      <c r="AR54" s="184"/>
      <c r="AS54" s="185"/>
      <c r="AT54" s="148"/>
      <c r="AU54" s="143"/>
      <c r="AV54" s="184"/>
      <c r="AW54" s="185"/>
      <c r="AX54" s="148"/>
    </row>
    <row r="55" spans="1:61">
      <c r="C55" s="144"/>
      <c r="D55" s="175"/>
      <c r="E55" s="176"/>
      <c r="F55" s="146"/>
      <c r="G55" s="144">
        <v>43146</v>
      </c>
      <c r="H55" s="175" t="s">
        <v>272</v>
      </c>
      <c r="I55" s="176"/>
      <c r="J55" s="148">
        <v>10</v>
      </c>
      <c r="K55" s="144">
        <v>43168</v>
      </c>
      <c r="L55" s="204" t="s">
        <v>272</v>
      </c>
      <c r="M55" s="205"/>
      <c r="N55" s="148">
        <v>15</v>
      </c>
      <c r="O55" s="144">
        <v>43209</v>
      </c>
      <c r="P55" s="194" t="s">
        <v>199</v>
      </c>
      <c r="Q55" s="195"/>
      <c r="R55" s="153">
        <v>15</v>
      </c>
      <c r="S55" s="144">
        <v>43238</v>
      </c>
      <c r="T55" s="194" t="s">
        <v>359</v>
      </c>
      <c r="U55" s="195"/>
      <c r="V55" s="148"/>
      <c r="W55" s="144">
        <v>43253</v>
      </c>
      <c r="X55" s="194" t="s">
        <v>219</v>
      </c>
      <c r="Y55" s="195"/>
      <c r="Z55" s="148">
        <v>10</v>
      </c>
      <c r="AA55" s="144"/>
      <c r="AB55" s="175" t="s">
        <v>371</v>
      </c>
      <c r="AC55" s="176"/>
      <c r="AD55" s="148">
        <f>200-43.62+(76.38*6)</f>
        <v>614.66</v>
      </c>
      <c r="AE55" s="144">
        <v>43318</v>
      </c>
      <c r="AF55" s="194" t="s">
        <v>199</v>
      </c>
      <c r="AG55" s="195"/>
      <c r="AH55" s="148">
        <v>15</v>
      </c>
      <c r="AI55" s="144">
        <v>43361</v>
      </c>
      <c r="AJ55" s="194" t="s">
        <v>199</v>
      </c>
      <c r="AK55" s="195"/>
      <c r="AL55" s="148">
        <v>15</v>
      </c>
      <c r="AM55" s="144"/>
      <c r="AN55" s="186"/>
      <c r="AO55" s="187"/>
      <c r="AP55" s="148"/>
      <c r="AQ55" s="144"/>
      <c r="AR55" s="175"/>
      <c r="AS55" s="176"/>
      <c r="AT55" s="148"/>
      <c r="AU55" s="144"/>
      <c r="AV55" s="175"/>
      <c r="AW55" s="176"/>
      <c r="AX55" s="148"/>
    </row>
    <row r="56" spans="1:61">
      <c r="C56" s="144">
        <v>43117</v>
      </c>
      <c r="D56" s="175" t="s">
        <v>200</v>
      </c>
      <c r="E56" s="176"/>
      <c r="F56" s="146"/>
      <c r="G56" s="144">
        <v>43147</v>
      </c>
      <c r="H56" s="175" t="s">
        <v>283</v>
      </c>
      <c r="I56" s="176"/>
      <c r="J56" s="148"/>
      <c r="K56" s="144">
        <v>43189</v>
      </c>
      <c r="L56" s="175" t="s">
        <v>292</v>
      </c>
      <c r="M56" s="176"/>
      <c r="N56" s="148"/>
      <c r="O56" s="144">
        <v>43193</v>
      </c>
      <c r="P56" s="194" t="s">
        <v>328</v>
      </c>
      <c r="Q56" s="195"/>
      <c r="R56" s="153">
        <v>258.52</v>
      </c>
      <c r="S56" s="144">
        <v>43249</v>
      </c>
      <c r="T56" s="175" t="s">
        <v>374</v>
      </c>
      <c r="U56" s="176"/>
      <c r="V56" s="148"/>
      <c r="W56" s="144">
        <v>43249</v>
      </c>
      <c r="X56" s="175" t="s">
        <v>379</v>
      </c>
      <c r="Y56" s="176"/>
      <c r="Z56" s="148"/>
      <c r="AA56" s="144"/>
      <c r="AB56" s="175" t="s">
        <v>372</v>
      </c>
      <c r="AC56" s="176"/>
      <c r="AD56" s="148">
        <f>AD54-AD55</f>
        <v>256.54000000000008</v>
      </c>
      <c r="AE56" s="144">
        <v>43341</v>
      </c>
      <c r="AF56" s="194" t="s">
        <v>287</v>
      </c>
      <c r="AG56" s="195"/>
      <c r="AH56" s="148"/>
      <c r="AI56" s="144">
        <v>43347</v>
      </c>
      <c r="AJ56" s="196" t="s">
        <v>378</v>
      </c>
      <c r="AK56" s="197"/>
      <c r="AL56" s="148"/>
      <c r="AM56" s="144"/>
      <c r="AN56" s="186"/>
      <c r="AO56" s="187"/>
      <c r="AP56" s="148"/>
      <c r="AQ56" s="144"/>
      <c r="AR56" s="175"/>
      <c r="AS56" s="176"/>
      <c r="AT56" s="148"/>
      <c r="AU56" s="144"/>
      <c r="AV56" s="175"/>
      <c r="AW56" s="176"/>
      <c r="AX56" s="148"/>
    </row>
    <row r="57" spans="1:61">
      <c r="C57" s="144"/>
      <c r="D57" s="175" t="s">
        <v>201</v>
      </c>
      <c r="E57" s="176"/>
      <c r="F57" s="146"/>
      <c r="G57" s="144"/>
      <c r="H57" s="175" t="s">
        <v>284</v>
      </c>
      <c r="I57" s="176"/>
      <c r="J57" s="148"/>
      <c r="K57" s="144"/>
      <c r="L57" s="175" t="s">
        <v>293</v>
      </c>
      <c r="M57" s="176"/>
      <c r="N57" s="148"/>
      <c r="O57" s="144"/>
      <c r="P57" s="194" t="s">
        <v>299</v>
      </c>
      <c r="Q57" s="195"/>
      <c r="R57" s="148">
        <v>2290.23</v>
      </c>
      <c r="S57" s="144"/>
      <c r="T57" s="175" t="s">
        <v>375</v>
      </c>
      <c r="U57" s="176"/>
      <c r="V57" s="148"/>
      <c r="W57" s="144"/>
      <c r="X57" s="175" t="s">
        <v>380</v>
      </c>
      <c r="Y57" s="176"/>
      <c r="Z57" s="148"/>
      <c r="AA57" s="144">
        <v>43282</v>
      </c>
      <c r="AB57" s="194" t="s">
        <v>287</v>
      </c>
      <c r="AC57" s="195"/>
      <c r="AD57" s="148"/>
      <c r="AE57" s="144">
        <v>43189</v>
      </c>
      <c r="AF57" s="175" t="s">
        <v>383</v>
      </c>
      <c r="AG57" s="176"/>
      <c r="AH57" s="148"/>
      <c r="AI57" s="144"/>
      <c r="AJ57" s="186"/>
      <c r="AK57" s="187"/>
      <c r="AL57" s="148"/>
      <c r="AM57" s="144"/>
      <c r="AN57" s="186"/>
      <c r="AO57" s="187"/>
      <c r="AP57" s="148"/>
      <c r="AQ57" s="144"/>
      <c r="AR57" s="175"/>
      <c r="AS57" s="176"/>
      <c r="AT57" s="148"/>
      <c r="AU57" s="144"/>
      <c r="AV57" s="175"/>
      <c r="AW57" s="176"/>
      <c r="AX57" s="148"/>
    </row>
    <row r="58" spans="1:61">
      <c r="C58" s="144"/>
      <c r="D58" s="175" t="s">
        <v>202</v>
      </c>
      <c r="E58" s="176"/>
      <c r="F58" s="146"/>
      <c r="G58" s="144"/>
      <c r="H58" s="175" t="s">
        <v>285</v>
      </c>
      <c r="I58" s="176"/>
      <c r="J58" s="148"/>
      <c r="K58" s="144"/>
      <c r="L58" s="175" t="s">
        <v>294</v>
      </c>
      <c r="M58" s="176"/>
      <c r="N58" s="148"/>
      <c r="O58" s="144"/>
      <c r="P58" s="175"/>
      <c r="Q58" s="176"/>
      <c r="R58" s="148"/>
      <c r="S58" s="144"/>
      <c r="T58" s="175" t="s">
        <v>376</v>
      </c>
      <c r="U58" s="176"/>
      <c r="V58" s="148"/>
      <c r="W58" s="144"/>
      <c r="X58" s="175" t="s">
        <v>381</v>
      </c>
      <c r="Y58" s="176"/>
      <c r="Z58" s="148"/>
      <c r="AA58" s="144"/>
      <c r="AB58" s="194" t="s">
        <v>359</v>
      </c>
      <c r="AC58" s="195"/>
      <c r="AD58" s="148"/>
      <c r="AE58" s="144"/>
      <c r="AF58" s="175" t="s">
        <v>384</v>
      </c>
      <c r="AG58" s="176"/>
      <c r="AH58" s="148"/>
      <c r="AI58" s="144"/>
      <c r="AJ58" s="186"/>
      <c r="AK58" s="187"/>
      <c r="AL58" s="148"/>
      <c r="AM58" s="144"/>
      <c r="AN58" s="186"/>
      <c r="AO58" s="187"/>
      <c r="AP58" s="148"/>
      <c r="AQ58" s="144"/>
      <c r="AR58" s="175"/>
      <c r="AS58" s="176"/>
      <c r="AT58" s="148"/>
      <c r="AU58" s="144"/>
      <c r="AV58" s="175"/>
      <c r="AW58" s="176"/>
      <c r="AX58" s="148"/>
    </row>
    <row r="59" spans="1:61">
      <c r="C59" s="144"/>
      <c r="D59" s="175"/>
      <c r="E59" s="176"/>
      <c r="F59" s="146"/>
      <c r="G59" s="144"/>
      <c r="H59" s="175"/>
      <c r="I59" s="176"/>
      <c r="J59" s="148"/>
      <c r="K59" s="144"/>
      <c r="L59" s="175"/>
      <c r="M59" s="176"/>
      <c r="N59" s="148"/>
      <c r="O59" s="144"/>
      <c r="P59" s="175"/>
      <c r="Q59" s="176"/>
      <c r="R59" s="148"/>
      <c r="S59" s="144">
        <v>43236</v>
      </c>
      <c r="T59" s="196" t="s">
        <v>378</v>
      </c>
      <c r="U59" s="197"/>
      <c r="V59" s="148"/>
      <c r="W59" s="144">
        <v>43263</v>
      </c>
      <c r="X59" s="196" t="s">
        <v>378</v>
      </c>
      <c r="Y59" s="197"/>
      <c r="Z59" s="148"/>
      <c r="AA59" s="144"/>
      <c r="AB59" s="196" t="s">
        <v>453</v>
      </c>
      <c r="AC59" s="197"/>
      <c r="AD59" s="148">
        <f>(50*7)-'01'!D13-'03'!E13</f>
        <v>285.02</v>
      </c>
      <c r="AE59" s="144"/>
      <c r="AF59" s="175" t="s">
        <v>385</v>
      </c>
      <c r="AG59" s="176"/>
      <c r="AH59" s="148"/>
      <c r="AI59" s="144"/>
      <c r="AJ59" s="186"/>
      <c r="AK59" s="187"/>
      <c r="AL59" s="148"/>
      <c r="AM59" s="144"/>
      <c r="AN59" s="186"/>
      <c r="AO59" s="187"/>
      <c r="AP59" s="148"/>
      <c r="AQ59" s="144"/>
      <c r="AR59" s="175"/>
      <c r="AS59" s="176"/>
      <c r="AT59" s="148"/>
      <c r="AU59" s="144">
        <v>43189</v>
      </c>
      <c r="AV59" s="175" t="s">
        <v>440</v>
      </c>
      <c r="AW59" s="176"/>
      <c r="AX59" s="148"/>
    </row>
    <row r="60" spans="1:61">
      <c r="C60" s="144"/>
      <c r="D60" s="175"/>
      <c r="E60" s="176"/>
      <c r="F60" s="146"/>
      <c r="G60" s="144"/>
      <c r="H60" s="175"/>
      <c r="I60" s="176"/>
      <c r="J60" s="148"/>
      <c r="K60" s="144"/>
      <c r="L60" s="175"/>
      <c r="M60" s="176"/>
      <c r="N60" s="148"/>
      <c r="O60" s="144"/>
      <c r="P60" s="175"/>
      <c r="Q60" s="176"/>
      <c r="R60" s="148"/>
      <c r="S60" s="144"/>
      <c r="T60" s="196"/>
      <c r="U60" s="197"/>
      <c r="V60" s="148"/>
      <c r="W60" s="144"/>
      <c r="X60" s="186" t="s">
        <v>308</v>
      </c>
      <c r="Y60" s="187"/>
      <c r="Z60" s="148">
        <f>622.46*2</f>
        <v>1244.92</v>
      </c>
      <c r="AA60" s="144"/>
      <c r="AB60" s="186"/>
      <c r="AC60" s="187"/>
      <c r="AD60" s="148"/>
      <c r="AE60" s="144">
        <v>43319</v>
      </c>
      <c r="AF60" s="196" t="s">
        <v>378</v>
      </c>
      <c r="AG60" s="197"/>
      <c r="AH60" s="148"/>
      <c r="AI60" s="144"/>
      <c r="AJ60" s="186"/>
      <c r="AK60" s="187"/>
      <c r="AL60" s="148"/>
      <c r="AM60" s="144"/>
      <c r="AN60" s="186"/>
      <c r="AO60" s="187"/>
      <c r="AP60" s="148"/>
      <c r="AQ60" s="144"/>
      <c r="AR60" s="175"/>
      <c r="AS60" s="176"/>
      <c r="AT60" s="148"/>
      <c r="AU60" s="144"/>
      <c r="AV60" s="175" t="s">
        <v>293</v>
      </c>
      <c r="AW60" s="176"/>
      <c r="AX60" s="148"/>
    </row>
    <row r="61" spans="1:61">
      <c r="C61" s="144"/>
      <c r="D61" s="175"/>
      <c r="E61" s="176"/>
      <c r="F61" s="146"/>
      <c r="G61" s="144"/>
      <c r="H61" s="175"/>
      <c r="I61" s="176"/>
      <c r="J61" s="148"/>
      <c r="K61" s="144"/>
      <c r="L61" s="175"/>
      <c r="M61" s="176"/>
      <c r="N61" s="148"/>
      <c r="O61" s="144"/>
      <c r="P61" s="175"/>
      <c r="Q61" s="176"/>
      <c r="R61" s="148"/>
      <c r="S61" s="144"/>
      <c r="T61" s="196"/>
      <c r="U61" s="197"/>
      <c r="V61" s="148"/>
      <c r="W61" s="144"/>
      <c r="X61" s="186"/>
      <c r="Y61" s="187"/>
      <c r="Z61" s="148"/>
      <c r="AA61" s="144"/>
      <c r="AB61" s="186"/>
      <c r="AC61" s="187"/>
      <c r="AD61" s="148"/>
      <c r="AE61" s="144"/>
      <c r="AF61" s="186"/>
      <c r="AG61" s="187"/>
      <c r="AH61" s="148"/>
      <c r="AI61" s="144"/>
      <c r="AJ61" s="186"/>
      <c r="AK61" s="187"/>
      <c r="AL61" s="148"/>
      <c r="AM61" s="144"/>
      <c r="AN61" s="186"/>
      <c r="AO61" s="187"/>
      <c r="AP61" s="148"/>
      <c r="AQ61" s="144"/>
      <c r="AR61" s="175"/>
      <c r="AS61" s="176"/>
      <c r="AT61" s="148"/>
      <c r="AU61" s="144"/>
      <c r="AV61" s="175" t="s">
        <v>441</v>
      </c>
      <c r="AW61" s="176"/>
      <c r="AX61" s="148"/>
    </row>
    <row r="62" spans="1:61">
      <c r="C62" s="144"/>
      <c r="D62" s="175"/>
      <c r="E62" s="176"/>
      <c r="F62" s="146"/>
      <c r="G62" s="144"/>
      <c r="H62" s="175"/>
      <c r="I62" s="176"/>
      <c r="J62" s="148"/>
      <c r="K62" s="144"/>
      <c r="L62" s="175"/>
      <c r="M62" s="176"/>
      <c r="N62" s="148"/>
      <c r="O62" s="144"/>
      <c r="P62" s="175"/>
      <c r="Q62" s="176"/>
      <c r="R62" s="148"/>
      <c r="S62" s="144"/>
      <c r="T62" s="196"/>
      <c r="U62" s="197"/>
      <c r="V62" s="148"/>
      <c r="W62" s="144"/>
      <c r="X62" s="186"/>
      <c r="Y62" s="187"/>
      <c r="Z62" s="148"/>
      <c r="AA62" s="144"/>
      <c r="AB62" s="186"/>
      <c r="AC62" s="187"/>
      <c r="AD62" s="148"/>
      <c r="AE62" s="144"/>
      <c r="AF62" s="186"/>
      <c r="AG62" s="187"/>
      <c r="AH62" s="148"/>
      <c r="AI62" s="144"/>
      <c r="AJ62" s="186"/>
      <c r="AK62" s="187"/>
      <c r="AL62" s="148"/>
      <c r="AM62" s="144"/>
      <c r="AN62" s="186"/>
      <c r="AO62" s="187"/>
      <c r="AP62" s="148"/>
      <c r="AQ62" s="144"/>
      <c r="AR62" s="175"/>
      <c r="AS62" s="176"/>
      <c r="AT62" s="148"/>
      <c r="AU62" s="144"/>
      <c r="AV62" s="175"/>
      <c r="AW62" s="176"/>
      <c r="AX62" s="148"/>
    </row>
    <row r="63" spans="1:61">
      <c r="C63" s="144"/>
      <c r="D63" s="175"/>
      <c r="E63" s="176"/>
      <c r="F63" s="146"/>
      <c r="G63" s="144"/>
      <c r="H63" s="175"/>
      <c r="I63" s="176"/>
      <c r="J63" s="148"/>
      <c r="K63" s="144"/>
      <c r="L63" s="175"/>
      <c r="M63" s="176"/>
      <c r="N63" s="148"/>
      <c r="O63" s="144"/>
      <c r="P63" s="175"/>
      <c r="Q63" s="176"/>
      <c r="R63" s="148"/>
      <c r="S63" s="144"/>
      <c r="T63" s="196"/>
      <c r="U63" s="197"/>
      <c r="V63" s="148"/>
      <c r="W63" s="144"/>
      <c r="X63" s="186"/>
      <c r="Y63" s="187"/>
      <c r="Z63" s="148"/>
      <c r="AA63" s="144"/>
      <c r="AB63" s="186"/>
      <c r="AC63" s="187"/>
      <c r="AD63" s="148"/>
      <c r="AE63" s="144"/>
      <c r="AF63" s="186"/>
      <c r="AG63" s="187"/>
      <c r="AH63" s="148"/>
      <c r="AI63" s="144"/>
      <c r="AJ63" s="186"/>
      <c r="AK63" s="187"/>
      <c r="AL63" s="148"/>
      <c r="AM63" s="144"/>
      <c r="AN63" s="186"/>
      <c r="AO63" s="187"/>
      <c r="AP63" s="148"/>
      <c r="AQ63" s="144"/>
      <c r="AR63" s="175"/>
      <c r="AS63" s="176"/>
      <c r="AT63" s="148"/>
      <c r="AU63" s="144"/>
      <c r="AV63" s="175"/>
      <c r="AW63" s="176"/>
      <c r="AX63" s="148"/>
    </row>
    <row r="64" spans="1:61">
      <c r="C64" s="144"/>
      <c r="D64" s="175"/>
      <c r="E64" s="176"/>
      <c r="F64" s="146"/>
      <c r="G64" s="144"/>
      <c r="H64" s="175"/>
      <c r="I64" s="176"/>
      <c r="J64" s="148"/>
      <c r="K64" s="144"/>
      <c r="L64" s="175"/>
      <c r="M64" s="176"/>
      <c r="N64" s="148"/>
      <c r="O64" s="144"/>
      <c r="P64" s="175"/>
      <c r="Q64" s="176"/>
      <c r="R64" s="148"/>
      <c r="S64" s="144"/>
      <c r="T64" s="196"/>
      <c r="U64" s="197"/>
      <c r="V64" s="148"/>
      <c r="W64" s="144"/>
      <c r="X64" s="186"/>
      <c r="Y64" s="187"/>
      <c r="Z64" s="148"/>
      <c r="AA64" s="144"/>
      <c r="AB64" s="186"/>
      <c r="AC64" s="187"/>
      <c r="AD64" s="148"/>
      <c r="AE64" s="144"/>
      <c r="AF64" s="186"/>
      <c r="AG64" s="187"/>
      <c r="AH64" s="148"/>
      <c r="AI64" s="144"/>
      <c r="AJ64" s="186"/>
      <c r="AK64" s="187"/>
      <c r="AL64" s="148"/>
      <c r="AM64" s="144"/>
      <c r="AN64" s="186"/>
      <c r="AO64" s="187"/>
      <c r="AP64" s="148"/>
      <c r="AQ64" s="144"/>
      <c r="AR64" s="175"/>
      <c r="AS64" s="176"/>
      <c r="AT64" s="148"/>
      <c r="AU64" s="144"/>
      <c r="AV64" s="175"/>
      <c r="AW64" s="176"/>
      <c r="AX64" s="148"/>
    </row>
    <row r="65" spans="3:50">
      <c r="C65" s="144"/>
      <c r="D65" s="175"/>
      <c r="E65" s="176"/>
      <c r="F65" s="146"/>
      <c r="G65" s="144"/>
      <c r="H65" s="175"/>
      <c r="I65" s="176"/>
      <c r="J65" s="148"/>
      <c r="K65" s="144"/>
      <c r="L65" s="175"/>
      <c r="M65" s="176"/>
      <c r="N65" s="148"/>
      <c r="O65" s="144"/>
      <c r="P65" s="175"/>
      <c r="Q65" s="176"/>
      <c r="R65" s="148"/>
      <c r="S65" s="144"/>
      <c r="T65" s="196"/>
      <c r="U65" s="197"/>
      <c r="V65" s="148"/>
      <c r="W65" s="144"/>
      <c r="X65" s="186"/>
      <c r="Y65" s="187"/>
      <c r="Z65" s="148"/>
      <c r="AA65" s="144"/>
      <c r="AB65" s="186"/>
      <c r="AC65" s="187"/>
      <c r="AD65" s="148"/>
      <c r="AE65" s="144"/>
      <c r="AF65" s="186"/>
      <c r="AG65" s="187"/>
      <c r="AH65" s="148"/>
      <c r="AI65" s="144"/>
      <c r="AJ65" s="186"/>
      <c r="AK65" s="187"/>
      <c r="AL65" s="148"/>
      <c r="AM65" s="144"/>
      <c r="AN65" s="186"/>
      <c r="AO65" s="187"/>
      <c r="AP65" s="148"/>
      <c r="AQ65" s="144"/>
      <c r="AR65" s="175"/>
      <c r="AS65" s="176"/>
      <c r="AT65" s="148"/>
      <c r="AU65" s="144"/>
      <c r="AV65" s="175"/>
      <c r="AW65" s="176"/>
      <c r="AX65" s="148"/>
    </row>
    <row r="66" spans="3:50">
      <c r="C66" s="144"/>
      <c r="D66" s="175"/>
      <c r="E66" s="176"/>
      <c r="F66" s="146"/>
      <c r="G66" s="144"/>
      <c r="H66" s="175"/>
      <c r="I66" s="176"/>
      <c r="J66" s="148"/>
      <c r="K66" s="144"/>
      <c r="L66" s="175"/>
      <c r="M66" s="176"/>
      <c r="N66" s="148"/>
      <c r="O66" s="144"/>
      <c r="P66" s="175"/>
      <c r="Q66" s="176"/>
      <c r="R66" s="148"/>
      <c r="S66" s="144"/>
      <c r="T66" s="186"/>
      <c r="U66" s="187"/>
      <c r="V66" s="148"/>
      <c r="W66" s="144"/>
      <c r="X66" s="186"/>
      <c r="Y66" s="187"/>
      <c r="Z66" s="148"/>
      <c r="AA66" s="144"/>
      <c r="AB66" s="186"/>
      <c r="AC66" s="187"/>
      <c r="AD66" s="148"/>
      <c r="AE66" s="144"/>
      <c r="AF66" s="186"/>
      <c r="AG66" s="187"/>
      <c r="AH66" s="148"/>
      <c r="AI66" s="144"/>
      <c r="AJ66" s="186"/>
      <c r="AK66" s="187"/>
      <c r="AL66" s="148"/>
      <c r="AM66" s="144"/>
      <c r="AN66" s="186"/>
      <c r="AO66" s="187"/>
      <c r="AP66" s="148"/>
      <c r="AQ66" s="144"/>
      <c r="AR66" s="175"/>
      <c r="AS66" s="176"/>
      <c r="AT66" s="148"/>
      <c r="AU66" s="144"/>
      <c r="AV66" s="175"/>
      <c r="AW66" s="176"/>
      <c r="AX66" s="148"/>
    </row>
    <row r="67" spans="3:50">
      <c r="C67" s="144"/>
      <c r="D67" s="175"/>
      <c r="E67" s="176"/>
      <c r="F67" s="146"/>
      <c r="G67" s="144"/>
      <c r="H67" s="175"/>
      <c r="I67" s="176"/>
      <c r="J67" s="148"/>
      <c r="K67" s="144"/>
      <c r="L67" s="175"/>
      <c r="M67" s="176"/>
      <c r="N67" s="148"/>
      <c r="O67" s="144"/>
      <c r="P67" s="175"/>
      <c r="Q67" s="176"/>
      <c r="R67" s="148"/>
      <c r="S67" s="144"/>
      <c r="T67" s="186"/>
      <c r="U67" s="187"/>
      <c r="V67" s="148"/>
      <c r="W67" s="144"/>
      <c r="X67" s="186"/>
      <c r="Y67" s="187"/>
      <c r="Z67" s="148"/>
      <c r="AA67" s="144"/>
      <c r="AB67" s="186"/>
      <c r="AC67" s="187"/>
      <c r="AD67" s="148"/>
      <c r="AE67" s="144"/>
      <c r="AF67" s="186"/>
      <c r="AG67" s="187"/>
      <c r="AH67" s="148"/>
      <c r="AI67" s="144"/>
      <c r="AJ67" s="186"/>
      <c r="AK67" s="187"/>
      <c r="AL67" s="148"/>
      <c r="AM67" s="144"/>
      <c r="AN67" s="186"/>
      <c r="AO67" s="187"/>
      <c r="AP67" s="148"/>
      <c r="AQ67" s="144"/>
      <c r="AR67" s="175"/>
      <c r="AS67" s="176"/>
      <c r="AT67" s="148"/>
      <c r="AU67" s="144"/>
      <c r="AV67" s="175"/>
      <c r="AW67" s="176"/>
      <c r="AX67" s="148"/>
    </row>
    <row r="68" spans="3:50">
      <c r="C68" s="144"/>
      <c r="D68" s="175"/>
      <c r="E68" s="176"/>
      <c r="F68" s="146"/>
      <c r="G68" s="144"/>
      <c r="H68" s="175"/>
      <c r="I68" s="176"/>
      <c r="J68" s="148"/>
      <c r="K68" s="144"/>
      <c r="L68" s="175"/>
      <c r="M68" s="176"/>
      <c r="N68" s="148"/>
      <c r="O68" s="144"/>
      <c r="P68" s="175"/>
      <c r="Q68" s="176"/>
      <c r="R68" s="148"/>
      <c r="S68" s="144"/>
      <c r="T68" s="186"/>
      <c r="U68" s="187"/>
      <c r="V68" s="148"/>
      <c r="W68" s="144"/>
      <c r="X68" s="186"/>
      <c r="Y68" s="187"/>
      <c r="Z68" s="148"/>
      <c r="AA68" s="144"/>
      <c r="AB68" s="186"/>
      <c r="AC68" s="187"/>
      <c r="AD68" s="148"/>
      <c r="AE68" s="144"/>
      <c r="AF68" s="186"/>
      <c r="AG68" s="187"/>
      <c r="AH68" s="148"/>
      <c r="AI68" s="144"/>
      <c r="AJ68" s="186"/>
      <c r="AK68" s="187"/>
      <c r="AL68" s="148"/>
      <c r="AM68" s="144"/>
      <c r="AN68" s="186"/>
      <c r="AO68" s="187"/>
      <c r="AP68" s="148"/>
      <c r="AQ68" s="144"/>
      <c r="AR68" s="175"/>
      <c r="AS68" s="176"/>
      <c r="AT68" s="148"/>
      <c r="AU68" s="144"/>
      <c r="AV68" s="175"/>
      <c r="AW68" s="176"/>
      <c r="AX68" s="148"/>
    </row>
    <row r="69" spans="3:50">
      <c r="C69" s="144"/>
      <c r="D69" s="175"/>
      <c r="E69" s="176"/>
      <c r="F69" s="146"/>
      <c r="G69" s="144"/>
      <c r="H69" s="175"/>
      <c r="I69" s="176"/>
      <c r="J69" s="148"/>
      <c r="K69" s="144"/>
      <c r="L69" s="175"/>
      <c r="M69" s="176"/>
      <c r="N69" s="148"/>
      <c r="O69" s="144"/>
      <c r="P69" s="175"/>
      <c r="Q69" s="176"/>
      <c r="R69" s="148"/>
      <c r="S69" s="144"/>
      <c r="T69" s="186"/>
      <c r="U69" s="187"/>
      <c r="V69" s="148"/>
      <c r="W69" s="144"/>
      <c r="X69" s="186"/>
      <c r="Y69" s="187"/>
      <c r="Z69" s="148"/>
      <c r="AA69" s="144"/>
      <c r="AB69" s="186"/>
      <c r="AC69" s="187"/>
      <c r="AD69" s="148"/>
      <c r="AE69" s="144"/>
      <c r="AF69" s="186"/>
      <c r="AG69" s="187"/>
      <c r="AH69" s="148"/>
      <c r="AI69" s="144"/>
      <c r="AJ69" s="186"/>
      <c r="AK69" s="187"/>
      <c r="AL69" s="148"/>
      <c r="AM69" s="144"/>
      <c r="AN69" s="186"/>
      <c r="AO69" s="187"/>
      <c r="AP69" s="148"/>
      <c r="AQ69" s="144"/>
      <c r="AR69" s="175"/>
      <c r="AS69" s="176"/>
      <c r="AT69" s="148"/>
      <c r="AU69" s="144"/>
      <c r="AV69" s="175"/>
      <c r="AW69" s="176"/>
      <c r="AX69" s="148"/>
    </row>
    <row r="70" spans="3:50">
      <c r="C70" s="144"/>
      <c r="D70" s="175"/>
      <c r="E70" s="176"/>
      <c r="F70" s="146"/>
      <c r="G70" s="144"/>
      <c r="H70" s="175"/>
      <c r="I70" s="176"/>
      <c r="J70" s="148"/>
      <c r="K70" s="144"/>
      <c r="L70" s="175"/>
      <c r="M70" s="176"/>
      <c r="N70" s="148"/>
      <c r="O70" s="144"/>
      <c r="P70" s="175"/>
      <c r="Q70" s="176"/>
      <c r="R70" s="148"/>
      <c r="S70" s="144"/>
      <c r="T70" s="186"/>
      <c r="U70" s="187"/>
      <c r="V70" s="148"/>
      <c r="W70" s="144"/>
      <c r="X70" s="175" t="s">
        <v>431</v>
      </c>
      <c r="Y70" s="176"/>
      <c r="Z70" s="148">
        <f>3289.11+270.87</f>
        <v>3559.98</v>
      </c>
      <c r="AA70" s="144"/>
      <c r="AB70" s="186"/>
      <c r="AC70" s="187"/>
      <c r="AD70" s="148"/>
      <c r="AE70" s="144"/>
      <c r="AF70" s="186"/>
      <c r="AG70" s="187"/>
      <c r="AH70" s="148"/>
      <c r="AI70" s="144"/>
      <c r="AJ70" s="186"/>
      <c r="AK70" s="187"/>
      <c r="AL70" s="148"/>
      <c r="AM70" s="144"/>
      <c r="AN70" s="186"/>
      <c r="AO70" s="187"/>
      <c r="AP70" s="148"/>
      <c r="AQ70" s="144"/>
      <c r="AR70" s="175"/>
      <c r="AS70" s="176"/>
      <c r="AT70" s="148"/>
      <c r="AU70" s="144"/>
      <c r="AV70" s="175"/>
      <c r="AW70" s="176"/>
      <c r="AX70" s="148"/>
    </row>
    <row r="71" spans="3:50" ht="15.75" thickBot="1">
      <c r="C71" s="145"/>
      <c r="D71" s="177"/>
      <c r="E71" s="178"/>
      <c r="F71" s="147"/>
      <c r="G71" s="145"/>
      <c r="H71" s="177"/>
      <c r="I71" s="178"/>
      <c r="J71" s="149"/>
      <c r="K71" s="145"/>
      <c r="L71" s="177"/>
      <c r="M71" s="178"/>
      <c r="N71" s="149"/>
      <c r="O71" s="145"/>
      <c r="P71" s="177"/>
      <c r="Q71" s="178"/>
      <c r="R71" s="149"/>
      <c r="S71" s="145"/>
      <c r="T71" s="188"/>
      <c r="U71" s="189"/>
      <c r="V71" s="149"/>
      <c r="W71" s="145"/>
      <c r="X71" s="198" t="s">
        <v>432</v>
      </c>
      <c r="Y71" s="199"/>
      <c r="Z71" s="149">
        <f>Z70-1484.91-429.89</f>
        <v>1645.1799999999998</v>
      </c>
      <c r="AA71" s="145"/>
      <c r="AB71" s="188"/>
      <c r="AC71" s="189"/>
      <c r="AD71" s="149">
        <f>550-161.56</f>
        <v>388.44</v>
      </c>
      <c r="AE71" s="145"/>
      <c r="AF71" s="188"/>
      <c r="AG71" s="189"/>
      <c r="AH71" s="149"/>
      <c r="AI71" s="145"/>
      <c r="AJ71" s="188"/>
      <c r="AK71" s="189"/>
      <c r="AL71" s="149"/>
      <c r="AM71" s="145"/>
      <c r="AN71" s="188"/>
      <c r="AO71" s="189"/>
      <c r="AP71" s="149"/>
      <c r="AQ71" s="145"/>
      <c r="AR71" s="177"/>
      <c r="AS71" s="178"/>
      <c r="AT71" s="149"/>
      <c r="AU71" s="145"/>
      <c r="AV71" s="177"/>
      <c r="AW71" s="178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88" t="s">
        <v>70</v>
      </c>
      <c r="J4" s="156" t="s">
        <v>71</v>
      </c>
      <c r="K4" s="221" t="s">
        <v>72</v>
      </c>
      <c r="L4" s="222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23">
        <v>2037.62</v>
      </c>
      <c r="L5" s="224"/>
      <c r="M5" s="1"/>
      <c r="N5" s="1"/>
      <c r="R5" s="3"/>
    </row>
    <row r="6" spans="1:22" ht="15.75">
      <c r="A6" s="163">
        <v>0</v>
      </c>
      <c r="B6" s="54">
        <v>399</v>
      </c>
      <c r="C6" s="36" t="s">
        <v>311</v>
      </c>
      <c r="D6" s="57"/>
      <c r="E6" s="58">
        <f>398.31</f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13">
        <v>550</v>
      </c>
      <c r="L6" s="214"/>
      <c r="M6" s="1" t="s">
        <v>394</v>
      </c>
      <c r="N6" s="1"/>
      <c r="R6" s="3"/>
    </row>
    <row r="7" spans="1:22" ht="15.75">
      <c r="A7" s="163">
        <f>(6*B7)-E7</f>
        <v>360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13">
        <v>6798.75</v>
      </c>
      <c r="L7" s="214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13">
        <v>7000</v>
      </c>
      <c r="L8" s="214"/>
      <c r="M8" s="1"/>
      <c r="N8" s="1"/>
      <c r="R8" s="3"/>
    </row>
    <row r="9" spans="1:22" ht="15.75">
      <c r="A9" s="163">
        <f>B9</f>
        <v>0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13">
        <v>659.77</v>
      </c>
      <c r="L9" s="214"/>
      <c r="M9" s="1"/>
      <c r="N9" s="1"/>
      <c r="R9" s="3"/>
    </row>
    <row r="10" spans="1:22" ht="15.75">
      <c r="A10" s="163">
        <v>0</v>
      </c>
      <c r="B10" s="55">
        <v>12</v>
      </c>
      <c r="C10" s="33" t="s">
        <v>39</v>
      </c>
      <c r="D10" s="57"/>
      <c r="E10" s="58"/>
      <c r="F10" s="58"/>
      <c r="G10" s="33" t="s">
        <v>39</v>
      </c>
      <c r="H10" s="1"/>
      <c r="I10" s="159" t="s">
        <v>76</v>
      </c>
      <c r="J10" s="158" t="s">
        <v>115</v>
      </c>
      <c r="K10" s="213">
        <v>1800.04</v>
      </c>
      <c r="L10" s="214"/>
      <c r="M10" s="1" t="s">
        <v>265</v>
      </c>
      <c r="N10" s="1"/>
      <c r="R10" s="3"/>
    </row>
    <row r="11" spans="1:22" ht="15.75">
      <c r="A11" s="163"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13">
        <f>400+185+90</f>
        <v>675</v>
      </c>
      <c r="L11" s="214"/>
      <c r="M11" s="1"/>
      <c r="N11" s="1"/>
      <c r="R11" s="3"/>
    </row>
    <row r="12" spans="1:22" ht="15.75">
      <c r="A12" s="163">
        <f>11*B12</f>
        <v>275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13">
        <v>5092.08</v>
      </c>
      <c r="L12" s="214"/>
      <c r="M12" s="140"/>
      <c r="N12" s="1"/>
      <c r="R12" s="3"/>
    </row>
    <row r="13" spans="1:22" ht="15.75">
      <c r="A13" s="163">
        <f>(5*B13)-E13</f>
        <v>35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13"/>
      <c r="L13" s="214"/>
      <c r="M13" s="1"/>
      <c r="N13" s="1"/>
      <c r="R13" s="3"/>
    </row>
    <row r="14" spans="1:22" ht="15.75">
      <c r="A14" s="163">
        <f t="shared" ref="A14:A15" si="0">12*B14</f>
        <v>0</v>
      </c>
      <c r="B14" s="55"/>
      <c r="C14" s="33"/>
      <c r="D14" s="57"/>
      <c r="E14" s="58"/>
      <c r="F14" s="58"/>
      <c r="G14" s="33"/>
      <c r="H14" s="1"/>
      <c r="I14" s="159"/>
      <c r="J14" s="158"/>
      <c r="K14" s="213"/>
      <c r="L14" s="214"/>
      <c r="M14" s="1"/>
      <c r="N14" s="1"/>
      <c r="R14" s="3"/>
    </row>
    <row r="15" spans="1:22" ht="15.75">
      <c r="A15" s="163">
        <f t="shared" si="0"/>
        <v>0</v>
      </c>
      <c r="B15" s="55"/>
      <c r="C15" s="33"/>
      <c r="D15" s="57"/>
      <c r="E15" s="58"/>
      <c r="F15" s="58"/>
      <c r="G15" s="33"/>
      <c r="H15" s="1"/>
      <c r="I15" s="159"/>
      <c r="J15" s="158"/>
      <c r="K15" s="213"/>
      <c r="L15" s="214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</f>
        <v>24613.260000000002</v>
      </c>
      <c r="L19" s="230"/>
      <c r="M19" s="1"/>
      <c r="N19" s="1"/>
      <c r="R19" s="3"/>
    </row>
    <row r="20" spans="1:18" ht="16.5" thickBot="1">
      <c r="A20" s="163">
        <f>SUM(A6:A15)</f>
        <v>670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456.68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577</v>
      </c>
      <c r="K25" s="223">
        <v>300</v>
      </c>
      <c r="L25" s="224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13">
        <v>280.26</v>
      </c>
      <c r="L26" s="214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582</v>
      </c>
      <c r="K27" s="213">
        <v>586.85</v>
      </c>
      <c r="L27" s="214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13"/>
      <c r="L28" s="214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13"/>
      <c r="L29" s="214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13"/>
      <c r="L30" s="214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13"/>
      <c r="L31" s="214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13"/>
      <c r="L32" s="214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13"/>
      <c r="L33" s="214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13"/>
      <c r="L34" s="214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13"/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13"/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590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591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600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605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606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620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/>
      <c r="H52" s="1"/>
      <c r="M52" s="1"/>
      <c r="R52" s="3"/>
    </row>
    <row r="53" spans="1:18" ht="15.75">
      <c r="A53" s="1"/>
      <c r="B53" s="55"/>
      <c r="C53" s="33"/>
      <c r="D53" s="57"/>
      <c r="E53" s="58"/>
      <c r="F53" s="58"/>
      <c r="G53" s="33"/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312.93999999999994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574</v>
      </c>
      <c r="H66" s="1"/>
      <c r="M66" s="1"/>
      <c r="R66" s="3"/>
    </row>
    <row r="67" spans="1:18" ht="15.75">
      <c r="A67" s="1"/>
      <c r="B67" s="55"/>
      <c r="C67" s="33"/>
      <c r="D67" s="57">
        <f>29.39</f>
        <v>29.39</v>
      </c>
      <c r="E67" s="58"/>
      <c r="F67" s="58">
        <v>1</v>
      </c>
      <c r="G67" s="70" t="s">
        <v>607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/>
      <c r="G68" s="33"/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/>
      <c r="G69" s="33"/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1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572</v>
      </c>
      <c r="H86" s="1"/>
      <c r="M86" s="1"/>
      <c r="R86" s="3"/>
    </row>
    <row r="87" spans="1:18" ht="15.75">
      <c r="A87" s="1"/>
      <c r="B87" s="55"/>
      <c r="C87" s="33"/>
      <c r="D87" s="57">
        <v>53.97</v>
      </c>
      <c r="E87" s="58"/>
      <c r="F87" s="58"/>
      <c r="G87" s="33" t="s">
        <v>592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602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603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614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617</v>
      </c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114.58000000000001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619</v>
      </c>
      <c r="D108" s="57">
        <f>2</f>
        <v>2</v>
      </c>
      <c r="E108" s="58"/>
      <c r="F108" s="58"/>
      <c r="G108" s="73" t="s">
        <v>615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618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/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15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580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580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>
        <v>33.799999999999997</v>
      </c>
      <c r="E186" s="58"/>
      <c r="F186" s="58"/>
      <c r="G186" s="33" t="s">
        <v>575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33.799999999999997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</f>
        <v>20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587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10.4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601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100</v>
      </c>
      <c r="C300" s="34" t="s">
        <v>66</v>
      </c>
      <c r="D300" s="56">
        <f>SUM(D286:D299)</f>
        <v>0</v>
      </c>
      <c r="E300" s="56">
        <f>SUM(E286:E299)</f>
        <v>38.549999999999997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>
        <v>10.81</v>
      </c>
      <c r="E306" s="58"/>
      <c r="F306" s="58"/>
      <c r="G306" s="33" t="s">
        <v>573</v>
      </c>
    </row>
    <row r="307" spans="2:7">
      <c r="B307" s="84"/>
      <c r="C307" s="66"/>
      <c r="D307" s="57">
        <v>49.56</v>
      </c>
      <c r="E307" s="58"/>
      <c r="F307" s="58"/>
      <c r="G307" s="33" t="s">
        <v>586</v>
      </c>
    </row>
    <row r="308" spans="2:7">
      <c r="B308" s="84"/>
      <c r="C308" s="66"/>
      <c r="D308" s="57">
        <v>9.1</v>
      </c>
      <c r="E308" s="58"/>
      <c r="F308" s="58"/>
      <c r="G308" s="33" t="s">
        <v>609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348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594</v>
      </c>
    </row>
    <row r="347" spans="2:7">
      <c r="B347" s="55">
        <v>30</v>
      </c>
      <c r="C347" s="33" t="s">
        <v>560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65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</f>
        <v>18.850000000000001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593</v>
      </c>
    </row>
    <row r="368" spans="2:7">
      <c r="B368" s="55"/>
      <c r="C368" s="33"/>
      <c r="D368" s="57">
        <v>5.78</v>
      </c>
      <c r="E368" s="58"/>
      <c r="F368" s="58"/>
      <c r="G368" s="33" t="s">
        <v>598</v>
      </c>
    </row>
    <row r="369" spans="2:7">
      <c r="B369" s="55"/>
      <c r="C369" s="33"/>
      <c r="D369" s="57">
        <v>15.01</v>
      </c>
      <c r="E369" s="58"/>
      <c r="F369" s="58"/>
      <c r="G369" s="33" t="s">
        <v>604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26.79</v>
      </c>
      <c r="E380" s="56">
        <f>SUM(E366:E379)</f>
        <v>0</v>
      </c>
      <c r="F380" s="56">
        <f>SUM(F366:F379)</f>
        <v>18.850000000000001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'2018'!AI17-4008.71</f>
        <v>-2747.67</v>
      </c>
      <c r="C426" s="36" t="s">
        <v>529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-2747.67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1:8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486</v>
      </c>
      <c r="D466" s="57"/>
      <c r="E466" s="58"/>
      <c r="F466" s="58">
        <v>100</v>
      </c>
      <c r="G466" s="33" t="s">
        <v>583</v>
      </c>
      <c r="H466" s="137" t="s">
        <v>584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528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88" t="s">
        <v>70</v>
      </c>
      <c r="J4" s="156" t="s">
        <v>71</v>
      </c>
      <c r="K4" s="221" t="s">
        <v>72</v>
      </c>
      <c r="L4" s="222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23"/>
      <c r="L5" s="224"/>
      <c r="M5" s="1"/>
      <c r="N5" s="1"/>
      <c r="R5" s="3"/>
    </row>
    <row r="6" spans="1:22" ht="15.75">
      <c r="A6" s="163">
        <f>'09'!A6+B6-E6</f>
        <v>399.59</v>
      </c>
      <c r="B6" s="54">
        <v>399.59</v>
      </c>
      <c r="C6" s="36" t="s">
        <v>585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13">
        <v>550</v>
      </c>
      <c r="L6" s="214"/>
      <c r="M6" s="1" t="s">
        <v>394</v>
      </c>
      <c r="N6" s="1"/>
      <c r="R6" s="3"/>
    </row>
    <row r="7" spans="1:22" ht="15.75">
      <c r="A7" s="163">
        <f>'09'!A7+B7-E7</f>
        <v>420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13"/>
      <c r="L7" s="214"/>
      <c r="M7" s="1"/>
      <c r="N7" s="1"/>
      <c r="R7" s="3"/>
    </row>
    <row r="8" spans="1:22" ht="15.75">
      <c r="A8" s="163">
        <f>'09'!A8+B8-E8</f>
        <v>0</v>
      </c>
      <c r="B8" s="55">
        <v>0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13">
        <v>7000</v>
      </c>
      <c r="L8" s="214"/>
      <c r="M8" s="1"/>
      <c r="N8" s="1"/>
      <c r="R8" s="3"/>
    </row>
    <row r="9" spans="1:22" ht="15.75">
      <c r="A9" s="163">
        <f>'09'!A9+B9-E9</f>
        <v>28.14</v>
      </c>
      <c r="B9" s="55">
        <v>28.14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13">
        <v>659.77</v>
      </c>
      <c r="L9" s="214"/>
      <c r="M9" s="1"/>
      <c r="N9" s="1"/>
      <c r="R9" s="3"/>
    </row>
    <row r="10" spans="1:22" ht="15.75">
      <c r="A10" s="163">
        <f>'09'!A10+B10-E10</f>
        <v>12</v>
      </c>
      <c r="B10" s="55">
        <v>12</v>
      </c>
      <c r="C10" s="33" t="s">
        <v>39</v>
      </c>
      <c r="D10" s="57"/>
      <c r="E10" s="58"/>
      <c r="F10" s="58"/>
      <c r="G10" s="33" t="s">
        <v>39</v>
      </c>
      <c r="H10" s="1"/>
      <c r="I10" s="159" t="s">
        <v>76</v>
      </c>
      <c r="J10" s="158" t="s">
        <v>115</v>
      </c>
      <c r="K10" s="213">
        <v>1800.04</v>
      </c>
      <c r="L10" s="214"/>
      <c r="M10" s="1" t="s">
        <v>265</v>
      </c>
      <c r="N10" s="1"/>
      <c r="R10" s="3"/>
    </row>
    <row r="11" spans="1:22" ht="15.75">
      <c r="A11" s="163">
        <f>'09'!A11+B11-E11</f>
        <v>30.41</v>
      </c>
      <c r="B11" s="55">
        <v>30.41</v>
      </c>
      <c r="C11" s="33" t="s">
        <v>37</v>
      </c>
      <c r="D11" s="57"/>
      <c r="E11" s="58"/>
      <c r="F11" s="58"/>
      <c r="G11" s="33" t="s">
        <v>37</v>
      </c>
      <c r="H11" s="1"/>
      <c r="I11" s="159" t="s">
        <v>93</v>
      </c>
      <c r="J11" s="158" t="s">
        <v>94</v>
      </c>
      <c r="K11" s="213"/>
      <c r="L11" s="214"/>
      <c r="M11" s="1"/>
      <c r="N11" s="1"/>
      <c r="R11" s="3"/>
    </row>
    <row r="12" spans="1:22" ht="15.75">
      <c r="A12" s="163">
        <f>'09'!A12+B12-E12</f>
        <v>300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13">
        <v>5092.08</v>
      </c>
      <c r="L12" s="214"/>
      <c r="M12" s="140"/>
      <c r="N12" s="1"/>
      <c r="R12" s="3"/>
    </row>
    <row r="13" spans="1:22" ht="15.75">
      <c r="A13" s="163">
        <f>'09'!A13+B13-E13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13"/>
      <c r="L13" s="214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13"/>
      <c r="L14" s="214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13"/>
      <c r="L15" s="214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</f>
        <v>15101.890000000001</v>
      </c>
      <c r="L19" s="230"/>
      <c r="M19" s="1"/>
      <c r="N19" s="1"/>
      <c r="R19" s="3"/>
    </row>
    <row r="20" spans="1:18" ht="16.5" thickBot="1">
      <c r="A20" s="163">
        <f>SUM(A6:A15)</f>
        <v>1232.1399999999999</v>
      </c>
      <c r="B20" s="56">
        <f>SUM(B6:B19)</f>
        <v>562.14</v>
      </c>
      <c r="C20" s="34" t="s">
        <v>66</v>
      </c>
      <c r="D20" s="56">
        <f>SUM(D6:D19)</f>
        <v>0</v>
      </c>
      <c r="E20" s="56">
        <f>SUM(E6:E19)</f>
        <v>0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/>
      <c r="J25" s="3"/>
      <c r="K25" s="223"/>
      <c r="L25" s="224"/>
      <c r="M25" s="1"/>
      <c r="R25" s="3"/>
    </row>
    <row r="26" spans="1:18" ht="15.75">
      <c r="A26" s="163">
        <f>'09'!A26+B26-D26</f>
        <v>900</v>
      </c>
      <c r="B26" s="54">
        <v>900</v>
      </c>
      <c r="C26" s="66" t="s">
        <v>42</v>
      </c>
      <c r="D26" s="57"/>
      <c r="E26" s="58"/>
      <c r="F26" s="58"/>
      <c r="G26" s="33" t="s">
        <v>42</v>
      </c>
      <c r="H26" s="1"/>
      <c r="I26" s="151"/>
      <c r="J26" s="35"/>
      <c r="K26" s="213"/>
      <c r="L26" s="214"/>
      <c r="M26" s="1"/>
      <c r="R26" s="3"/>
    </row>
    <row r="27" spans="1:18" ht="15.75">
      <c r="A27" s="163">
        <f>'09'!A27+B27-D27</f>
        <v>173</v>
      </c>
      <c r="B27" s="55">
        <v>170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13"/>
      <c r="L27" s="214"/>
      <c r="M27" s="1"/>
      <c r="R27" s="3"/>
    </row>
    <row r="28" spans="1:18" ht="15.75">
      <c r="A28" s="163">
        <f>'09'!A28+B28-D28</f>
        <v>160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13"/>
      <c r="L28" s="214"/>
      <c r="M28" s="1"/>
      <c r="R28" s="3"/>
    </row>
    <row r="29" spans="1:18" ht="15.75">
      <c r="A29" s="163">
        <f>'09'!A29+B29-D29</f>
        <v>18.54</v>
      </c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/>
      <c r="J29" s="35"/>
      <c r="K29" s="213"/>
      <c r="L29" s="214"/>
      <c r="M29" s="1"/>
      <c r="R29" s="3"/>
    </row>
    <row r="30" spans="1:18" ht="15.75">
      <c r="A30" s="163">
        <f>'09'!A30+B30-D30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13"/>
      <c r="L30" s="214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13"/>
      <c r="L31" s="214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13"/>
      <c r="L32" s="214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13"/>
      <c r="L33" s="214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13"/>
      <c r="L34" s="214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13"/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13"/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1845.1</v>
      </c>
      <c r="B40" s="56">
        <f>SUM(B26:B39)</f>
        <v>1128</v>
      </c>
      <c r="C40" s="34" t="s">
        <v>66</v>
      </c>
      <c r="D40" s="56">
        <f>SUM(D26:D39)</f>
        <v>0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460</v>
      </c>
      <c r="C46" s="36"/>
      <c r="D46" s="57"/>
      <c r="E46" s="58"/>
      <c r="F46" s="58"/>
      <c r="G46" s="69"/>
      <c r="H46" s="1"/>
      <c r="M46" s="1"/>
      <c r="R46" s="3"/>
    </row>
    <row r="47" spans="1:18" ht="15.75">
      <c r="A47" s="1"/>
      <c r="B47" s="55">
        <v>30</v>
      </c>
      <c r="C47" s="33" t="s">
        <v>110</v>
      </c>
      <c r="D47" s="57"/>
      <c r="E47" s="58"/>
      <c r="F47" s="58"/>
      <c r="G47" s="33"/>
      <c r="H47" s="1"/>
      <c r="M47" s="1"/>
      <c r="R47" s="3"/>
    </row>
    <row r="48" spans="1:18" ht="15.75">
      <c r="A48" s="1"/>
      <c r="B48" s="55"/>
      <c r="C48" s="33"/>
      <c r="D48" s="57"/>
      <c r="E48" s="58"/>
      <c r="F48" s="58"/>
      <c r="G48" s="33"/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/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/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/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/>
      <c r="H52" s="1"/>
      <c r="M52" s="1"/>
      <c r="R52" s="3"/>
    </row>
    <row r="53" spans="1:18" ht="15.75">
      <c r="A53" s="1"/>
      <c r="B53" s="55"/>
      <c r="C53" s="33"/>
      <c r="D53" s="57"/>
      <c r="E53" s="58"/>
      <c r="F53" s="58"/>
      <c r="G53" s="33"/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490</v>
      </c>
      <c r="C60" s="34" t="s">
        <v>66</v>
      </c>
      <c r="D60" s="56">
        <f>SUM(D46:D59)</f>
        <v>0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/>
      <c r="G66" s="36"/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/>
      <c r="G67" s="70"/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/>
      <c r="G68" s="33"/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/>
      <c r="G69" s="33"/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0</v>
      </c>
      <c r="E80" s="56">
        <f>SUM(E66:E79)</f>
        <v>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160</v>
      </c>
      <c r="C86" s="36" t="s">
        <v>51</v>
      </c>
      <c r="E86" s="58"/>
      <c r="F86" s="58"/>
      <c r="G86" s="33"/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/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160</v>
      </c>
      <c r="C100" s="34" t="s">
        <v>66</v>
      </c>
      <c r="D100" s="56">
        <f>SUM(D87:D99)</f>
        <v>0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258.47000000000003</v>
      </c>
      <c r="B106" s="54">
        <v>258.47000000000003</v>
      </c>
      <c r="C106" s="35" t="s">
        <v>55</v>
      </c>
      <c r="D106" s="57"/>
      <c r="E106" s="58"/>
      <c r="F106" s="58"/>
      <c r="G106" s="70" t="s">
        <v>55</v>
      </c>
      <c r="H106" s="1"/>
      <c r="M106" s="1"/>
      <c r="R106" s="3"/>
    </row>
    <row r="107" spans="1:18" ht="15.75">
      <c r="A107" s="163">
        <f>'09'!A107+B107-D107</f>
        <v>71</v>
      </c>
      <c r="B107" s="55">
        <v>71</v>
      </c>
      <c r="C107" s="35" t="s">
        <v>56</v>
      </c>
      <c r="D107" s="57"/>
      <c r="E107" s="58"/>
      <c r="F107" s="58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55">
        <v>50</v>
      </c>
      <c r="C108" s="35" t="s">
        <v>619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55">
        <v>20.53</v>
      </c>
      <c r="C109" s="35" t="s">
        <v>618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4113.4400000000005</v>
      </c>
      <c r="B120" s="56">
        <f>SUM(B106:B119)</f>
        <v>400</v>
      </c>
      <c r="C120" s="34" t="s">
        <v>66</v>
      </c>
      <c r="D120" s="56">
        <f>SUM(D106:D119)</f>
        <v>0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/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0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40</v>
      </c>
      <c r="C167" s="33" t="s">
        <v>597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240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/>
      <c r="E186" s="58"/>
      <c r="F186" s="58"/>
      <c r="G186" s="3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0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/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/>
      <c r="E246" s="58"/>
      <c r="F246" s="58"/>
      <c r="G246" s="33"/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0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/>
      <c r="F286" s="58"/>
      <c r="G286" s="33"/>
    </row>
    <row r="287" spans="2:7">
      <c r="B287" s="55">
        <v>-40</v>
      </c>
      <c r="C287" s="33" t="s">
        <v>596</v>
      </c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60</v>
      </c>
      <c r="C300" s="34" t="s">
        <v>66</v>
      </c>
      <c r="D300" s="56">
        <f>SUM(D286:D299)</f>
        <v>0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/>
      <c r="E306" s="58"/>
      <c r="F306" s="58"/>
      <c r="G306" s="33"/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0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30</v>
      </c>
      <c r="C347" s="33" t="s">
        <v>562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/>
      <c r="G366" s="70" t="s">
        <v>91</v>
      </c>
    </row>
    <row r="367" spans="2:7">
      <c r="B367" s="55"/>
      <c r="C367" s="33"/>
      <c r="D367" s="57"/>
      <c r="E367" s="58"/>
      <c r="F367" s="58"/>
      <c r="G367" s="70"/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10</v>
      </c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10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'2018'!AM17-3928.14</f>
        <v>-3928.14</v>
      </c>
      <c r="C426" s="36" t="s">
        <v>561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-3928.14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1:7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7" ht="15.75">
      <c r="A466" s="163">
        <f>'09'!A466+B466-E466</f>
        <v>316</v>
      </c>
      <c r="B466" s="55">
        <v>45</v>
      </c>
      <c r="C466" s="33" t="s">
        <v>486</v>
      </c>
      <c r="D466" s="57"/>
      <c r="E466" s="58"/>
      <c r="F466" s="58"/>
      <c r="G466" s="33"/>
    </row>
    <row r="467" spans="1:7" ht="15.75">
      <c r="A467" s="163">
        <f>'09'!A467+B467-E467</f>
        <v>5</v>
      </c>
      <c r="B467" s="55">
        <v>5</v>
      </c>
      <c r="C467" s="33" t="s">
        <v>611</v>
      </c>
      <c r="D467" s="57"/>
      <c r="E467" s="58"/>
      <c r="F467" s="58"/>
      <c r="G467" s="33"/>
    </row>
    <row r="468" spans="1:7" ht="15.75">
      <c r="A468" s="163">
        <f>'09'!A468+B468-E468</f>
        <v>5</v>
      </c>
      <c r="B468" s="55">
        <v>5</v>
      </c>
      <c r="C468" s="33" t="s">
        <v>612</v>
      </c>
      <c r="D468" s="57"/>
      <c r="E468" s="58"/>
      <c r="F468" s="58"/>
      <c r="G468" s="33"/>
    </row>
    <row r="469" spans="1:7">
      <c r="B469" s="55"/>
      <c r="C469" s="33"/>
      <c r="D469" s="57"/>
      <c r="E469" s="58"/>
      <c r="F469" s="58"/>
      <c r="G469" s="33"/>
    </row>
    <row r="470" spans="1:7">
      <c r="B470" s="55"/>
      <c r="C470" s="33"/>
      <c r="D470" s="57"/>
      <c r="E470" s="58"/>
      <c r="F470" s="58"/>
      <c r="G470" s="33"/>
    </row>
    <row r="471" spans="1:7">
      <c r="B471" s="55"/>
      <c r="C471" s="33"/>
      <c r="D471" s="57"/>
      <c r="E471" s="58"/>
      <c r="F471" s="58"/>
      <c r="G471" s="33"/>
    </row>
    <row r="472" spans="1:7">
      <c r="B472" s="55"/>
      <c r="C472" s="33"/>
      <c r="D472" s="57"/>
      <c r="E472" s="58"/>
      <c r="F472" s="58"/>
      <c r="G472" s="33"/>
    </row>
    <row r="473" spans="1:7">
      <c r="B473" s="55"/>
      <c r="C473" s="33"/>
      <c r="D473" s="57"/>
      <c r="E473" s="58"/>
      <c r="F473" s="58"/>
      <c r="G473" s="33"/>
    </row>
    <row r="474" spans="1:7">
      <c r="B474" s="55"/>
      <c r="C474" s="33"/>
      <c r="D474" s="57"/>
      <c r="E474" s="58"/>
      <c r="F474" s="58"/>
      <c r="G474" s="33"/>
    </row>
    <row r="475" spans="1:7">
      <c r="B475" s="55"/>
      <c r="C475" s="33"/>
      <c r="D475" s="57"/>
      <c r="E475" s="58"/>
      <c r="F475" s="58"/>
      <c r="G475" s="33"/>
    </row>
    <row r="476" spans="1:7">
      <c r="B476" s="55"/>
      <c r="C476" s="33"/>
      <c r="D476" s="57"/>
      <c r="E476" s="58"/>
      <c r="F476" s="58"/>
      <c r="G476" s="33"/>
    </row>
    <row r="477" spans="1:7">
      <c r="B477" s="55"/>
      <c r="C477" s="33"/>
      <c r="D477" s="57"/>
      <c r="E477" s="58"/>
      <c r="F477" s="58"/>
      <c r="G477" s="33"/>
    </row>
    <row r="478" spans="1:7">
      <c r="B478" s="55"/>
      <c r="C478" s="33"/>
      <c r="D478" s="57"/>
      <c r="E478" s="58"/>
      <c r="F478" s="58"/>
      <c r="G478" s="33"/>
    </row>
    <row r="479" spans="1:7" ht="15.75" thickBot="1">
      <c r="B479" s="56"/>
      <c r="C479" s="34"/>
      <c r="D479" s="56"/>
      <c r="E479" s="59"/>
      <c r="F479" s="59"/>
      <c r="G479" s="34"/>
    </row>
    <row r="480" spans="1:7" ht="15.75" thickBot="1">
      <c r="A480" s="164">
        <f>SUM(A466:A468)</f>
        <v>326</v>
      </c>
      <c r="B480" s="56">
        <f>SUM(B466:B479)</f>
        <v>55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627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88" t="s">
        <v>70</v>
      </c>
      <c r="J4" s="156" t="s">
        <v>71</v>
      </c>
      <c r="K4" s="306" t="s">
        <v>72</v>
      </c>
      <c r="L4" s="307"/>
      <c r="M4" s="1"/>
      <c r="N4" s="1"/>
      <c r="R4" s="3"/>
    </row>
    <row r="5" spans="1:22" ht="15.75">
      <c r="A5" s="1" t="s">
        <v>610</v>
      </c>
      <c r="B5" s="298" t="s">
        <v>32</v>
      </c>
      <c r="C5" s="60" t="s">
        <v>33</v>
      </c>
      <c r="D5" s="298" t="s">
        <v>68</v>
      </c>
      <c r="E5" s="302" t="s">
        <v>69</v>
      </c>
      <c r="F5" s="302" t="s">
        <v>32</v>
      </c>
      <c r="G5" s="60" t="s">
        <v>33</v>
      </c>
      <c r="H5" s="1"/>
      <c r="I5" s="157" t="s">
        <v>73</v>
      </c>
      <c r="J5" s="158" t="s">
        <v>74</v>
      </c>
      <c r="K5" s="308"/>
      <c r="L5" s="309"/>
      <c r="M5" s="1"/>
      <c r="N5" s="1"/>
      <c r="R5" s="3"/>
    </row>
    <row r="6" spans="1:22" ht="15.75">
      <c r="A6" s="163">
        <f>'10'!A6+B6-E6</f>
        <v>799.18</v>
      </c>
      <c r="B6" s="299">
        <v>399.59</v>
      </c>
      <c r="C6" s="36" t="s">
        <v>585</v>
      </c>
      <c r="D6" s="303"/>
      <c r="E6" s="304"/>
      <c r="F6" s="304"/>
      <c r="G6" s="33" t="s">
        <v>35</v>
      </c>
      <c r="H6" s="1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'10'!A7+B7-E7</f>
        <v>480</v>
      </c>
      <c r="B7" s="300">
        <v>60</v>
      </c>
      <c r="C7" s="33" t="s">
        <v>325</v>
      </c>
      <c r="D7" s="303"/>
      <c r="E7" s="304"/>
      <c r="F7" s="304"/>
      <c r="G7" s="33" t="s">
        <v>106</v>
      </c>
      <c r="H7" s="82"/>
      <c r="I7" s="159" t="s">
        <v>76</v>
      </c>
      <c r="J7" s="158" t="s">
        <v>77</v>
      </c>
      <c r="K7" s="310"/>
      <c r="L7" s="311"/>
      <c r="M7" s="1"/>
      <c r="N7" s="1"/>
      <c r="R7" s="3"/>
    </row>
    <row r="8" spans="1:22" ht="15.75">
      <c r="A8" s="163">
        <f>'10'!A8+B8-E8</f>
        <v>0</v>
      </c>
      <c r="B8" s="300">
        <v>0</v>
      </c>
      <c r="C8" s="33" t="s">
        <v>38</v>
      </c>
      <c r="D8" s="303"/>
      <c r="F8" s="30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'10'!A9+B9-E9</f>
        <v>28.14</v>
      </c>
      <c r="B9" s="300">
        <v>0</v>
      </c>
      <c r="C9" s="33" t="s">
        <v>40</v>
      </c>
      <c r="D9" s="303"/>
      <c r="E9" s="304"/>
      <c r="F9" s="30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'10'!A10+B10-E10</f>
        <v>24</v>
      </c>
      <c r="B10" s="300">
        <v>12</v>
      </c>
      <c r="C10" s="33" t="s">
        <v>39</v>
      </c>
      <c r="D10" s="303"/>
      <c r="E10" s="304"/>
      <c r="F10" s="30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'10'!A11+B11-E11</f>
        <v>60.82</v>
      </c>
      <c r="B11" s="300">
        <v>30.41</v>
      </c>
      <c r="C11" s="33" t="s">
        <v>37</v>
      </c>
      <c r="D11" s="303"/>
      <c r="E11" s="304"/>
      <c r="F11" s="304"/>
      <c r="G11" s="33" t="s">
        <v>37</v>
      </c>
      <c r="H11" s="1"/>
      <c r="I11" s="159" t="s">
        <v>93</v>
      </c>
      <c r="J11" s="158" t="s">
        <v>94</v>
      </c>
      <c r="K11" s="310"/>
      <c r="L11" s="311"/>
      <c r="M11" s="1"/>
      <c r="N11" s="1"/>
      <c r="R11" s="3"/>
    </row>
    <row r="12" spans="1:22" ht="15.75">
      <c r="A12" s="163">
        <f>'10'!A12+B12-E12</f>
        <v>325</v>
      </c>
      <c r="B12" s="300">
        <v>25</v>
      </c>
      <c r="C12" s="33" t="s">
        <v>206</v>
      </c>
      <c r="D12" s="303"/>
      <c r="E12" s="304"/>
      <c r="F12" s="30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'10'!A13+B13-E13</f>
        <v>49</v>
      </c>
      <c r="B13" s="300">
        <v>7</v>
      </c>
      <c r="C13" s="33" t="s">
        <v>352</v>
      </c>
      <c r="D13" s="303"/>
      <c r="E13" s="304"/>
      <c r="F13" s="30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300"/>
      <c r="C14" s="33"/>
      <c r="D14" s="303"/>
      <c r="E14" s="304"/>
      <c r="F14" s="30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300"/>
      <c r="C15" s="33"/>
      <c r="D15" s="303"/>
      <c r="E15" s="304"/>
      <c r="F15" s="30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"/>
      <c r="B16" s="300"/>
      <c r="C16" s="33"/>
      <c r="D16" s="303"/>
      <c r="E16" s="304"/>
      <c r="F16" s="30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"/>
      <c r="B17" s="300"/>
      <c r="C17" s="33"/>
      <c r="D17" s="303"/>
      <c r="E17" s="304"/>
      <c r="F17" s="30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"/>
      <c r="B18" s="300"/>
      <c r="C18" s="33"/>
      <c r="D18" s="303"/>
      <c r="E18" s="304"/>
      <c r="F18" s="30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301"/>
      <c r="C19" s="34"/>
      <c r="D19" s="301"/>
      <c r="E19" s="305"/>
      <c r="F19" s="305"/>
      <c r="G19" s="34"/>
      <c r="H19" s="1"/>
      <c r="I19" s="63" t="s">
        <v>83</v>
      </c>
      <c r="J19" s="37"/>
      <c r="K19" s="312">
        <f>SUM(K5:K18)</f>
        <v>15101.890000000001</v>
      </c>
      <c r="L19" s="313"/>
      <c r="M19" s="1"/>
      <c r="N19" s="1"/>
      <c r="R19" s="3"/>
    </row>
    <row r="20" spans="1:18" ht="16.5" thickBot="1">
      <c r="A20" s="163">
        <f>SUM(A6:A15)</f>
        <v>1766.1399999999999</v>
      </c>
      <c r="B20" s="301">
        <f>SUM(B6:B19)</f>
        <v>534</v>
      </c>
      <c r="C20" s="34" t="s">
        <v>66</v>
      </c>
      <c r="D20" s="301">
        <f>SUM(D6:D19)</f>
        <v>0</v>
      </c>
      <c r="E20" s="301">
        <f>SUM(E6:E19)</f>
        <v>0</v>
      </c>
      <c r="F20" s="30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306" t="s">
        <v>134</v>
      </c>
      <c r="L24" s="307"/>
      <c r="M24" s="1"/>
      <c r="R24" s="3"/>
    </row>
    <row r="25" spans="1:18" ht="15.75">
      <c r="A25" s="1" t="s">
        <v>610</v>
      </c>
      <c r="B25" s="298" t="s">
        <v>32</v>
      </c>
      <c r="C25" s="60" t="s">
        <v>33</v>
      </c>
      <c r="D25" s="298" t="s">
        <v>68</v>
      </c>
      <c r="E25" s="302" t="s">
        <v>69</v>
      </c>
      <c r="F25" s="302" t="s">
        <v>32</v>
      </c>
      <c r="G25" s="60" t="s">
        <v>33</v>
      </c>
      <c r="H25" s="1"/>
      <c r="I25" s="150"/>
      <c r="J25" s="3"/>
      <c r="K25" s="308"/>
      <c r="L25" s="309"/>
      <c r="M25" s="1"/>
      <c r="R25" s="3"/>
    </row>
    <row r="26" spans="1:18" ht="15.75">
      <c r="A26" s="163">
        <f>'10'!A26+B26-D26</f>
        <v>1800</v>
      </c>
      <c r="B26" s="299">
        <v>900</v>
      </c>
      <c r="C26" s="66" t="s">
        <v>42</v>
      </c>
      <c r="D26" s="303"/>
      <c r="E26" s="304"/>
      <c r="F26" s="304"/>
      <c r="G26" s="33" t="s">
        <v>42</v>
      </c>
      <c r="H26" s="1"/>
      <c r="I26" s="151"/>
      <c r="J26" s="35"/>
      <c r="K26" s="310"/>
      <c r="L26" s="311"/>
      <c r="M26" s="1"/>
      <c r="R26" s="3"/>
    </row>
    <row r="27" spans="1:18" ht="15.75">
      <c r="A27" s="163">
        <f>'10'!A27+B27-D27</f>
        <v>343</v>
      </c>
      <c r="B27" s="300">
        <v>170</v>
      </c>
      <c r="C27" s="66" t="s">
        <v>44</v>
      </c>
      <c r="D27" s="303"/>
      <c r="E27" s="304"/>
      <c r="F27" s="30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'10'!A28+B28-D28</f>
        <v>200</v>
      </c>
      <c r="B28" s="300">
        <v>40</v>
      </c>
      <c r="C28" s="66" t="s">
        <v>45</v>
      </c>
      <c r="D28" s="303"/>
      <c r="E28" s="304"/>
      <c r="F28" s="30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'10'!A29+B29-D29</f>
        <v>36.54</v>
      </c>
      <c r="B29" s="300">
        <v>18</v>
      </c>
      <c r="C29" s="66" t="s">
        <v>41</v>
      </c>
      <c r="D29" s="303"/>
      <c r="E29" s="304"/>
      <c r="F29" s="304"/>
      <c r="G29" s="33" t="s">
        <v>41</v>
      </c>
      <c r="H29" s="1"/>
      <c r="I29" s="151"/>
      <c r="J29" s="35"/>
      <c r="K29" s="310"/>
      <c r="L29" s="311"/>
      <c r="M29" s="1"/>
      <c r="R29" s="3"/>
    </row>
    <row r="30" spans="1:18" ht="15.75">
      <c r="A30" s="163">
        <f>'10'!A30+B30-D30</f>
        <v>593.55999999999995</v>
      </c>
      <c r="B30" s="300">
        <v>0</v>
      </c>
      <c r="C30" s="66" t="s">
        <v>46</v>
      </c>
      <c r="D30" s="303"/>
      <c r="E30" s="304"/>
      <c r="F30" s="30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300"/>
      <c r="C31" s="33"/>
      <c r="D31" s="303"/>
      <c r="E31" s="304"/>
      <c r="F31" s="30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300"/>
      <c r="C32" s="33"/>
      <c r="D32" s="303"/>
      <c r="E32" s="304"/>
      <c r="F32" s="30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300"/>
      <c r="C33" s="33"/>
      <c r="D33" s="303"/>
      <c r="E33" s="304"/>
      <c r="F33" s="30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300"/>
      <c r="C34" s="33"/>
      <c r="D34" s="303"/>
      <c r="E34" s="304"/>
      <c r="F34" s="30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300"/>
      <c r="C35" s="33"/>
      <c r="D35" s="303"/>
      <c r="E35" s="304"/>
      <c r="F35" s="30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300"/>
      <c r="C36" s="33"/>
      <c r="D36" s="303"/>
      <c r="E36" s="304"/>
      <c r="F36" s="30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300"/>
      <c r="C37" s="33"/>
      <c r="D37" s="303"/>
      <c r="E37" s="304"/>
      <c r="F37" s="30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300"/>
      <c r="C38" s="33"/>
      <c r="D38" s="303"/>
      <c r="E38" s="304"/>
      <c r="F38" s="30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301"/>
      <c r="C39" s="34"/>
      <c r="D39" s="301"/>
      <c r="E39" s="305"/>
      <c r="F39" s="305"/>
      <c r="G39" s="34"/>
      <c r="H39" s="1"/>
      <c r="M39" s="1"/>
      <c r="R39" s="3"/>
    </row>
    <row r="40" spans="1:18" ht="16.5" thickBot="1">
      <c r="A40" s="163">
        <f>SUM(A26:A35)</f>
        <v>2973.1</v>
      </c>
      <c r="B40" s="301">
        <f>SUM(B26:B39)</f>
        <v>1128</v>
      </c>
      <c r="C40" s="34" t="s">
        <v>66</v>
      </c>
      <c r="D40" s="301">
        <f>SUM(D26:D39)</f>
        <v>0</v>
      </c>
      <c r="E40" s="301">
        <f>SUM(E26:E39)</f>
        <v>0</v>
      </c>
      <c r="F40" s="30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298" t="s">
        <v>32</v>
      </c>
      <c r="C45" s="60" t="s">
        <v>33</v>
      </c>
      <c r="D45" s="298" t="s">
        <v>68</v>
      </c>
      <c r="E45" s="302" t="s">
        <v>69</v>
      </c>
      <c r="F45" s="302" t="s">
        <v>32</v>
      </c>
      <c r="G45" s="60" t="s">
        <v>393</v>
      </c>
      <c r="H45" s="1"/>
      <c r="M45" s="1"/>
      <c r="R45" s="3"/>
    </row>
    <row r="46" spans="1:18" ht="15.75">
      <c r="A46" s="1"/>
      <c r="B46" s="299">
        <v>460</v>
      </c>
      <c r="C46" s="36"/>
      <c r="D46" s="303"/>
      <c r="E46" s="304"/>
      <c r="F46" s="304"/>
      <c r="G46" s="69"/>
      <c r="H46" s="1"/>
      <c r="M46" s="1"/>
      <c r="R46" s="3"/>
    </row>
    <row r="47" spans="1:18" ht="15.75">
      <c r="A47" s="1"/>
      <c r="B47" s="300">
        <v>30</v>
      </c>
      <c r="C47" s="33" t="s">
        <v>110</v>
      </c>
      <c r="D47" s="303"/>
      <c r="E47" s="304"/>
      <c r="F47" s="304"/>
      <c r="G47" s="33"/>
      <c r="H47" s="1"/>
      <c r="M47" s="1"/>
      <c r="R47" s="3"/>
    </row>
    <row r="48" spans="1:18" ht="15.75">
      <c r="A48" s="1"/>
      <c r="B48" s="300"/>
      <c r="C48" s="33"/>
      <c r="D48" s="303"/>
      <c r="E48" s="304"/>
      <c r="F48" s="304"/>
      <c r="G48" s="33"/>
      <c r="H48" s="1"/>
      <c r="M48" s="1"/>
      <c r="R48" s="3"/>
    </row>
    <row r="49" spans="1:18" ht="15.75">
      <c r="A49" s="1"/>
      <c r="B49" s="300"/>
      <c r="C49" s="33"/>
      <c r="D49" s="303"/>
      <c r="E49" s="304"/>
      <c r="F49" s="304"/>
      <c r="G49" s="33"/>
      <c r="H49" s="1"/>
      <c r="M49" s="1"/>
      <c r="R49" s="3"/>
    </row>
    <row r="50" spans="1:18" ht="15.75">
      <c r="A50" s="1"/>
      <c r="B50" s="300"/>
      <c r="C50" s="33"/>
      <c r="D50" s="303"/>
      <c r="E50" s="304"/>
      <c r="F50" s="304"/>
      <c r="G50" s="33"/>
      <c r="H50" s="1"/>
      <c r="M50" s="1"/>
      <c r="R50" s="3"/>
    </row>
    <row r="51" spans="1:18" ht="15.75">
      <c r="A51" s="1"/>
      <c r="B51" s="300"/>
      <c r="C51" s="33"/>
      <c r="D51" s="303"/>
      <c r="E51" s="304"/>
      <c r="F51" s="304"/>
      <c r="G51" s="33"/>
      <c r="H51" s="1"/>
      <c r="M51" s="1"/>
      <c r="R51" s="3"/>
    </row>
    <row r="52" spans="1:18" ht="15.75">
      <c r="A52" s="1"/>
      <c r="B52" s="300"/>
      <c r="C52" s="33"/>
      <c r="D52" s="303"/>
      <c r="E52" s="304"/>
      <c r="F52" s="304"/>
      <c r="G52" s="33"/>
      <c r="H52" s="1"/>
      <c r="M52" s="1"/>
      <c r="R52" s="3"/>
    </row>
    <row r="53" spans="1:18" ht="15.75">
      <c r="A53" s="1"/>
      <c r="B53" s="300"/>
      <c r="C53" s="33"/>
      <c r="D53" s="303"/>
      <c r="E53" s="304"/>
      <c r="F53" s="304"/>
      <c r="G53" s="33"/>
      <c r="H53" s="1"/>
      <c r="M53" s="1"/>
      <c r="R53" s="3"/>
    </row>
    <row r="54" spans="1:18" ht="15.75">
      <c r="A54" s="1"/>
      <c r="B54" s="300"/>
      <c r="C54" s="33"/>
      <c r="D54" s="303"/>
      <c r="E54" s="304"/>
      <c r="F54" s="304"/>
      <c r="G54" s="33"/>
      <c r="H54" s="1"/>
      <c r="M54" s="1"/>
      <c r="R54" s="3"/>
    </row>
    <row r="55" spans="1:18" ht="15.75">
      <c r="A55" s="1"/>
      <c r="B55" s="300"/>
      <c r="C55" s="33"/>
      <c r="D55" s="303"/>
      <c r="E55" s="304"/>
      <c r="F55" s="304"/>
      <c r="G55" s="33"/>
      <c r="H55" s="1"/>
      <c r="M55" s="1"/>
      <c r="R55" s="3"/>
    </row>
    <row r="56" spans="1:18" ht="15.75">
      <c r="A56" s="1"/>
      <c r="B56" s="300"/>
      <c r="C56" s="33"/>
      <c r="D56" s="303"/>
      <c r="E56" s="304"/>
      <c r="F56" s="304"/>
      <c r="G56" s="33"/>
      <c r="H56" s="1"/>
      <c r="M56" s="1"/>
      <c r="R56" s="3"/>
    </row>
    <row r="57" spans="1:18" ht="15.75">
      <c r="A57" s="1"/>
      <c r="B57" s="300"/>
      <c r="C57" s="33"/>
      <c r="D57" s="303"/>
      <c r="E57" s="304"/>
      <c r="F57" s="304"/>
      <c r="G57" s="33"/>
      <c r="H57" s="1"/>
      <c r="M57" s="1"/>
      <c r="R57" s="3"/>
    </row>
    <row r="58" spans="1:18" ht="15.75">
      <c r="A58" s="1"/>
      <c r="B58" s="300"/>
      <c r="C58" s="33"/>
      <c r="D58" s="303"/>
      <c r="E58" s="304"/>
      <c r="F58" s="304"/>
      <c r="G58" s="33"/>
      <c r="H58" s="1"/>
      <c r="M58" s="1"/>
      <c r="R58" s="3"/>
    </row>
    <row r="59" spans="1:18" ht="16.5" thickBot="1">
      <c r="A59" s="1"/>
      <c r="B59" s="301"/>
      <c r="C59" s="34"/>
      <c r="D59" s="301"/>
      <c r="E59" s="305"/>
      <c r="F59" s="305"/>
      <c r="G59" s="34"/>
      <c r="H59" s="1"/>
      <c r="M59" s="1"/>
      <c r="R59" s="3"/>
    </row>
    <row r="60" spans="1:18" ht="16.5" thickBot="1">
      <c r="A60" s="1"/>
      <c r="B60" s="301">
        <f>SUM(B46:B59)</f>
        <v>490</v>
      </c>
      <c r="C60" s="34" t="s">
        <v>66</v>
      </c>
      <c r="D60" s="301">
        <f>SUM(D46:D59)</f>
        <v>0</v>
      </c>
      <c r="E60" s="301">
        <f>SUM(E46:E59)</f>
        <v>0</v>
      </c>
      <c r="F60" s="30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298" t="s">
        <v>32</v>
      </c>
      <c r="C65" s="60" t="s">
        <v>33</v>
      </c>
      <c r="D65" s="298" t="s">
        <v>68</v>
      </c>
      <c r="E65" s="302" t="s">
        <v>69</v>
      </c>
      <c r="F65" s="302" t="s">
        <v>32</v>
      </c>
      <c r="G65" s="60" t="s">
        <v>393</v>
      </c>
      <c r="H65" s="1"/>
      <c r="M65" s="1"/>
      <c r="R65" s="3"/>
    </row>
    <row r="66" spans="1:18" ht="15.75">
      <c r="A66" s="1"/>
      <c r="B66" s="299">
        <v>150</v>
      </c>
      <c r="C66" s="36" t="s">
        <v>36</v>
      </c>
      <c r="D66" s="303"/>
      <c r="E66" s="304"/>
      <c r="F66" s="304"/>
      <c r="G66" s="36"/>
      <c r="H66" s="1"/>
      <c r="M66" s="1"/>
      <c r="R66" s="3"/>
    </row>
    <row r="67" spans="1:18" ht="15.75">
      <c r="A67" s="1"/>
      <c r="B67" s="300"/>
      <c r="C67" s="33"/>
      <c r="D67" s="303"/>
      <c r="E67" s="304"/>
      <c r="F67" s="304"/>
      <c r="G67" s="70"/>
      <c r="H67" s="1"/>
      <c r="M67" s="1"/>
      <c r="R67" s="3"/>
    </row>
    <row r="68" spans="1:18" ht="15.75">
      <c r="A68" s="1"/>
      <c r="B68" s="300"/>
      <c r="C68" s="33"/>
      <c r="D68" s="303"/>
      <c r="E68" s="304"/>
      <c r="F68" s="304"/>
      <c r="G68" s="33"/>
      <c r="H68" s="1"/>
      <c r="M68" s="1"/>
      <c r="R68" s="3"/>
    </row>
    <row r="69" spans="1:18" ht="15.75">
      <c r="A69" s="1"/>
      <c r="B69" s="300"/>
      <c r="C69" s="33"/>
      <c r="D69" s="303"/>
      <c r="E69" s="304"/>
      <c r="F69" s="304"/>
      <c r="G69" s="33"/>
      <c r="H69" s="1"/>
      <c r="M69" s="1"/>
      <c r="R69" s="3"/>
    </row>
    <row r="70" spans="1:18" ht="15.75">
      <c r="A70" s="1"/>
      <c r="B70" s="300"/>
      <c r="C70" s="33"/>
      <c r="D70" s="303"/>
      <c r="E70" s="304"/>
      <c r="F70" s="304"/>
      <c r="G70" s="33"/>
      <c r="H70" s="1"/>
      <c r="M70" s="1"/>
      <c r="R70" s="3"/>
    </row>
    <row r="71" spans="1:18" ht="15.75">
      <c r="A71" s="1"/>
      <c r="B71" s="300"/>
      <c r="C71" s="33"/>
      <c r="D71" s="303"/>
      <c r="E71" s="304"/>
      <c r="F71" s="304"/>
      <c r="G71" s="33"/>
      <c r="H71" s="1"/>
      <c r="M71" s="1"/>
      <c r="R71" s="3"/>
    </row>
    <row r="72" spans="1:18" ht="15.75">
      <c r="A72" s="1"/>
      <c r="B72" s="300"/>
      <c r="C72" s="33"/>
      <c r="D72" s="303"/>
      <c r="E72" s="304"/>
      <c r="F72" s="304"/>
      <c r="G72" s="33"/>
      <c r="H72" s="1"/>
      <c r="M72" s="1"/>
      <c r="R72" s="3"/>
    </row>
    <row r="73" spans="1:18" ht="15.75">
      <c r="A73" s="1"/>
      <c r="B73" s="300"/>
      <c r="C73" s="33"/>
      <c r="D73" s="303"/>
      <c r="E73" s="304"/>
      <c r="F73" s="304"/>
      <c r="G73" s="33"/>
      <c r="H73" s="1"/>
      <c r="M73" s="1"/>
      <c r="R73" s="3"/>
    </row>
    <row r="74" spans="1:18" ht="15.75">
      <c r="A74" s="1"/>
      <c r="B74" s="300"/>
      <c r="C74" s="33"/>
      <c r="D74" s="303"/>
      <c r="E74" s="304"/>
      <c r="F74" s="304"/>
      <c r="G74" s="33"/>
      <c r="H74" s="1"/>
      <c r="M74" s="1"/>
      <c r="R74" s="3"/>
    </row>
    <row r="75" spans="1:18" ht="15.75">
      <c r="A75" s="1"/>
      <c r="B75" s="300"/>
      <c r="C75" s="33"/>
      <c r="D75" s="303"/>
      <c r="E75" s="304"/>
      <c r="F75" s="304"/>
      <c r="G75" s="33"/>
      <c r="H75" s="1"/>
      <c r="M75" s="1"/>
      <c r="R75" s="3"/>
    </row>
    <row r="76" spans="1:18" ht="15.75">
      <c r="A76" s="1"/>
      <c r="B76" s="300"/>
      <c r="C76" s="33"/>
      <c r="D76" s="303"/>
      <c r="E76" s="304"/>
      <c r="F76" s="304"/>
      <c r="G76" s="33"/>
      <c r="H76" s="1"/>
      <c r="M76" s="1"/>
      <c r="R76" s="3"/>
    </row>
    <row r="77" spans="1:18" ht="15.75">
      <c r="A77" s="1"/>
      <c r="B77" s="300"/>
      <c r="C77" s="33"/>
      <c r="D77" s="303"/>
      <c r="E77" s="304"/>
      <c r="F77" s="304"/>
      <c r="G77" s="33"/>
      <c r="H77" s="1"/>
      <c r="M77" s="1"/>
      <c r="R77" s="3"/>
    </row>
    <row r="78" spans="1:18" ht="15.75">
      <c r="A78" s="1"/>
      <c r="B78" s="300"/>
      <c r="C78" s="33"/>
      <c r="D78" s="303"/>
      <c r="E78" s="304"/>
      <c r="F78" s="304"/>
      <c r="G78" s="33"/>
      <c r="H78" s="1"/>
      <c r="M78" s="1"/>
      <c r="R78" s="3"/>
    </row>
    <row r="79" spans="1:18" ht="16.5" thickBot="1">
      <c r="A79" s="1"/>
      <c r="B79" s="301"/>
      <c r="C79" s="34"/>
      <c r="D79" s="301"/>
      <c r="E79" s="305"/>
      <c r="F79" s="305"/>
      <c r="G79" s="34"/>
      <c r="H79" s="1"/>
      <c r="M79" s="1"/>
      <c r="R79" s="3"/>
    </row>
    <row r="80" spans="1:18" ht="16.5" thickBot="1">
      <c r="A80" s="1"/>
      <c r="B80" s="301">
        <f>SUM(B66:B79)</f>
        <v>150</v>
      </c>
      <c r="C80" s="34" t="s">
        <v>66</v>
      </c>
      <c r="D80" s="301">
        <f>SUM(D66:D79)</f>
        <v>0</v>
      </c>
      <c r="E80" s="301">
        <f>SUM(E66:E79)</f>
        <v>0</v>
      </c>
      <c r="F80" s="30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298" t="s">
        <v>32</v>
      </c>
      <c r="C85" s="60" t="s">
        <v>33</v>
      </c>
      <c r="D85" s="298" t="s">
        <v>68</v>
      </c>
      <c r="E85" s="302" t="s">
        <v>69</v>
      </c>
      <c r="F85" s="302" t="s">
        <v>32</v>
      </c>
      <c r="G85" s="60" t="s">
        <v>393</v>
      </c>
      <c r="H85" s="1"/>
      <c r="M85" s="1"/>
      <c r="R85" s="3"/>
    </row>
    <row r="86" spans="1:18" ht="15.75">
      <c r="A86" s="1"/>
      <c r="B86" s="299">
        <v>160</v>
      </c>
      <c r="C86" s="36" t="s">
        <v>51</v>
      </c>
      <c r="D86" s="303"/>
      <c r="E86" s="304"/>
      <c r="F86" s="304"/>
      <c r="G86" s="33"/>
      <c r="H86" s="1"/>
      <c r="M86" s="1"/>
      <c r="R86" s="3"/>
    </row>
    <row r="87" spans="1:18" ht="15.75">
      <c r="A87" s="1"/>
      <c r="B87" s="300"/>
      <c r="C87" s="33"/>
      <c r="D87" s="303"/>
      <c r="E87" s="304"/>
      <c r="F87" s="304"/>
      <c r="G87" s="33"/>
      <c r="H87" s="1"/>
      <c r="M87" s="1"/>
      <c r="R87" s="3"/>
    </row>
    <row r="88" spans="1:18" ht="15.75">
      <c r="A88" s="1"/>
      <c r="B88" s="300"/>
      <c r="C88" s="33"/>
      <c r="D88" s="303"/>
      <c r="E88" s="304"/>
      <c r="F88" s="304"/>
      <c r="G88" s="33"/>
      <c r="H88" s="1"/>
      <c r="M88" s="1"/>
      <c r="R88" s="3"/>
    </row>
    <row r="89" spans="1:18" ht="15.75">
      <c r="A89" s="1"/>
      <c r="B89" s="300"/>
      <c r="C89" s="33"/>
      <c r="D89" s="303"/>
      <c r="E89" s="304"/>
      <c r="F89" s="304"/>
      <c r="G89" s="33"/>
      <c r="H89" s="1"/>
      <c r="M89" s="1"/>
      <c r="R89" s="3"/>
    </row>
    <row r="90" spans="1:18" ht="15.75">
      <c r="A90" s="1"/>
      <c r="B90" s="300"/>
      <c r="C90" s="33"/>
      <c r="D90" s="303"/>
      <c r="E90" s="304"/>
      <c r="F90" s="304"/>
      <c r="G90" s="33"/>
      <c r="H90" s="1"/>
      <c r="M90" s="1"/>
      <c r="R90" s="3"/>
    </row>
    <row r="91" spans="1:18" ht="15.75">
      <c r="A91" s="1"/>
      <c r="B91" s="300"/>
      <c r="C91" s="33"/>
      <c r="D91" s="303"/>
      <c r="E91" s="304"/>
      <c r="F91" s="304"/>
      <c r="G91" s="33"/>
      <c r="H91" s="1"/>
      <c r="M91" s="1"/>
      <c r="R91" s="3"/>
    </row>
    <row r="92" spans="1:18" ht="15.75">
      <c r="A92" s="1"/>
      <c r="B92" s="300"/>
      <c r="C92" s="33"/>
      <c r="D92" s="303"/>
      <c r="E92" s="304"/>
      <c r="F92" s="304"/>
      <c r="G92" s="33"/>
      <c r="H92" s="1"/>
      <c r="M92" s="1"/>
      <c r="R92" s="3"/>
    </row>
    <row r="93" spans="1:18" ht="15.75">
      <c r="A93" s="1"/>
      <c r="B93" s="300"/>
      <c r="C93" s="33"/>
      <c r="D93" s="303"/>
      <c r="E93" s="304"/>
      <c r="F93" s="304"/>
      <c r="G93" s="33"/>
      <c r="H93" s="1"/>
      <c r="M93" s="1"/>
      <c r="R93" s="3"/>
    </row>
    <row r="94" spans="1:18" ht="15.75">
      <c r="A94" s="1"/>
      <c r="B94" s="300"/>
      <c r="C94" s="33"/>
      <c r="D94" s="303"/>
      <c r="E94" s="304"/>
      <c r="F94" s="304"/>
      <c r="G94" s="33"/>
      <c r="H94" s="1"/>
      <c r="M94" s="1"/>
      <c r="R94" s="3"/>
    </row>
    <row r="95" spans="1:18" ht="15.75">
      <c r="A95" s="1"/>
      <c r="B95" s="300"/>
      <c r="C95" s="33"/>
      <c r="D95" s="303"/>
      <c r="E95" s="304"/>
      <c r="F95" s="304"/>
      <c r="G95" s="33"/>
      <c r="H95" s="1"/>
      <c r="M95" s="1"/>
      <c r="R95" s="3"/>
    </row>
    <row r="96" spans="1:18" ht="15.75">
      <c r="A96" s="1"/>
      <c r="B96" s="300"/>
      <c r="C96" s="33"/>
      <c r="D96" s="303"/>
      <c r="E96" s="304"/>
      <c r="F96" s="304"/>
      <c r="G96" s="33"/>
      <c r="H96" s="1"/>
      <c r="M96" s="1"/>
      <c r="R96" s="3"/>
    </row>
    <row r="97" spans="1:18" ht="15.75">
      <c r="A97" s="1"/>
      <c r="B97" s="300"/>
      <c r="C97" s="33"/>
      <c r="D97" s="303"/>
      <c r="E97" s="304"/>
      <c r="F97" s="304"/>
      <c r="G97" s="33"/>
      <c r="H97" s="1"/>
      <c r="M97" s="1"/>
      <c r="R97" s="3"/>
    </row>
    <row r="98" spans="1:18" ht="15.75">
      <c r="A98" s="1"/>
      <c r="B98" s="300"/>
      <c r="C98" s="33"/>
      <c r="D98" s="303"/>
      <c r="E98" s="304"/>
      <c r="F98" s="304"/>
      <c r="G98" s="33"/>
      <c r="H98" s="1"/>
      <c r="M98" s="1"/>
      <c r="R98" s="3"/>
    </row>
    <row r="99" spans="1:18" ht="16.5" thickBot="1">
      <c r="A99" s="1"/>
      <c r="B99" s="301"/>
      <c r="C99" s="34"/>
      <c r="D99" s="301"/>
      <c r="E99" s="305"/>
      <c r="F99" s="305"/>
      <c r="G99" s="34"/>
      <c r="H99" s="1"/>
      <c r="M99" s="1"/>
      <c r="R99" s="3"/>
    </row>
    <row r="100" spans="1:18" ht="16.5" thickBot="1">
      <c r="A100" s="1"/>
      <c r="B100" s="301">
        <f>SUM(B86:B99)</f>
        <v>160</v>
      </c>
      <c r="C100" s="34" t="s">
        <v>66</v>
      </c>
      <c r="D100" s="301">
        <f>SUM(D86:D99)</f>
        <v>0</v>
      </c>
      <c r="E100" s="301">
        <f>SUM(E86:E99)</f>
        <v>0</v>
      </c>
      <c r="F100" s="30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37" t="s">
        <v>610</v>
      </c>
      <c r="B105" s="298" t="s">
        <v>32</v>
      </c>
      <c r="C105" s="60" t="s">
        <v>33</v>
      </c>
      <c r="D105" s="298" t="s">
        <v>68</v>
      </c>
      <c r="E105" s="302" t="s">
        <v>69</v>
      </c>
      <c r="F105" s="30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516.94000000000005</v>
      </c>
      <c r="B106" s="299">
        <v>258.47000000000003</v>
      </c>
      <c r="C106" s="35" t="s">
        <v>55</v>
      </c>
      <c r="D106" s="303"/>
      <c r="E106" s="304"/>
      <c r="F106" s="304"/>
      <c r="G106" s="70" t="s">
        <v>55</v>
      </c>
      <c r="H106" s="1"/>
      <c r="M106" s="1"/>
      <c r="R106" s="3"/>
    </row>
    <row r="107" spans="1:18" ht="15.75">
      <c r="A107" s="163">
        <f>'10'!A107+B107-D107</f>
        <v>142</v>
      </c>
      <c r="B107" s="300">
        <v>71</v>
      </c>
      <c r="C107" s="35" t="s">
        <v>56</v>
      </c>
      <c r="D107" s="303"/>
      <c r="E107" s="304"/>
      <c r="F107" s="30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300">
        <v>50</v>
      </c>
      <c r="C108" s="35" t="s">
        <v>619</v>
      </c>
      <c r="D108" s="303"/>
      <c r="E108" s="304"/>
      <c r="F108" s="30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300">
        <v>20.53</v>
      </c>
      <c r="C109" s="35" t="s">
        <v>618</v>
      </c>
      <c r="D109" s="303"/>
      <c r="E109" s="304"/>
      <c r="F109" s="304"/>
      <c r="G109" s="70"/>
      <c r="H109" s="1"/>
      <c r="M109" s="1"/>
      <c r="R109" s="3"/>
    </row>
    <row r="110" spans="1:18" ht="15.75">
      <c r="B110" s="300"/>
      <c r="C110" s="35"/>
      <c r="D110" s="303"/>
      <c r="E110" s="304"/>
      <c r="F110" s="304"/>
      <c r="G110" s="70"/>
      <c r="H110" s="1"/>
      <c r="M110" s="1"/>
      <c r="R110" s="3"/>
    </row>
    <row r="111" spans="1:18" ht="15.75">
      <c r="B111" s="300"/>
      <c r="C111" s="66"/>
      <c r="D111" s="303"/>
      <c r="E111" s="304"/>
      <c r="F111" s="304"/>
      <c r="G111" s="73"/>
      <c r="H111" s="1"/>
      <c r="M111" s="1"/>
      <c r="R111" s="3"/>
    </row>
    <row r="112" spans="1:18" ht="15.75">
      <c r="B112" s="300"/>
      <c r="C112" s="71"/>
      <c r="D112" s="303"/>
      <c r="E112" s="304"/>
      <c r="F112" s="304"/>
      <c r="G112" s="70"/>
      <c r="H112" s="1"/>
      <c r="M112" s="1"/>
      <c r="R112" s="3"/>
    </row>
    <row r="113" spans="1:18" ht="15.75">
      <c r="B113" s="300"/>
      <c r="C113" s="72"/>
      <c r="D113" s="303"/>
      <c r="E113" s="304"/>
      <c r="F113" s="304"/>
      <c r="G113" s="70"/>
      <c r="H113" s="1"/>
      <c r="M113" s="1"/>
      <c r="R113" s="3"/>
    </row>
    <row r="114" spans="1:18" ht="15.75">
      <c r="B114" s="300"/>
      <c r="C114" s="71"/>
      <c r="D114" s="303"/>
      <c r="E114" s="304"/>
      <c r="F114" s="304"/>
      <c r="G114" s="70"/>
      <c r="H114" s="1"/>
      <c r="M114" s="1"/>
      <c r="R114" s="3"/>
    </row>
    <row r="115" spans="1:18" ht="15.75">
      <c r="B115" s="300"/>
      <c r="C115" s="66"/>
      <c r="D115" s="303"/>
      <c r="E115" s="304"/>
      <c r="F115" s="304"/>
      <c r="G115" s="33"/>
      <c r="H115" s="1">
        <v>32768</v>
      </c>
      <c r="M115" s="1"/>
      <c r="R115" s="3"/>
    </row>
    <row r="116" spans="1:18" ht="15.75">
      <c r="B116" s="300"/>
      <c r="C116" s="35"/>
      <c r="D116" s="303"/>
      <c r="E116" s="304"/>
      <c r="F116" s="304"/>
      <c r="G116" s="33"/>
      <c r="H116" s="1">
        <f>H115*2</f>
        <v>65536</v>
      </c>
      <c r="M116" s="1"/>
      <c r="R116" s="3"/>
    </row>
    <row r="117" spans="1:18" ht="15.75">
      <c r="B117" s="300"/>
      <c r="C117" s="35"/>
      <c r="D117" s="303"/>
      <c r="E117" s="304"/>
      <c r="F117" s="304"/>
      <c r="G117" s="33"/>
      <c r="H117" s="1"/>
      <c r="M117" s="1"/>
      <c r="R117" s="3"/>
    </row>
    <row r="118" spans="1:18" ht="15.75">
      <c r="B118" s="300"/>
      <c r="C118" s="35"/>
      <c r="D118" s="303"/>
      <c r="E118" s="304"/>
      <c r="F118" s="304"/>
      <c r="G118" s="33"/>
      <c r="H118" s="1"/>
      <c r="M118" s="1"/>
      <c r="R118" s="3"/>
    </row>
    <row r="119" spans="1:18" ht="16.5" thickBot="1">
      <c r="B119" s="301"/>
      <c r="C119" s="37"/>
      <c r="D119" s="301"/>
      <c r="E119" s="305"/>
      <c r="F119" s="305"/>
      <c r="G119" s="34"/>
      <c r="H119" s="1"/>
      <c r="M119" s="1"/>
      <c r="R119" s="3"/>
    </row>
    <row r="120" spans="1:18" ht="16.5" thickBot="1">
      <c r="A120" s="164">
        <f>SUM(A106:A108)</f>
        <v>1758.94</v>
      </c>
      <c r="B120" s="301">
        <f>SUM(B106:B119)</f>
        <v>400</v>
      </c>
      <c r="C120" s="34" t="s">
        <v>66</v>
      </c>
      <c r="D120" s="301">
        <f>SUM(D106:D119)</f>
        <v>0</v>
      </c>
      <c r="E120" s="301">
        <f>SUM(E106:E119)</f>
        <v>0</v>
      </c>
      <c r="F120" s="30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298" t="s">
        <v>32</v>
      </c>
      <c r="C125" s="60" t="s">
        <v>33</v>
      </c>
      <c r="D125" s="298" t="s">
        <v>68</v>
      </c>
      <c r="E125" s="302" t="s">
        <v>69</v>
      </c>
      <c r="F125" s="302" t="s">
        <v>32</v>
      </c>
      <c r="G125" s="60" t="s">
        <v>33</v>
      </c>
      <c r="H125" s="1"/>
      <c r="M125" s="1"/>
      <c r="R125" s="3"/>
    </row>
    <row r="126" spans="1:18" ht="15.75">
      <c r="A126" s="1"/>
      <c r="B126" s="299">
        <v>27.5</v>
      </c>
      <c r="C126" s="36" t="s">
        <v>57</v>
      </c>
      <c r="D126" s="303"/>
      <c r="E126" s="304"/>
      <c r="F126" s="304"/>
      <c r="G126" s="33" t="s">
        <v>57</v>
      </c>
      <c r="H126" s="1"/>
      <c r="M126" s="1"/>
      <c r="R126" s="3"/>
    </row>
    <row r="127" spans="1:18" ht="15.75">
      <c r="A127" s="1"/>
      <c r="B127" s="300">
        <v>12.5</v>
      </c>
      <c r="C127" s="33" t="s">
        <v>58</v>
      </c>
      <c r="D127" s="303"/>
      <c r="E127" s="304"/>
      <c r="F127" s="304"/>
      <c r="G127" s="33" t="s">
        <v>199</v>
      </c>
      <c r="H127" s="1"/>
      <c r="M127" s="1"/>
      <c r="R127" s="3"/>
    </row>
    <row r="128" spans="1:18" ht="15.75">
      <c r="A128" s="1"/>
      <c r="B128" s="300">
        <v>8</v>
      </c>
      <c r="C128" s="33" t="s">
        <v>337</v>
      </c>
      <c r="D128" s="303"/>
      <c r="E128" s="304"/>
      <c r="F128" s="304"/>
      <c r="G128" s="33" t="s">
        <v>219</v>
      </c>
      <c r="H128" s="1"/>
      <c r="M128" s="1"/>
      <c r="R128" s="3"/>
    </row>
    <row r="129" spans="1:18" ht="15.75">
      <c r="A129" s="1"/>
      <c r="B129" s="300"/>
      <c r="C129" s="33"/>
      <c r="D129" s="303"/>
      <c r="E129" s="304"/>
      <c r="F129" s="304"/>
      <c r="G129" s="33" t="s">
        <v>337</v>
      </c>
      <c r="H129" s="1"/>
      <c r="M129" s="1"/>
      <c r="R129" s="3"/>
    </row>
    <row r="130" spans="1:18" ht="15.75">
      <c r="A130" s="1"/>
      <c r="B130" s="300"/>
      <c r="C130" s="33"/>
      <c r="D130" s="303"/>
      <c r="E130" s="304"/>
      <c r="F130" s="304"/>
      <c r="G130" s="33"/>
      <c r="H130" s="1"/>
      <c r="M130" s="1"/>
      <c r="R130" s="3"/>
    </row>
    <row r="131" spans="1:18" ht="15.75">
      <c r="A131" s="1"/>
      <c r="B131" s="300"/>
      <c r="C131" s="33"/>
      <c r="D131" s="303"/>
      <c r="E131" s="304"/>
      <c r="F131" s="304"/>
      <c r="G131" s="33"/>
      <c r="H131" s="1"/>
      <c r="M131" s="1"/>
      <c r="R131" s="3"/>
    </row>
    <row r="132" spans="1:18" ht="15.75">
      <c r="A132" s="1"/>
      <c r="B132" s="300"/>
      <c r="C132" s="33"/>
      <c r="D132" s="303"/>
      <c r="E132" s="304"/>
      <c r="F132" s="304"/>
      <c r="G132" s="33"/>
      <c r="H132" s="1"/>
      <c r="M132" s="1"/>
      <c r="R132" s="3"/>
    </row>
    <row r="133" spans="1:18" ht="15.75">
      <c r="A133" s="1"/>
      <c r="B133" s="300"/>
      <c r="C133" s="33"/>
      <c r="D133" s="303"/>
      <c r="E133" s="304"/>
      <c r="F133" s="304"/>
      <c r="G133" s="33"/>
      <c r="H133" s="1"/>
      <c r="M133" s="1"/>
      <c r="R133" s="3"/>
    </row>
    <row r="134" spans="1:18" ht="15.75">
      <c r="A134" s="1"/>
      <c r="B134" s="300"/>
      <c r="C134" s="33"/>
      <c r="D134" s="303"/>
      <c r="E134" s="304"/>
      <c r="F134" s="304"/>
      <c r="G134" s="33"/>
      <c r="H134" s="1"/>
      <c r="M134" s="1"/>
      <c r="R134" s="3"/>
    </row>
    <row r="135" spans="1:18" ht="15.75">
      <c r="A135" s="1"/>
      <c r="B135" s="300"/>
      <c r="C135" s="33"/>
      <c r="D135" s="303"/>
      <c r="E135" s="304"/>
      <c r="F135" s="304"/>
      <c r="G135" s="33"/>
      <c r="H135" s="1"/>
      <c r="M135" s="1"/>
      <c r="R135" s="3"/>
    </row>
    <row r="136" spans="1:18" ht="15.75">
      <c r="A136" s="1"/>
      <c r="B136" s="300"/>
      <c r="C136" s="33"/>
      <c r="D136" s="303"/>
      <c r="E136" s="304"/>
      <c r="F136" s="304"/>
      <c r="G136" s="33"/>
      <c r="H136" s="1"/>
      <c r="M136" s="1"/>
      <c r="R136" s="3"/>
    </row>
    <row r="137" spans="1:18" ht="15.75">
      <c r="A137" s="1"/>
      <c r="B137" s="300"/>
      <c r="C137" s="33"/>
      <c r="D137" s="303"/>
      <c r="E137" s="304"/>
      <c r="F137" s="304"/>
      <c r="G137" s="33"/>
      <c r="H137" s="1"/>
      <c r="M137" s="1"/>
      <c r="R137" s="3"/>
    </row>
    <row r="138" spans="1:18" ht="15.75">
      <c r="A138" s="1"/>
      <c r="B138" s="300"/>
      <c r="C138" s="33"/>
      <c r="D138" s="303"/>
      <c r="E138" s="304"/>
      <c r="F138" s="304"/>
      <c r="G138" s="33"/>
      <c r="H138" s="1"/>
      <c r="M138" s="1"/>
      <c r="R138" s="3"/>
    </row>
    <row r="139" spans="1:18" ht="16.5" thickBot="1">
      <c r="A139" s="1"/>
      <c r="B139" s="301"/>
      <c r="C139" s="34"/>
      <c r="D139" s="301"/>
      <c r="E139" s="305"/>
      <c r="F139" s="305"/>
      <c r="G139" s="34"/>
      <c r="H139" s="1"/>
      <c r="M139" s="1"/>
      <c r="R139" s="3"/>
    </row>
    <row r="140" spans="1:18" ht="16.5" thickBot="1">
      <c r="A140" s="1"/>
      <c r="B140" s="301">
        <f>SUM(B126:B139)</f>
        <v>48</v>
      </c>
      <c r="C140" s="34" t="s">
        <v>66</v>
      </c>
      <c r="D140" s="301">
        <f>SUM(D126:D139)</f>
        <v>0</v>
      </c>
      <c r="E140" s="301">
        <f>SUM(E126:E139)</f>
        <v>0</v>
      </c>
      <c r="F140" s="30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298" t="s">
        <v>32</v>
      </c>
      <c r="C145" s="60" t="s">
        <v>33</v>
      </c>
      <c r="D145" s="298" t="s">
        <v>68</v>
      </c>
      <c r="E145" s="302" t="s">
        <v>69</v>
      </c>
      <c r="F145" s="30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99">
        <v>50</v>
      </c>
      <c r="C146" s="36" t="s">
        <v>489</v>
      </c>
      <c r="D146" s="303"/>
      <c r="E146" s="304"/>
      <c r="F146" s="304"/>
      <c r="G146" s="33"/>
      <c r="H146" s="1"/>
      <c r="M146" s="1"/>
      <c r="R146" s="3"/>
    </row>
    <row r="147" spans="1:22" ht="15.75">
      <c r="A147" s="1"/>
      <c r="B147" s="300"/>
      <c r="C147" s="33"/>
      <c r="D147" s="303"/>
      <c r="E147" s="304"/>
      <c r="F147" s="304"/>
      <c r="G147" s="33"/>
      <c r="H147" s="1"/>
      <c r="M147" s="1"/>
      <c r="R147" s="3"/>
    </row>
    <row r="148" spans="1:22" ht="15.75">
      <c r="A148" s="1"/>
      <c r="B148" s="300"/>
      <c r="C148" s="33"/>
      <c r="D148" s="303"/>
      <c r="E148" s="304"/>
      <c r="F148" s="304"/>
      <c r="G148" s="33"/>
      <c r="H148" s="1"/>
      <c r="M148" s="1"/>
      <c r="R148" s="3"/>
    </row>
    <row r="149" spans="1:22" ht="15.75">
      <c r="A149" s="1"/>
      <c r="B149" s="300"/>
      <c r="C149" s="33"/>
      <c r="D149" s="303"/>
      <c r="E149" s="304"/>
      <c r="F149" s="304"/>
      <c r="G149" s="33"/>
      <c r="H149" s="1"/>
      <c r="M149" s="1"/>
      <c r="R149" s="3"/>
    </row>
    <row r="150" spans="1:22" ht="15.75">
      <c r="A150" s="1"/>
      <c r="B150" s="300"/>
      <c r="C150" s="33"/>
      <c r="D150" s="303"/>
      <c r="E150" s="304"/>
      <c r="F150" s="304"/>
      <c r="G150" s="33"/>
      <c r="H150" s="1"/>
      <c r="M150" s="1"/>
      <c r="R150" s="3"/>
    </row>
    <row r="151" spans="1:22" ht="15.75">
      <c r="A151" s="1"/>
      <c r="B151" s="300"/>
      <c r="C151" s="33"/>
      <c r="D151" s="303"/>
      <c r="E151" s="304"/>
      <c r="F151" s="304"/>
      <c r="G151" s="33"/>
      <c r="H151" s="1"/>
      <c r="M151" s="1"/>
      <c r="R151" s="3"/>
    </row>
    <row r="152" spans="1:22" ht="15.75">
      <c r="A152" s="1"/>
      <c r="B152" s="300"/>
      <c r="C152" s="33"/>
      <c r="D152" s="303"/>
      <c r="E152" s="304"/>
      <c r="F152" s="304"/>
      <c r="G152" s="33"/>
      <c r="H152" s="1"/>
      <c r="M152" s="1"/>
      <c r="R152" s="3"/>
    </row>
    <row r="153" spans="1:22" ht="15.75">
      <c r="A153" s="1"/>
      <c r="B153" s="300"/>
      <c r="C153" s="33"/>
      <c r="D153" s="303"/>
      <c r="E153" s="304"/>
      <c r="F153" s="304"/>
      <c r="G153" s="33"/>
      <c r="H153" s="1"/>
      <c r="M153" s="1"/>
      <c r="R153" s="3"/>
    </row>
    <row r="154" spans="1:22" ht="15.75">
      <c r="A154" s="1"/>
      <c r="B154" s="300"/>
      <c r="C154" s="33"/>
      <c r="D154" s="303"/>
      <c r="E154" s="304"/>
      <c r="F154" s="304"/>
      <c r="G154" s="33"/>
      <c r="H154" s="1"/>
      <c r="M154" s="1"/>
      <c r="R154" s="3"/>
    </row>
    <row r="155" spans="1:22" ht="15.75">
      <c r="A155" s="1"/>
      <c r="B155" s="300"/>
      <c r="C155" s="33"/>
      <c r="D155" s="303"/>
      <c r="E155" s="304"/>
      <c r="F155" s="304"/>
      <c r="G155" s="33"/>
      <c r="H155" s="1"/>
      <c r="M155" s="1"/>
      <c r="R155" s="3"/>
    </row>
    <row r="156" spans="1:22" ht="15.75">
      <c r="A156" s="1"/>
      <c r="B156" s="300"/>
      <c r="C156" s="33"/>
      <c r="D156" s="303"/>
      <c r="E156" s="304"/>
      <c r="F156" s="304"/>
      <c r="G156" s="33"/>
      <c r="H156" s="1"/>
      <c r="M156" s="1"/>
      <c r="R156" s="3"/>
    </row>
    <row r="157" spans="1:22" ht="15.75">
      <c r="A157" s="1"/>
      <c r="B157" s="300"/>
      <c r="C157" s="33"/>
      <c r="D157" s="303"/>
      <c r="E157" s="304"/>
      <c r="F157" s="304"/>
      <c r="G157" s="33"/>
      <c r="H157" s="1"/>
      <c r="M157" s="1"/>
      <c r="R157" s="3"/>
    </row>
    <row r="158" spans="1:22" ht="15.75">
      <c r="A158" s="1"/>
      <c r="B158" s="300"/>
      <c r="C158" s="33"/>
      <c r="D158" s="303"/>
      <c r="E158" s="304"/>
      <c r="F158" s="304"/>
      <c r="G158" s="33"/>
      <c r="H158" s="1"/>
      <c r="M158" s="1"/>
      <c r="R158" s="3"/>
    </row>
    <row r="159" spans="1:22" ht="16.5" thickBot="1">
      <c r="A159" s="1"/>
      <c r="B159" s="301"/>
      <c r="C159" s="34"/>
      <c r="D159" s="301"/>
      <c r="E159" s="305"/>
      <c r="F159" s="305"/>
      <c r="G159" s="34"/>
      <c r="H159" s="1"/>
      <c r="M159" s="1"/>
      <c r="R159" s="3"/>
    </row>
    <row r="160" spans="1:22" ht="16.5" thickBot="1">
      <c r="A160" s="1"/>
      <c r="B160" s="301">
        <f>SUM(B146:B159)</f>
        <v>50</v>
      </c>
      <c r="C160" s="34" t="s">
        <v>66</v>
      </c>
      <c r="D160" s="301">
        <f>SUM(D146:D159)</f>
        <v>0</v>
      </c>
      <c r="E160" s="301">
        <f>SUM(E146:E159)</f>
        <v>0</v>
      </c>
      <c r="F160" s="30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98" t="s">
        <v>32</v>
      </c>
      <c r="C165" s="60" t="s">
        <v>33</v>
      </c>
      <c r="D165" s="298" t="s">
        <v>68</v>
      </c>
      <c r="E165" s="302" t="s">
        <v>69</v>
      </c>
      <c r="F165" s="30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99">
        <v>200</v>
      </c>
      <c r="C166" s="36" t="s">
        <v>36</v>
      </c>
      <c r="D166" s="303"/>
      <c r="E166" s="304"/>
      <c r="F166" s="30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00"/>
      <c r="C167" s="33"/>
      <c r="D167" s="303"/>
      <c r="E167" s="304"/>
      <c r="F167" s="30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00"/>
      <c r="C168" s="33"/>
      <c r="D168" s="303"/>
      <c r="E168" s="304"/>
      <c r="F168" s="30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00"/>
      <c r="C169" s="33"/>
      <c r="D169" s="303"/>
      <c r="E169" s="304"/>
      <c r="F169" s="30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00"/>
      <c r="C170" s="33"/>
      <c r="D170" s="303"/>
      <c r="E170" s="304"/>
      <c r="F170" s="30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00"/>
      <c r="C171" s="33"/>
      <c r="D171" s="303"/>
      <c r="E171" s="304"/>
      <c r="F171" s="30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00"/>
      <c r="C172" s="33"/>
      <c r="D172" s="303"/>
      <c r="E172" s="304"/>
      <c r="F172" s="30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00"/>
      <c r="C173" s="33"/>
      <c r="D173" s="303"/>
      <c r="E173" s="304"/>
      <c r="F173" s="30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00"/>
      <c r="C174" s="33"/>
      <c r="D174" s="303"/>
      <c r="E174" s="304"/>
      <c r="F174" s="30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00"/>
      <c r="C175" s="33"/>
      <c r="D175" s="303"/>
      <c r="E175" s="304"/>
      <c r="F175" s="30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00"/>
      <c r="C176" s="33"/>
      <c r="D176" s="303"/>
      <c r="E176" s="304"/>
      <c r="F176" s="30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00"/>
      <c r="C177" s="33"/>
      <c r="D177" s="303"/>
      <c r="E177" s="304"/>
      <c r="F177" s="30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00"/>
      <c r="C178" s="33"/>
      <c r="D178" s="303"/>
      <c r="E178" s="304"/>
      <c r="F178" s="30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01"/>
      <c r="C179" s="34"/>
      <c r="D179" s="301"/>
      <c r="E179" s="305"/>
      <c r="F179" s="30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01">
        <f>SUM(B166:B179)</f>
        <v>200</v>
      </c>
      <c r="C180" s="34" t="s">
        <v>66</v>
      </c>
      <c r="D180" s="301">
        <f>SUM(D166:D179)</f>
        <v>0</v>
      </c>
      <c r="E180" s="301">
        <f>SUM(E166:E179)</f>
        <v>0</v>
      </c>
      <c r="F180" s="30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98" t="s">
        <v>32</v>
      </c>
      <c r="C185" s="60" t="s">
        <v>33</v>
      </c>
      <c r="D185" s="298" t="s">
        <v>68</v>
      </c>
      <c r="E185" s="302" t="s">
        <v>69</v>
      </c>
      <c r="F185" s="30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99">
        <v>70</v>
      </c>
      <c r="C186" s="36" t="s">
        <v>508</v>
      </c>
      <c r="D186" s="303"/>
      <c r="E186" s="304"/>
      <c r="F186" s="30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00"/>
      <c r="C187" s="33"/>
      <c r="D187" s="303"/>
      <c r="E187" s="304"/>
      <c r="F187" s="30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00"/>
      <c r="C188" s="33"/>
      <c r="D188" s="303"/>
      <c r="E188" s="304"/>
      <c r="F188" s="304"/>
      <c r="G188" s="33"/>
    </row>
    <row r="189" spans="1:22">
      <c r="B189" s="300"/>
      <c r="C189" s="33"/>
      <c r="D189" s="303"/>
      <c r="E189" s="304"/>
      <c r="F189" s="304"/>
      <c r="G189" s="33"/>
    </row>
    <row r="190" spans="1:22">
      <c r="B190" s="300"/>
      <c r="C190" s="33"/>
      <c r="D190" s="303"/>
      <c r="E190" s="304"/>
      <c r="F190" s="304"/>
      <c r="G190" s="33"/>
    </row>
    <row r="191" spans="1:22">
      <c r="B191" s="300"/>
      <c r="C191" s="33"/>
      <c r="D191" s="303"/>
      <c r="E191" s="304"/>
      <c r="F191" s="304"/>
      <c r="G191" s="33"/>
    </row>
    <row r="192" spans="1:22">
      <c r="B192" s="300"/>
      <c r="C192" s="33"/>
      <c r="D192" s="303"/>
      <c r="E192" s="304"/>
      <c r="F192" s="304"/>
      <c r="G192" s="33"/>
    </row>
    <row r="193" spans="2:7">
      <c r="B193" s="300"/>
      <c r="C193" s="33"/>
      <c r="D193" s="303"/>
      <c r="E193" s="304"/>
      <c r="F193" s="304"/>
      <c r="G193" s="33"/>
    </row>
    <row r="194" spans="2:7">
      <c r="B194" s="300"/>
      <c r="C194" s="33"/>
      <c r="D194" s="303"/>
      <c r="E194" s="304"/>
      <c r="F194" s="304"/>
      <c r="G194" s="33"/>
    </row>
    <row r="195" spans="2:7">
      <c r="B195" s="300"/>
      <c r="C195" s="33"/>
      <c r="D195" s="303"/>
      <c r="E195" s="304"/>
      <c r="F195" s="304"/>
      <c r="G195" s="33"/>
    </row>
    <row r="196" spans="2:7">
      <c r="B196" s="300"/>
      <c r="C196" s="33"/>
      <c r="D196" s="303"/>
      <c r="E196" s="304"/>
      <c r="F196" s="304"/>
      <c r="G196" s="33"/>
    </row>
    <row r="197" spans="2:7">
      <c r="B197" s="300"/>
      <c r="C197" s="33"/>
      <c r="D197" s="303"/>
      <c r="E197" s="304"/>
      <c r="F197" s="304"/>
      <c r="G197" s="33"/>
    </row>
    <row r="198" spans="2:7">
      <c r="B198" s="300"/>
      <c r="C198" s="33"/>
      <c r="D198" s="303"/>
      <c r="E198" s="304"/>
      <c r="F198" s="304"/>
      <c r="G198" s="33"/>
    </row>
    <row r="199" spans="2:7" ht="15.75" thickBot="1">
      <c r="B199" s="301"/>
      <c r="C199" s="34"/>
      <c r="D199" s="301"/>
      <c r="E199" s="305"/>
      <c r="F199" s="305"/>
      <c r="G199" s="34"/>
    </row>
    <row r="200" spans="2:7" ht="15.75" thickBot="1">
      <c r="B200" s="301">
        <f>SUM(B186:B199)</f>
        <v>70</v>
      </c>
      <c r="C200" s="34" t="s">
        <v>66</v>
      </c>
      <c r="D200" s="301">
        <f>SUM(D186:D199)</f>
        <v>0</v>
      </c>
      <c r="E200" s="301">
        <f>SUM(E186:E199)</f>
        <v>0</v>
      </c>
      <c r="F200" s="30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298" t="s">
        <v>32</v>
      </c>
      <c r="C205" s="60" t="s">
        <v>33</v>
      </c>
      <c r="D205" s="298" t="s">
        <v>68</v>
      </c>
      <c r="E205" s="302" t="s">
        <v>69</v>
      </c>
      <c r="F205" s="302" t="s">
        <v>32</v>
      </c>
      <c r="G205" s="60" t="s">
        <v>393</v>
      </c>
    </row>
    <row r="206" spans="2:7">
      <c r="B206" s="299">
        <v>35</v>
      </c>
      <c r="C206" s="36"/>
      <c r="D206" s="303"/>
      <c r="E206" s="304"/>
      <c r="F206" s="304"/>
      <c r="G206" s="33"/>
    </row>
    <row r="207" spans="2:7">
      <c r="B207" s="300"/>
      <c r="C207" s="33"/>
      <c r="D207" s="303"/>
      <c r="E207" s="304"/>
      <c r="F207" s="304"/>
      <c r="G207" s="33"/>
    </row>
    <row r="208" spans="2:7">
      <c r="B208" s="300"/>
      <c r="C208" s="33"/>
      <c r="D208" s="303"/>
      <c r="E208" s="304"/>
      <c r="F208" s="304"/>
      <c r="G208" s="33"/>
    </row>
    <row r="209" spans="2:7">
      <c r="B209" s="300"/>
      <c r="C209" s="33"/>
      <c r="D209" s="303"/>
      <c r="E209" s="304"/>
      <c r="F209" s="304"/>
      <c r="G209" s="33"/>
    </row>
    <row r="210" spans="2:7">
      <c r="B210" s="300"/>
      <c r="C210" s="33"/>
      <c r="D210" s="303"/>
      <c r="E210" s="304"/>
      <c r="F210" s="304"/>
      <c r="G210" s="33"/>
    </row>
    <row r="211" spans="2:7">
      <c r="B211" s="300"/>
      <c r="C211" s="33"/>
      <c r="D211" s="303"/>
      <c r="E211" s="304"/>
      <c r="F211" s="304"/>
      <c r="G211" s="33"/>
    </row>
    <row r="212" spans="2:7">
      <c r="B212" s="300"/>
      <c r="C212" s="33"/>
      <c r="D212" s="303"/>
      <c r="E212" s="304"/>
      <c r="F212" s="304"/>
      <c r="G212" s="33"/>
    </row>
    <row r="213" spans="2:7">
      <c r="B213" s="300"/>
      <c r="C213" s="33"/>
      <c r="D213" s="303"/>
      <c r="E213" s="304"/>
      <c r="F213" s="304"/>
      <c r="G213" s="33"/>
    </row>
    <row r="214" spans="2:7">
      <c r="B214" s="300"/>
      <c r="C214" s="33"/>
      <c r="D214" s="303"/>
      <c r="E214" s="304"/>
      <c r="F214" s="304"/>
      <c r="G214" s="33"/>
    </row>
    <row r="215" spans="2:7">
      <c r="B215" s="300"/>
      <c r="C215" s="33"/>
      <c r="D215" s="303"/>
      <c r="E215" s="304"/>
      <c r="F215" s="304"/>
      <c r="G215" s="33"/>
    </row>
    <row r="216" spans="2:7">
      <c r="B216" s="300"/>
      <c r="C216" s="33"/>
      <c r="D216" s="303"/>
      <c r="E216" s="304"/>
      <c r="F216" s="304"/>
      <c r="G216" s="33"/>
    </row>
    <row r="217" spans="2:7">
      <c r="B217" s="300"/>
      <c r="C217" s="33"/>
      <c r="D217" s="303"/>
      <c r="E217" s="304"/>
      <c r="F217" s="304"/>
      <c r="G217" s="33"/>
    </row>
    <row r="218" spans="2:7">
      <c r="B218" s="300"/>
      <c r="C218" s="33"/>
      <c r="D218" s="303"/>
      <c r="E218" s="304"/>
      <c r="F218" s="304"/>
      <c r="G218" s="33"/>
    </row>
    <row r="219" spans="2:7" ht="15.75" thickBot="1">
      <c r="B219" s="301"/>
      <c r="C219" s="34"/>
      <c r="D219" s="301"/>
      <c r="E219" s="305"/>
      <c r="F219" s="305"/>
      <c r="G219" s="34"/>
    </row>
    <row r="220" spans="2:7" ht="15.75" thickBot="1">
      <c r="B220" s="301">
        <f>SUM(B206:B219)</f>
        <v>35</v>
      </c>
      <c r="C220" s="34" t="s">
        <v>66</v>
      </c>
      <c r="D220" s="301">
        <f>SUM(D206:D219)</f>
        <v>0</v>
      </c>
      <c r="E220" s="301">
        <f>SUM(E206:E219)</f>
        <v>0</v>
      </c>
      <c r="F220" s="30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298" t="s">
        <v>32</v>
      </c>
      <c r="C225" s="60" t="s">
        <v>33</v>
      </c>
      <c r="D225" s="298" t="s">
        <v>68</v>
      </c>
      <c r="E225" s="302" t="s">
        <v>69</v>
      </c>
      <c r="F225" s="302" t="s">
        <v>32</v>
      </c>
      <c r="G225" s="60" t="s">
        <v>33</v>
      </c>
    </row>
    <row r="226" spans="2:7">
      <c r="B226" s="299">
        <v>20</v>
      </c>
      <c r="C226" s="36" t="s">
        <v>50</v>
      </c>
      <c r="D226" s="303"/>
      <c r="E226" s="304"/>
      <c r="F226" s="304"/>
      <c r="G226" s="33" t="s">
        <v>50</v>
      </c>
    </row>
    <row r="227" spans="2:7">
      <c r="B227" s="300"/>
      <c r="C227" s="33" t="s">
        <v>46</v>
      </c>
      <c r="D227" s="303"/>
      <c r="E227" s="304"/>
      <c r="F227" s="304"/>
      <c r="G227" s="33"/>
    </row>
    <row r="228" spans="2:7">
      <c r="B228" s="300"/>
      <c r="C228" s="33"/>
      <c r="D228" s="303"/>
      <c r="E228" s="304"/>
      <c r="F228" s="304"/>
      <c r="G228" s="33"/>
    </row>
    <row r="229" spans="2:7">
      <c r="B229" s="300"/>
      <c r="C229" s="33"/>
      <c r="D229" s="303"/>
      <c r="E229" s="304"/>
      <c r="F229" s="304"/>
      <c r="G229" s="33"/>
    </row>
    <row r="230" spans="2:7">
      <c r="B230" s="300"/>
      <c r="C230" s="33"/>
      <c r="D230" s="303"/>
      <c r="E230" s="304"/>
      <c r="F230" s="304"/>
      <c r="G230" s="33"/>
    </row>
    <row r="231" spans="2:7">
      <c r="B231" s="300"/>
      <c r="C231" s="33"/>
      <c r="D231" s="303"/>
      <c r="E231" s="304"/>
      <c r="F231" s="304"/>
      <c r="G231" s="33"/>
    </row>
    <row r="232" spans="2:7">
      <c r="B232" s="300"/>
      <c r="C232" s="33"/>
      <c r="D232" s="303"/>
      <c r="E232" s="304"/>
      <c r="F232" s="304"/>
      <c r="G232" s="33"/>
    </row>
    <row r="233" spans="2:7">
      <c r="B233" s="300"/>
      <c r="C233" s="33"/>
      <c r="D233" s="303"/>
      <c r="E233" s="304"/>
      <c r="F233" s="304"/>
      <c r="G233" s="33"/>
    </row>
    <row r="234" spans="2:7">
      <c r="B234" s="300"/>
      <c r="C234" s="33"/>
      <c r="D234" s="303"/>
      <c r="E234" s="304"/>
      <c r="F234" s="304"/>
      <c r="G234" s="33"/>
    </row>
    <row r="235" spans="2:7">
      <c r="B235" s="300"/>
      <c r="C235" s="33"/>
      <c r="D235" s="303"/>
      <c r="E235" s="304"/>
      <c r="F235" s="304"/>
      <c r="G235" s="33"/>
    </row>
    <row r="236" spans="2:7">
      <c r="B236" s="300"/>
      <c r="C236" s="33"/>
      <c r="D236" s="303"/>
      <c r="E236" s="304"/>
      <c r="F236" s="304"/>
      <c r="G236" s="33"/>
    </row>
    <row r="237" spans="2:7">
      <c r="B237" s="300"/>
      <c r="C237" s="33"/>
      <c r="D237" s="303"/>
      <c r="E237" s="304"/>
      <c r="F237" s="304"/>
      <c r="G237" s="33"/>
    </row>
    <row r="238" spans="2:7">
      <c r="B238" s="300"/>
      <c r="C238" s="33"/>
      <c r="D238" s="303"/>
      <c r="E238" s="304"/>
      <c r="F238" s="304"/>
      <c r="G238" s="33"/>
    </row>
    <row r="239" spans="2:7" ht="15.75" thickBot="1">
      <c r="B239" s="301"/>
      <c r="C239" s="34"/>
      <c r="D239" s="301"/>
      <c r="E239" s="305"/>
      <c r="F239" s="305"/>
      <c r="G239" s="34"/>
    </row>
    <row r="240" spans="2:7" ht="15.75" thickBot="1">
      <c r="B240" s="301">
        <f>SUM(B226:B239)</f>
        <v>20</v>
      </c>
      <c r="C240" s="34" t="s">
        <v>66</v>
      </c>
      <c r="D240" s="301">
        <f>SUM(D226:D239)</f>
        <v>0</v>
      </c>
      <c r="E240" s="301">
        <f>SUM(E226:E239)</f>
        <v>0</v>
      </c>
      <c r="F240" s="30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298" t="s">
        <v>32</v>
      </c>
      <c r="C245" s="60" t="s">
        <v>33</v>
      </c>
      <c r="D245" s="298" t="s">
        <v>68</v>
      </c>
      <c r="E245" s="302" t="s">
        <v>69</v>
      </c>
      <c r="F245" s="302" t="s">
        <v>32</v>
      </c>
      <c r="G245" s="60" t="s">
        <v>393</v>
      </c>
    </row>
    <row r="246" spans="2:7" ht="15" customHeight="1">
      <c r="B246" s="300">
        <v>50</v>
      </c>
      <c r="C246" s="66"/>
      <c r="D246" s="303"/>
      <c r="E246" s="304"/>
      <c r="F246" s="304"/>
      <c r="G246" s="33"/>
    </row>
    <row r="247" spans="2:7" ht="15" customHeight="1">
      <c r="B247" s="300"/>
      <c r="C247" s="33"/>
      <c r="D247" s="303"/>
      <c r="E247" s="304"/>
      <c r="F247" s="304"/>
      <c r="G247" s="33"/>
    </row>
    <row r="248" spans="2:7">
      <c r="B248" s="300"/>
      <c r="C248" s="33"/>
      <c r="D248" s="303"/>
      <c r="E248" s="304"/>
      <c r="F248" s="304"/>
      <c r="G248" s="33"/>
    </row>
    <row r="249" spans="2:7">
      <c r="B249" s="300"/>
      <c r="C249" s="33"/>
      <c r="D249" s="303"/>
      <c r="E249" s="304"/>
      <c r="F249" s="304"/>
      <c r="G249" s="33"/>
    </row>
    <row r="250" spans="2:7">
      <c r="B250" s="300"/>
      <c r="C250" s="33"/>
      <c r="D250" s="303"/>
      <c r="E250" s="304"/>
      <c r="F250" s="304"/>
      <c r="G250" s="33"/>
    </row>
    <row r="251" spans="2:7">
      <c r="B251" s="300"/>
      <c r="C251" s="33"/>
      <c r="D251" s="303"/>
      <c r="E251" s="304"/>
      <c r="F251" s="304"/>
      <c r="G251" s="33"/>
    </row>
    <row r="252" spans="2:7">
      <c r="B252" s="300"/>
      <c r="C252" s="33"/>
      <c r="D252" s="303"/>
      <c r="E252" s="304"/>
      <c r="F252" s="304"/>
      <c r="G252" s="33"/>
    </row>
    <row r="253" spans="2:7">
      <c r="B253" s="300"/>
      <c r="C253" s="33"/>
      <c r="D253" s="303"/>
      <c r="E253" s="304"/>
      <c r="F253" s="304"/>
      <c r="G253" s="33"/>
    </row>
    <row r="254" spans="2:7">
      <c r="B254" s="300"/>
      <c r="C254" s="33"/>
      <c r="D254" s="303"/>
      <c r="E254" s="304"/>
      <c r="F254" s="304"/>
      <c r="G254" s="33"/>
    </row>
    <row r="255" spans="2:7">
      <c r="B255" s="300"/>
      <c r="C255" s="33"/>
      <c r="D255" s="303"/>
      <c r="E255" s="304"/>
      <c r="F255" s="304"/>
      <c r="G255" s="33"/>
    </row>
    <row r="256" spans="2:7">
      <c r="B256" s="300"/>
      <c r="C256" s="33"/>
      <c r="D256" s="303"/>
      <c r="E256" s="304"/>
      <c r="F256" s="304"/>
      <c r="G256" s="33"/>
    </row>
    <row r="257" spans="2:7">
      <c r="B257" s="300"/>
      <c r="C257" s="33"/>
      <c r="D257" s="303"/>
      <c r="E257" s="304"/>
      <c r="F257" s="304"/>
      <c r="G257" s="33"/>
    </row>
    <row r="258" spans="2:7">
      <c r="B258" s="300"/>
      <c r="C258" s="33"/>
      <c r="D258" s="303"/>
      <c r="E258" s="304"/>
      <c r="F258" s="304"/>
      <c r="G258" s="33"/>
    </row>
    <row r="259" spans="2:7" ht="15.75" thickBot="1">
      <c r="B259" s="301"/>
      <c r="C259" s="34"/>
      <c r="D259" s="301"/>
      <c r="E259" s="305"/>
      <c r="F259" s="305"/>
      <c r="G259" s="34"/>
    </row>
    <row r="260" spans="2:7" ht="15.75" thickBot="1">
      <c r="B260" s="301">
        <f>SUM(B246:B259)</f>
        <v>50</v>
      </c>
      <c r="C260" s="34" t="s">
        <v>66</v>
      </c>
      <c r="D260" s="301">
        <f>SUM(D246:D259)</f>
        <v>0</v>
      </c>
      <c r="E260" s="301">
        <f>SUM(E246:E259)</f>
        <v>0</v>
      </c>
      <c r="F260" s="30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298" t="s">
        <v>32</v>
      </c>
      <c r="C265" s="60" t="s">
        <v>33</v>
      </c>
      <c r="D265" s="298" t="s">
        <v>68</v>
      </c>
      <c r="E265" s="302" t="s">
        <v>69</v>
      </c>
      <c r="F265" s="302" t="s">
        <v>32</v>
      </c>
      <c r="G265" s="60" t="s">
        <v>33</v>
      </c>
    </row>
    <row r="266" spans="2:7">
      <c r="B266" s="299">
        <v>50</v>
      </c>
      <c r="C266" s="36"/>
      <c r="D266" s="303"/>
      <c r="E266" s="304"/>
      <c r="F266" s="304"/>
      <c r="G266" s="33"/>
    </row>
    <row r="267" spans="2:7">
      <c r="B267" s="300"/>
      <c r="C267" s="33"/>
      <c r="D267" s="303"/>
      <c r="E267" s="304"/>
      <c r="F267" s="304"/>
      <c r="G267" s="33"/>
    </row>
    <row r="268" spans="2:7">
      <c r="B268" s="300"/>
      <c r="C268" s="33"/>
      <c r="D268" s="303"/>
      <c r="E268" s="304"/>
      <c r="F268" s="304"/>
      <c r="G268" s="33"/>
    </row>
    <row r="269" spans="2:7">
      <c r="B269" s="300"/>
      <c r="C269" s="33"/>
      <c r="D269" s="303"/>
      <c r="E269" s="304"/>
      <c r="F269" s="304"/>
      <c r="G269" s="33"/>
    </row>
    <row r="270" spans="2:7">
      <c r="B270" s="300"/>
      <c r="C270" s="33"/>
      <c r="D270" s="303"/>
      <c r="E270" s="304"/>
      <c r="F270" s="304"/>
      <c r="G270" s="33"/>
    </row>
    <row r="271" spans="2:7">
      <c r="B271" s="300"/>
      <c r="C271" s="33"/>
      <c r="D271" s="303"/>
      <c r="E271" s="304"/>
      <c r="F271" s="304"/>
      <c r="G271" s="33"/>
    </row>
    <row r="272" spans="2:7">
      <c r="B272" s="300"/>
      <c r="C272" s="33"/>
      <c r="D272" s="303"/>
      <c r="E272" s="304"/>
      <c r="F272" s="304"/>
      <c r="G272" s="33"/>
    </row>
    <row r="273" spans="2:7">
      <c r="B273" s="300"/>
      <c r="C273" s="33"/>
      <c r="D273" s="303"/>
      <c r="E273" s="304"/>
      <c r="F273" s="304"/>
      <c r="G273" s="33"/>
    </row>
    <row r="274" spans="2:7">
      <c r="B274" s="300"/>
      <c r="C274" s="33"/>
      <c r="D274" s="303"/>
      <c r="E274" s="304"/>
      <c r="F274" s="304"/>
      <c r="G274" s="33"/>
    </row>
    <row r="275" spans="2:7">
      <c r="B275" s="300"/>
      <c r="C275" s="33"/>
      <c r="D275" s="303"/>
      <c r="E275" s="304"/>
      <c r="F275" s="304"/>
      <c r="G275" s="33"/>
    </row>
    <row r="276" spans="2:7">
      <c r="B276" s="300"/>
      <c r="C276" s="33"/>
      <c r="D276" s="303"/>
      <c r="E276" s="304"/>
      <c r="F276" s="304"/>
      <c r="G276" s="33"/>
    </row>
    <row r="277" spans="2:7">
      <c r="B277" s="300"/>
      <c r="C277" s="33"/>
      <c r="D277" s="303"/>
      <c r="E277" s="304"/>
      <c r="F277" s="304"/>
      <c r="G277" s="33"/>
    </row>
    <row r="278" spans="2:7">
      <c r="B278" s="300"/>
      <c r="C278" s="33"/>
      <c r="D278" s="303"/>
      <c r="E278" s="304"/>
      <c r="F278" s="304"/>
      <c r="G278" s="33"/>
    </row>
    <row r="279" spans="2:7" ht="15.75" thickBot="1">
      <c r="B279" s="301"/>
      <c r="C279" s="34"/>
      <c r="D279" s="301"/>
      <c r="E279" s="305"/>
      <c r="F279" s="305"/>
      <c r="G279" s="34"/>
    </row>
    <row r="280" spans="2:7" ht="15.75" thickBot="1">
      <c r="B280" s="301">
        <f>SUM(B266:B279)</f>
        <v>50</v>
      </c>
      <c r="C280" s="34" t="s">
        <v>66</v>
      </c>
      <c r="D280" s="301">
        <f>SUM(D266:D279)</f>
        <v>0</v>
      </c>
      <c r="E280" s="301">
        <f>SUM(E266:E279)</f>
        <v>0</v>
      </c>
      <c r="F280" s="30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298" t="s">
        <v>32</v>
      </c>
      <c r="C285" s="60" t="s">
        <v>33</v>
      </c>
      <c r="D285" s="298" t="s">
        <v>68</v>
      </c>
      <c r="E285" s="302" t="s">
        <v>69</v>
      </c>
      <c r="F285" s="302" t="s">
        <v>32</v>
      </c>
      <c r="G285" s="60" t="s">
        <v>393</v>
      </c>
    </row>
    <row r="286" spans="2:7">
      <c r="B286" s="299">
        <v>100</v>
      </c>
      <c r="C286" s="36" t="s">
        <v>36</v>
      </c>
      <c r="D286" s="303"/>
      <c r="E286" s="304"/>
      <c r="F286" s="304"/>
      <c r="G286" s="33"/>
    </row>
    <row r="287" spans="2:7">
      <c r="B287" s="300"/>
      <c r="C287" s="33"/>
      <c r="D287" s="303"/>
      <c r="E287" s="304"/>
      <c r="F287" s="304"/>
      <c r="G287" s="33"/>
    </row>
    <row r="288" spans="2:7">
      <c r="B288" s="300"/>
      <c r="C288" s="33"/>
      <c r="D288" s="303"/>
      <c r="E288" s="304"/>
      <c r="F288" s="304"/>
      <c r="G288" s="33"/>
    </row>
    <row r="289" spans="2:7">
      <c r="B289" s="300"/>
      <c r="C289" s="33"/>
      <c r="D289" s="303"/>
      <c r="E289" s="304"/>
      <c r="F289" s="304"/>
      <c r="G289" s="33"/>
    </row>
    <row r="290" spans="2:7">
      <c r="B290" s="300"/>
      <c r="C290" s="33"/>
      <c r="D290" s="303"/>
      <c r="E290" s="304"/>
      <c r="F290" s="304"/>
      <c r="G290" s="33"/>
    </row>
    <row r="291" spans="2:7">
      <c r="B291" s="300"/>
      <c r="C291" s="33"/>
      <c r="D291" s="303"/>
      <c r="E291" s="304"/>
      <c r="F291" s="304"/>
      <c r="G291" s="33"/>
    </row>
    <row r="292" spans="2:7">
      <c r="B292" s="300"/>
      <c r="C292" s="33"/>
      <c r="D292" s="303"/>
      <c r="E292" s="304"/>
      <c r="F292" s="304"/>
      <c r="G292" s="33"/>
    </row>
    <row r="293" spans="2:7">
      <c r="B293" s="300"/>
      <c r="C293" s="33"/>
      <c r="D293" s="303"/>
      <c r="E293" s="304"/>
      <c r="F293" s="304"/>
      <c r="G293" s="33"/>
    </row>
    <row r="294" spans="2:7">
      <c r="B294" s="300"/>
      <c r="C294" s="33"/>
      <c r="D294" s="303"/>
      <c r="E294" s="304"/>
      <c r="F294" s="304"/>
      <c r="G294" s="33"/>
    </row>
    <row r="295" spans="2:7">
      <c r="B295" s="300"/>
      <c r="C295" s="33"/>
      <c r="D295" s="303"/>
      <c r="E295" s="304"/>
      <c r="F295" s="304"/>
      <c r="G295" s="33"/>
    </row>
    <row r="296" spans="2:7">
      <c r="B296" s="300"/>
      <c r="C296" s="33"/>
      <c r="D296" s="303"/>
      <c r="E296" s="304"/>
      <c r="F296" s="304"/>
      <c r="G296" s="33"/>
    </row>
    <row r="297" spans="2:7">
      <c r="B297" s="300"/>
      <c r="C297" s="33"/>
      <c r="D297" s="303"/>
      <c r="E297" s="304"/>
      <c r="F297" s="304"/>
      <c r="G297" s="33"/>
    </row>
    <row r="298" spans="2:7">
      <c r="B298" s="300"/>
      <c r="C298" s="33"/>
      <c r="D298" s="303"/>
      <c r="E298" s="304"/>
      <c r="F298" s="304"/>
      <c r="G298" s="33"/>
    </row>
    <row r="299" spans="2:7" ht="15.75" thickBot="1">
      <c r="B299" s="301"/>
      <c r="C299" s="34"/>
      <c r="D299" s="301"/>
      <c r="E299" s="305"/>
      <c r="F299" s="305"/>
      <c r="G299" s="34"/>
    </row>
    <row r="300" spans="2:7" ht="15.75" thickBot="1">
      <c r="B300" s="301">
        <f>SUM(B286:B299)</f>
        <v>100</v>
      </c>
      <c r="C300" s="34" t="s">
        <v>66</v>
      </c>
      <c r="D300" s="301">
        <f>SUM(D286:D299)</f>
        <v>0</v>
      </c>
      <c r="E300" s="301">
        <f>SUM(E286:E299)</f>
        <v>0</v>
      </c>
      <c r="F300" s="30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298" t="s">
        <v>32</v>
      </c>
      <c r="C305" s="60" t="s">
        <v>33</v>
      </c>
      <c r="D305" s="298" t="s">
        <v>68</v>
      </c>
      <c r="E305" s="302" t="s">
        <v>69</v>
      </c>
      <c r="F305" s="302" t="s">
        <v>32</v>
      </c>
      <c r="G305" s="60" t="s">
        <v>393</v>
      </c>
    </row>
    <row r="306" spans="2:7">
      <c r="B306" s="299">
        <v>100</v>
      </c>
      <c r="C306" s="36" t="s">
        <v>474</v>
      </c>
      <c r="D306" s="303"/>
      <c r="E306" s="304"/>
      <c r="F306" s="304"/>
      <c r="G306" s="33"/>
    </row>
    <row r="307" spans="2:7">
      <c r="B307" s="300">
        <v>15</v>
      </c>
      <c r="C307" s="66"/>
      <c r="D307" s="303"/>
      <c r="E307" s="304"/>
      <c r="F307" s="304"/>
      <c r="G307" s="33"/>
    </row>
    <row r="308" spans="2:7">
      <c r="B308" s="300"/>
      <c r="C308" s="66"/>
      <c r="D308" s="303"/>
      <c r="E308" s="304"/>
      <c r="F308" s="304"/>
      <c r="G308" s="33"/>
    </row>
    <row r="309" spans="2:7">
      <c r="B309" s="300"/>
      <c r="C309" s="33"/>
      <c r="D309" s="303"/>
      <c r="E309" s="304"/>
      <c r="F309" s="304"/>
      <c r="G309" s="33"/>
    </row>
    <row r="310" spans="2:7">
      <c r="B310" s="300"/>
      <c r="C310" s="33"/>
      <c r="D310" s="303"/>
      <c r="E310" s="304"/>
      <c r="F310" s="304"/>
      <c r="G310" s="33"/>
    </row>
    <row r="311" spans="2:7">
      <c r="B311" s="300"/>
      <c r="C311" s="33"/>
      <c r="D311" s="303"/>
      <c r="E311" s="304"/>
      <c r="F311" s="304"/>
      <c r="G311" s="33"/>
    </row>
    <row r="312" spans="2:7">
      <c r="B312" s="300"/>
      <c r="C312" s="33"/>
      <c r="D312" s="303"/>
      <c r="E312" s="304"/>
      <c r="F312" s="304"/>
      <c r="G312" s="33"/>
    </row>
    <row r="313" spans="2:7">
      <c r="B313" s="300"/>
      <c r="C313" s="33"/>
      <c r="D313" s="303"/>
      <c r="E313" s="304"/>
      <c r="F313" s="304"/>
      <c r="G313" s="33"/>
    </row>
    <row r="314" spans="2:7">
      <c r="B314" s="300"/>
      <c r="C314" s="33"/>
      <c r="D314" s="303"/>
      <c r="E314" s="304"/>
      <c r="F314" s="304"/>
      <c r="G314" s="33"/>
    </row>
    <row r="315" spans="2:7">
      <c r="B315" s="300"/>
      <c r="C315" s="33"/>
      <c r="D315" s="303"/>
      <c r="E315" s="304"/>
      <c r="F315" s="304"/>
      <c r="G315" s="33"/>
    </row>
    <row r="316" spans="2:7">
      <c r="B316" s="300"/>
      <c r="C316" s="33"/>
      <c r="D316" s="303"/>
      <c r="E316" s="304"/>
      <c r="F316" s="304"/>
      <c r="G316" s="33"/>
    </row>
    <row r="317" spans="2:7">
      <c r="B317" s="300"/>
      <c r="C317" s="33"/>
      <c r="D317" s="303"/>
      <c r="E317" s="304"/>
      <c r="F317" s="304"/>
      <c r="G317" s="33"/>
    </row>
    <row r="318" spans="2:7">
      <c r="B318" s="300"/>
      <c r="C318" s="33"/>
      <c r="D318" s="303"/>
      <c r="E318" s="304"/>
      <c r="F318" s="304"/>
      <c r="G318" s="33"/>
    </row>
    <row r="319" spans="2:7" ht="15.75" thickBot="1">
      <c r="B319" s="301"/>
      <c r="C319" s="34"/>
      <c r="D319" s="301"/>
      <c r="E319" s="305"/>
      <c r="F319" s="305"/>
      <c r="G319" s="34"/>
    </row>
    <row r="320" spans="2:7" ht="15.75" thickBot="1">
      <c r="B320" s="301">
        <f>SUM(B306:B319)</f>
        <v>115</v>
      </c>
      <c r="C320" s="34" t="s">
        <v>66</v>
      </c>
      <c r="D320" s="301">
        <f>SUM(D306:D319)</f>
        <v>0</v>
      </c>
      <c r="E320" s="301">
        <f>SUM(E306:E319)</f>
        <v>0</v>
      </c>
      <c r="F320" s="301">
        <f>SUM(F306:F319)</f>
        <v>0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298" t="s">
        <v>32</v>
      </c>
      <c r="C325" s="60" t="s">
        <v>33</v>
      </c>
      <c r="D325" s="298" t="s">
        <v>68</v>
      </c>
      <c r="E325" s="302" t="s">
        <v>69</v>
      </c>
      <c r="F325" s="302" t="s">
        <v>32</v>
      </c>
      <c r="G325" s="60" t="s">
        <v>393</v>
      </c>
    </row>
    <row r="326" spans="2:7">
      <c r="B326" s="299">
        <v>90</v>
      </c>
      <c r="C326" s="36"/>
      <c r="D326" s="303"/>
      <c r="E326" s="304"/>
      <c r="F326" s="304"/>
      <c r="G326" s="33"/>
    </row>
    <row r="327" spans="2:7">
      <c r="B327" s="300"/>
      <c r="C327" s="33"/>
      <c r="D327" s="303"/>
      <c r="E327" s="304"/>
      <c r="F327" s="304"/>
      <c r="G327" s="33"/>
    </row>
    <row r="328" spans="2:7">
      <c r="B328" s="300"/>
      <c r="C328" s="33"/>
      <c r="D328" s="303"/>
      <c r="E328" s="304"/>
      <c r="F328" s="304"/>
      <c r="G328" s="33"/>
    </row>
    <row r="329" spans="2:7">
      <c r="B329" s="300"/>
      <c r="C329" s="33"/>
      <c r="D329" s="303"/>
      <c r="E329" s="304"/>
      <c r="F329" s="304"/>
      <c r="G329" s="33"/>
    </row>
    <row r="330" spans="2:7">
      <c r="B330" s="300"/>
      <c r="C330" s="33"/>
      <c r="D330" s="303"/>
      <c r="E330" s="304"/>
      <c r="F330" s="304"/>
      <c r="G330" s="33"/>
    </row>
    <row r="331" spans="2:7">
      <c r="B331" s="300"/>
      <c r="C331" s="33"/>
      <c r="D331" s="303"/>
      <c r="E331" s="304"/>
      <c r="F331" s="304"/>
      <c r="G331" s="33"/>
    </row>
    <row r="332" spans="2:7">
      <c r="B332" s="300"/>
      <c r="C332" s="33"/>
      <c r="D332" s="303"/>
      <c r="E332" s="304"/>
      <c r="F332" s="304"/>
      <c r="G332" s="33"/>
    </row>
    <row r="333" spans="2:7">
      <c r="B333" s="300"/>
      <c r="C333" s="33"/>
      <c r="D333" s="303"/>
      <c r="E333" s="304"/>
      <c r="F333" s="304"/>
      <c r="G333" s="33"/>
    </row>
    <row r="334" spans="2:7">
      <c r="B334" s="300"/>
      <c r="C334" s="33"/>
      <c r="D334" s="303"/>
      <c r="E334" s="304"/>
      <c r="F334" s="304"/>
      <c r="G334" s="33"/>
    </row>
    <row r="335" spans="2:7">
      <c r="B335" s="300"/>
      <c r="C335" s="33"/>
      <c r="D335" s="303"/>
      <c r="E335" s="304"/>
      <c r="F335" s="304"/>
      <c r="G335" s="33"/>
    </row>
    <row r="336" spans="2:7">
      <c r="B336" s="300"/>
      <c r="C336" s="33"/>
      <c r="D336" s="303"/>
      <c r="E336" s="304"/>
      <c r="F336" s="304"/>
      <c r="G336" s="33"/>
    </row>
    <row r="337" spans="2:7">
      <c r="B337" s="300"/>
      <c r="C337" s="33"/>
      <c r="D337" s="303"/>
      <c r="E337" s="304"/>
      <c r="F337" s="304"/>
      <c r="G337" s="33"/>
    </row>
    <row r="338" spans="2:7">
      <c r="B338" s="300"/>
      <c r="C338" s="33"/>
      <c r="D338" s="303"/>
      <c r="E338" s="304"/>
      <c r="F338" s="304"/>
      <c r="G338" s="33"/>
    </row>
    <row r="339" spans="2:7" ht="15.75" thickBot="1">
      <c r="B339" s="301"/>
      <c r="C339" s="34"/>
      <c r="D339" s="301"/>
      <c r="E339" s="305"/>
      <c r="F339" s="305"/>
      <c r="G339" s="34"/>
    </row>
    <row r="340" spans="2:7" ht="15.75" thickBot="1">
      <c r="B340" s="301">
        <f>SUM(B326:B339)</f>
        <v>90</v>
      </c>
      <c r="C340" s="34" t="s">
        <v>66</v>
      </c>
      <c r="D340" s="301">
        <f>SUM(D326:D339)</f>
        <v>0</v>
      </c>
      <c r="E340" s="301">
        <f>SUM(E326:E339)</f>
        <v>0</v>
      </c>
      <c r="F340" s="30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298" t="s">
        <v>32</v>
      </c>
      <c r="C345" s="60" t="s">
        <v>33</v>
      </c>
      <c r="D345" s="298" t="s">
        <v>68</v>
      </c>
      <c r="E345" s="302" t="s">
        <v>69</v>
      </c>
      <c r="F345" s="302" t="s">
        <v>32</v>
      </c>
      <c r="G345" s="60" t="s">
        <v>393</v>
      </c>
    </row>
    <row r="346" spans="2:7">
      <c r="B346" s="299">
        <v>30</v>
      </c>
      <c r="C346" s="36" t="s">
        <v>119</v>
      </c>
      <c r="D346" s="303"/>
      <c r="E346" s="304"/>
      <c r="F346" s="304"/>
      <c r="G346" s="33"/>
    </row>
    <row r="347" spans="2:7">
      <c r="B347" s="300">
        <v>10</v>
      </c>
      <c r="C347" s="33" t="s">
        <v>589</v>
      </c>
      <c r="D347" s="303"/>
      <c r="E347" s="304"/>
      <c r="F347" s="304"/>
      <c r="G347" s="33"/>
    </row>
    <row r="348" spans="2:7">
      <c r="B348" s="300"/>
      <c r="C348" s="33"/>
      <c r="D348" s="303"/>
      <c r="E348" s="304"/>
      <c r="F348" s="304"/>
      <c r="G348" s="33"/>
    </row>
    <row r="349" spans="2:7">
      <c r="B349" s="300"/>
      <c r="C349" s="33"/>
      <c r="D349" s="303"/>
      <c r="E349" s="304"/>
      <c r="F349" s="304"/>
      <c r="G349" s="33"/>
    </row>
    <row r="350" spans="2:7">
      <c r="B350" s="300"/>
      <c r="C350" s="33"/>
      <c r="D350" s="303"/>
      <c r="E350" s="304"/>
      <c r="F350" s="304"/>
      <c r="G350" s="33"/>
    </row>
    <row r="351" spans="2:7">
      <c r="B351" s="300"/>
      <c r="C351" s="33"/>
      <c r="D351" s="303"/>
      <c r="E351" s="304"/>
      <c r="F351" s="304"/>
      <c r="G351" s="33"/>
    </row>
    <row r="352" spans="2:7">
      <c r="B352" s="300"/>
      <c r="C352" s="33"/>
      <c r="D352" s="303"/>
      <c r="E352" s="304"/>
      <c r="F352" s="304"/>
      <c r="G352" s="33"/>
    </row>
    <row r="353" spans="2:7">
      <c r="B353" s="300"/>
      <c r="C353" s="33"/>
      <c r="D353" s="303"/>
      <c r="E353" s="304"/>
      <c r="F353" s="304"/>
      <c r="G353" s="33"/>
    </row>
    <row r="354" spans="2:7">
      <c r="B354" s="300"/>
      <c r="C354" s="33"/>
      <c r="D354" s="303"/>
      <c r="E354" s="304"/>
      <c r="F354" s="304"/>
      <c r="G354" s="33"/>
    </row>
    <row r="355" spans="2:7">
      <c r="B355" s="300"/>
      <c r="C355" s="33"/>
      <c r="D355" s="303"/>
      <c r="E355" s="304"/>
      <c r="F355" s="304"/>
      <c r="G355" s="33"/>
    </row>
    <row r="356" spans="2:7">
      <c r="B356" s="300"/>
      <c r="C356" s="33"/>
      <c r="D356" s="303"/>
      <c r="E356" s="304"/>
      <c r="F356" s="304"/>
      <c r="G356" s="33"/>
    </row>
    <row r="357" spans="2:7">
      <c r="B357" s="300"/>
      <c r="C357" s="33"/>
      <c r="D357" s="303"/>
      <c r="E357" s="304"/>
      <c r="F357" s="304"/>
      <c r="G357" s="33"/>
    </row>
    <row r="358" spans="2:7">
      <c r="B358" s="300"/>
      <c r="C358" s="33"/>
      <c r="D358" s="303"/>
      <c r="E358" s="304"/>
      <c r="F358" s="304"/>
      <c r="G358" s="33"/>
    </row>
    <row r="359" spans="2:7" ht="15.75" thickBot="1">
      <c r="B359" s="301"/>
      <c r="C359" s="34"/>
      <c r="D359" s="301"/>
      <c r="E359" s="305"/>
      <c r="F359" s="305"/>
      <c r="G359" s="34"/>
    </row>
    <row r="360" spans="2:7" ht="15.75" thickBot="1">
      <c r="B360" s="301">
        <f>SUM(B346:B359)</f>
        <v>40</v>
      </c>
      <c r="C360" s="34" t="s">
        <v>66</v>
      </c>
      <c r="D360" s="301">
        <f>SUM(D346:D359)</f>
        <v>0</v>
      </c>
      <c r="E360" s="301">
        <f>SUM(E346:E359)</f>
        <v>0</v>
      </c>
      <c r="F360" s="30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298" t="s">
        <v>32</v>
      </c>
      <c r="C365" s="60" t="s">
        <v>33</v>
      </c>
      <c r="D365" s="298" t="s">
        <v>68</v>
      </c>
      <c r="E365" s="302" t="s">
        <v>69</v>
      </c>
      <c r="F365" s="302" t="s">
        <v>32</v>
      </c>
      <c r="G365" s="60" t="s">
        <v>393</v>
      </c>
    </row>
    <row r="366" spans="2:7">
      <c r="B366" s="299">
        <v>70</v>
      </c>
      <c r="C366" s="36" t="s">
        <v>36</v>
      </c>
      <c r="D366" s="303"/>
      <c r="E366" s="304"/>
      <c r="F366" s="304"/>
      <c r="G366" s="70" t="s">
        <v>91</v>
      </c>
    </row>
    <row r="367" spans="2:7">
      <c r="B367" s="300"/>
      <c r="C367" s="33"/>
      <c r="D367" s="303"/>
      <c r="E367" s="304"/>
      <c r="F367" s="304"/>
      <c r="G367" s="70"/>
    </row>
    <row r="368" spans="2:7">
      <c r="B368" s="300"/>
      <c r="C368" s="33"/>
      <c r="D368" s="303"/>
      <c r="E368" s="304"/>
      <c r="F368" s="304"/>
      <c r="G368" s="33"/>
    </row>
    <row r="369" spans="2:7">
      <c r="B369" s="300"/>
      <c r="C369" s="33"/>
      <c r="D369" s="303"/>
      <c r="E369" s="304"/>
      <c r="F369" s="304"/>
      <c r="G369" s="33"/>
    </row>
    <row r="370" spans="2:7">
      <c r="B370" s="300"/>
      <c r="C370" s="33"/>
      <c r="D370" s="303"/>
      <c r="E370" s="304"/>
      <c r="F370" s="304"/>
      <c r="G370" s="33"/>
    </row>
    <row r="371" spans="2:7">
      <c r="B371" s="300"/>
      <c r="C371" s="33"/>
      <c r="D371" s="303"/>
      <c r="E371" s="304"/>
      <c r="F371" s="304"/>
      <c r="G371" s="33"/>
    </row>
    <row r="372" spans="2:7">
      <c r="B372" s="300"/>
      <c r="C372" s="33"/>
      <c r="D372" s="303"/>
      <c r="E372" s="304"/>
      <c r="F372" s="304"/>
      <c r="G372" s="33"/>
    </row>
    <row r="373" spans="2:7">
      <c r="B373" s="300"/>
      <c r="C373" s="33"/>
      <c r="D373" s="303"/>
      <c r="E373" s="304"/>
      <c r="F373" s="304"/>
      <c r="G373" s="33"/>
    </row>
    <row r="374" spans="2:7">
      <c r="B374" s="300"/>
      <c r="C374" s="33"/>
      <c r="D374" s="303"/>
      <c r="E374" s="304"/>
      <c r="F374" s="304"/>
      <c r="G374" s="33"/>
    </row>
    <row r="375" spans="2:7">
      <c r="B375" s="300"/>
      <c r="C375" s="33"/>
      <c r="D375" s="303"/>
      <c r="E375" s="304"/>
      <c r="F375" s="304"/>
      <c r="G375" s="33"/>
    </row>
    <row r="376" spans="2:7">
      <c r="B376" s="300"/>
      <c r="C376" s="33"/>
      <c r="D376" s="303"/>
      <c r="E376" s="304"/>
      <c r="F376" s="304"/>
      <c r="G376" s="33"/>
    </row>
    <row r="377" spans="2:7">
      <c r="B377" s="300"/>
      <c r="C377" s="33"/>
      <c r="D377" s="303"/>
      <c r="E377" s="304"/>
      <c r="F377" s="304"/>
      <c r="G377" s="33"/>
    </row>
    <row r="378" spans="2:7">
      <c r="B378" s="300"/>
      <c r="C378" s="33"/>
      <c r="D378" s="303"/>
      <c r="E378" s="304"/>
      <c r="F378" s="304"/>
      <c r="G378" s="33"/>
    </row>
    <row r="379" spans="2:7" ht="15.75" thickBot="1">
      <c r="B379" s="301"/>
      <c r="C379" s="34"/>
      <c r="D379" s="301"/>
      <c r="E379" s="305"/>
      <c r="F379" s="305"/>
      <c r="G379" s="34"/>
    </row>
    <row r="380" spans="2:7" ht="15.75" thickBot="1">
      <c r="B380" s="301">
        <f>SUM(B366:B379)</f>
        <v>70</v>
      </c>
      <c r="C380" s="34" t="s">
        <v>66</v>
      </c>
      <c r="D380" s="301">
        <f>SUM(D366:D379)</f>
        <v>0</v>
      </c>
      <c r="E380" s="301">
        <f>SUM(E366:E379)</f>
        <v>0</v>
      </c>
      <c r="F380" s="30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298" t="s">
        <v>32</v>
      </c>
      <c r="C385" s="60" t="s">
        <v>33</v>
      </c>
      <c r="D385" s="298" t="s">
        <v>68</v>
      </c>
      <c r="E385" s="302" t="s">
        <v>69</v>
      </c>
      <c r="F385" s="302" t="s">
        <v>32</v>
      </c>
      <c r="G385" s="60" t="s">
        <v>33</v>
      </c>
    </row>
    <row r="386" spans="2:7">
      <c r="B386" s="299">
        <v>20</v>
      </c>
      <c r="C386" s="36"/>
      <c r="D386" s="303"/>
      <c r="E386" s="304"/>
      <c r="F386" s="304"/>
      <c r="G386" s="33"/>
    </row>
    <row r="387" spans="2:7">
      <c r="B387" s="300"/>
      <c r="C387" s="33"/>
      <c r="D387" s="303"/>
      <c r="E387" s="304"/>
      <c r="F387" s="304"/>
      <c r="G387" s="33"/>
    </row>
    <row r="388" spans="2:7">
      <c r="B388" s="300"/>
      <c r="C388" s="33"/>
      <c r="D388" s="303"/>
      <c r="E388" s="304"/>
      <c r="F388" s="304"/>
      <c r="G388" s="33"/>
    </row>
    <row r="389" spans="2:7">
      <c r="B389" s="300"/>
      <c r="C389" s="33"/>
      <c r="D389" s="303"/>
      <c r="E389" s="304"/>
      <c r="F389" s="304"/>
      <c r="G389" s="33"/>
    </row>
    <row r="390" spans="2:7">
      <c r="B390" s="300"/>
      <c r="C390" s="33"/>
      <c r="D390" s="303"/>
      <c r="E390" s="304"/>
      <c r="F390" s="304"/>
      <c r="G390" s="33"/>
    </row>
    <row r="391" spans="2:7">
      <c r="B391" s="300"/>
      <c r="C391" s="33"/>
      <c r="D391" s="303"/>
      <c r="E391" s="304"/>
      <c r="F391" s="304"/>
      <c r="G391" s="33"/>
    </row>
    <row r="392" spans="2:7">
      <c r="B392" s="300"/>
      <c r="C392" s="33"/>
      <c r="D392" s="303"/>
      <c r="E392" s="304"/>
      <c r="F392" s="304"/>
      <c r="G392" s="33"/>
    </row>
    <row r="393" spans="2:7">
      <c r="B393" s="300"/>
      <c r="C393" s="33"/>
      <c r="D393" s="303"/>
      <c r="E393" s="304"/>
      <c r="F393" s="304"/>
      <c r="G393" s="33"/>
    </row>
    <row r="394" spans="2:7">
      <c r="B394" s="300"/>
      <c r="C394" s="33"/>
      <c r="D394" s="303"/>
      <c r="E394" s="304"/>
      <c r="F394" s="304"/>
      <c r="G394" s="33"/>
    </row>
    <row r="395" spans="2:7">
      <c r="B395" s="300"/>
      <c r="C395" s="33"/>
      <c r="D395" s="303"/>
      <c r="E395" s="304"/>
      <c r="F395" s="304"/>
      <c r="G395" s="33"/>
    </row>
    <row r="396" spans="2:7">
      <c r="B396" s="300"/>
      <c r="C396" s="33"/>
      <c r="D396" s="303"/>
      <c r="E396" s="304"/>
      <c r="F396" s="304"/>
      <c r="G396" s="33"/>
    </row>
    <row r="397" spans="2:7">
      <c r="B397" s="300"/>
      <c r="C397" s="33"/>
      <c r="D397" s="303"/>
      <c r="E397" s="304"/>
      <c r="F397" s="304"/>
      <c r="G397" s="33"/>
    </row>
    <row r="398" spans="2:7">
      <c r="B398" s="300"/>
      <c r="C398" s="33"/>
      <c r="D398" s="303"/>
      <c r="E398" s="304"/>
      <c r="F398" s="304"/>
      <c r="G398" s="33"/>
    </row>
    <row r="399" spans="2:7" ht="15.75" thickBot="1">
      <c r="B399" s="301"/>
      <c r="C399" s="34"/>
      <c r="D399" s="301"/>
      <c r="E399" s="305"/>
      <c r="F399" s="305"/>
      <c r="G399" s="34"/>
    </row>
    <row r="400" spans="2:7" ht="15.75" thickBot="1">
      <c r="B400" s="301">
        <f>SUM(B386:B399)</f>
        <v>20</v>
      </c>
      <c r="C400" s="34" t="s">
        <v>66</v>
      </c>
      <c r="D400" s="301">
        <f>SUM(D386:D399)</f>
        <v>0</v>
      </c>
      <c r="E400" s="301">
        <f>SUM(E386:E399)</f>
        <v>0</v>
      </c>
      <c r="F400" s="30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298" t="s">
        <v>32</v>
      </c>
      <c r="C405" s="60" t="s">
        <v>33</v>
      </c>
      <c r="D405" s="298" t="s">
        <v>68</v>
      </c>
      <c r="E405" s="302" t="s">
        <v>69</v>
      </c>
      <c r="F405" s="302" t="s">
        <v>32</v>
      </c>
      <c r="G405" s="60" t="s">
        <v>33</v>
      </c>
    </row>
    <row r="406" spans="2:7">
      <c r="B406" s="299">
        <v>30</v>
      </c>
      <c r="C406" s="36"/>
      <c r="D406" s="303"/>
      <c r="E406" s="304"/>
      <c r="F406" s="304"/>
      <c r="G406" s="33"/>
    </row>
    <row r="407" spans="2:7">
      <c r="B407" s="300"/>
      <c r="C407" s="33"/>
      <c r="D407" s="303"/>
      <c r="E407" s="304"/>
      <c r="F407" s="304"/>
      <c r="G407" s="33"/>
    </row>
    <row r="408" spans="2:7">
      <c r="B408" s="300"/>
      <c r="C408" s="33"/>
      <c r="D408" s="303"/>
      <c r="E408" s="304"/>
      <c r="F408" s="304"/>
      <c r="G408" s="33"/>
    </row>
    <row r="409" spans="2:7">
      <c r="B409" s="300"/>
      <c r="C409" s="33"/>
      <c r="D409" s="303"/>
      <c r="E409" s="304"/>
      <c r="F409" s="304"/>
      <c r="G409" s="33"/>
    </row>
    <row r="410" spans="2:7">
      <c r="B410" s="300"/>
      <c r="C410" s="33"/>
      <c r="D410" s="303"/>
      <c r="E410" s="304"/>
      <c r="F410" s="304"/>
      <c r="G410" s="33"/>
    </row>
    <row r="411" spans="2:7">
      <c r="B411" s="300"/>
      <c r="C411" s="33"/>
      <c r="D411" s="303"/>
      <c r="E411" s="304"/>
      <c r="F411" s="304"/>
      <c r="G411" s="33"/>
    </row>
    <row r="412" spans="2:7">
      <c r="B412" s="300"/>
      <c r="C412" s="33"/>
      <c r="D412" s="303"/>
      <c r="E412" s="304"/>
      <c r="F412" s="304"/>
      <c r="G412" s="33"/>
    </row>
    <row r="413" spans="2:7">
      <c r="B413" s="300"/>
      <c r="C413" s="33"/>
      <c r="D413" s="303"/>
      <c r="E413" s="304"/>
      <c r="F413" s="304"/>
      <c r="G413" s="33"/>
    </row>
    <row r="414" spans="2:7">
      <c r="B414" s="300"/>
      <c r="C414" s="33"/>
      <c r="D414" s="303"/>
      <c r="E414" s="304"/>
      <c r="F414" s="304"/>
      <c r="G414" s="33"/>
    </row>
    <row r="415" spans="2:7">
      <c r="B415" s="300"/>
      <c r="C415" s="33"/>
      <c r="D415" s="303"/>
      <c r="E415" s="304"/>
      <c r="F415" s="304"/>
      <c r="G415" s="33"/>
    </row>
    <row r="416" spans="2:7">
      <c r="B416" s="300"/>
      <c r="C416" s="33"/>
      <c r="D416" s="303"/>
      <c r="E416" s="304"/>
      <c r="F416" s="304"/>
      <c r="G416" s="33"/>
    </row>
    <row r="417" spans="2:7">
      <c r="B417" s="300"/>
      <c r="C417" s="33"/>
      <c r="D417" s="303"/>
      <c r="E417" s="304"/>
      <c r="F417" s="304"/>
      <c r="G417" s="33"/>
    </row>
    <row r="418" spans="2:7">
      <c r="B418" s="300"/>
      <c r="C418" s="33"/>
      <c r="D418" s="303"/>
      <c r="E418" s="304"/>
      <c r="F418" s="304"/>
      <c r="G418" s="33"/>
    </row>
    <row r="419" spans="2:7" ht="15.75" thickBot="1">
      <c r="B419" s="301"/>
      <c r="C419" s="34"/>
      <c r="D419" s="301"/>
      <c r="E419" s="305"/>
      <c r="F419" s="305"/>
      <c r="G419" s="34"/>
    </row>
    <row r="420" spans="2:7" ht="15.75" thickBot="1">
      <c r="B420" s="301">
        <f>SUM(B406:B419)</f>
        <v>30</v>
      </c>
      <c r="C420" s="34" t="s">
        <v>66</v>
      </c>
      <c r="D420" s="301">
        <f>SUM(D406:D419)</f>
        <v>0</v>
      </c>
      <c r="E420" s="301">
        <f>SUM(E406:E419)</f>
        <v>0</v>
      </c>
      <c r="F420" s="301">
        <f>SUM(F406:F419)</f>
        <v>0</v>
      </c>
      <c r="G420" s="34" t="s">
        <v>66</v>
      </c>
    </row>
    <row r="421" spans="2:7" ht="15.75" thickBot="1">
      <c r="B421" s="5"/>
      <c r="C421" s="3"/>
      <c r="D421" s="5"/>
      <c r="E421" s="5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298" t="s">
        <v>32</v>
      </c>
      <c r="C425" s="60" t="s">
        <v>33</v>
      </c>
      <c r="D425" s="298" t="s">
        <v>68</v>
      </c>
      <c r="E425" s="302" t="s">
        <v>69</v>
      </c>
      <c r="F425" s="302" t="s">
        <v>32</v>
      </c>
      <c r="G425" s="60" t="s">
        <v>33</v>
      </c>
    </row>
    <row r="426" spans="2:7">
      <c r="B426" s="299">
        <f>'2018'!AM17</f>
        <v>0</v>
      </c>
      <c r="C426" s="36" t="s">
        <v>561</v>
      </c>
      <c r="D426" s="303"/>
      <c r="E426" s="304"/>
      <c r="F426" s="304"/>
      <c r="G426" s="33"/>
    </row>
    <row r="427" spans="2:7">
      <c r="B427" s="300"/>
      <c r="C427" s="33"/>
      <c r="D427" s="303"/>
      <c r="E427" s="304"/>
      <c r="F427" s="304"/>
      <c r="G427" s="33"/>
    </row>
    <row r="428" spans="2:7">
      <c r="B428" s="300"/>
      <c r="C428" s="33"/>
      <c r="D428" s="303"/>
      <c r="E428" s="304"/>
      <c r="F428" s="304"/>
      <c r="G428" s="33"/>
    </row>
    <row r="429" spans="2:7">
      <c r="B429" s="300"/>
      <c r="C429" s="33"/>
      <c r="D429" s="303"/>
      <c r="E429" s="304"/>
      <c r="F429" s="304"/>
      <c r="G429" s="33"/>
    </row>
    <row r="430" spans="2:7">
      <c r="B430" s="300"/>
      <c r="C430" s="33"/>
      <c r="D430" s="303"/>
      <c r="E430" s="304"/>
      <c r="F430" s="304"/>
      <c r="G430" s="33"/>
    </row>
    <row r="431" spans="2:7">
      <c r="B431" s="300"/>
      <c r="C431" s="33"/>
      <c r="D431" s="303"/>
      <c r="E431" s="304"/>
      <c r="F431" s="304"/>
      <c r="G431" s="33"/>
    </row>
    <row r="432" spans="2:7">
      <c r="B432" s="300"/>
      <c r="C432" s="33"/>
      <c r="D432" s="303"/>
      <c r="E432" s="304"/>
      <c r="F432" s="304"/>
      <c r="G432" s="33"/>
    </row>
    <row r="433" spans="2:7">
      <c r="B433" s="300"/>
      <c r="C433" s="33"/>
      <c r="D433" s="303"/>
      <c r="E433" s="304"/>
      <c r="F433" s="304"/>
      <c r="G433" s="33"/>
    </row>
    <row r="434" spans="2:7">
      <c r="B434" s="300"/>
      <c r="C434" s="33"/>
      <c r="D434" s="303"/>
      <c r="E434" s="304"/>
      <c r="F434" s="304"/>
      <c r="G434" s="33"/>
    </row>
    <row r="435" spans="2:7">
      <c r="B435" s="300"/>
      <c r="C435" s="33"/>
      <c r="D435" s="303"/>
      <c r="E435" s="304"/>
      <c r="F435" s="304"/>
      <c r="G435" s="33"/>
    </row>
    <row r="436" spans="2:7">
      <c r="B436" s="300"/>
      <c r="C436" s="33"/>
      <c r="D436" s="303"/>
      <c r="E436" s="304"/>
      <c r="F436" s="304"/>
      <c r="G436" s="33"/>
    </row>
    <row r="437" spans="2:7">
      <c r="B437" s="300"/>
      <c r="C437" s="33"/>
      <c r="D437" s="303"/>
      <c r="E437" s="304"/>
      <c r="F437" s="304"/>
      <c r="G437" s="33"/>
    </row>
    <row r="438" spans="2:7">
      <c r="B438" s="300"/>
      <c r="C438" s="33"/>
      <c r="D438" s="303"/>
      <c r="E438" s="304"/>
      <c r="F438" s="304"/>
      <c r="G438" s="33"/>
    </row>
    <row r="439" spans="2:7" ht="15.75" thickBot="1">
      <c r="B439" s="301"/>
      <c r="C439" s="34"/>
      <c r="D439" s="301"/>
      <c r="E439" s="305"/>
      <c r="F439" s="305"/>
      <c r="G439" s="34"/>
    </row>
    <row r="440" spans="2:7" ht="15.75" thickBot="1">
      <c r="B440" s="301">
        <f>SUM(B426:B439)</f>
        <v>0</v>
      </c>
      <c r="C440" s="34" t="s">
        <v>66</v>
      </c>
      <c r="D440" s="301">
        <f>SUM(D426:D439)</f>
        <v>0</v>
      </c>
      <c r="E440" s="301">
        <f>SUM(E426:E439)</f>
        <v>0</v>
      </c>
      <c r="F440" s="30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298" t="s">
        <v>32</v>
      </c>
      <c r="C445" s="60" t="s">
        <v>33</v>
      </c>
      <c r="D445" s="298" t="s">
        <v>68</v>
      </c>
      <c r="E445" s="302" t="s">
        <v>69</v>
      </c>
      <c r="F445" s="302" t="s">
        <v>32</v>
      </c>
      <c r="G445" s="60" t="s">
        <v>33</v>
      </c>
    </row>
    <row r="446" spans="2:7">
      <c r="B446" s="299"/>
      <c r="C446" s="36"/>
      <c r="D446" s="303"/>
      <c r="E446" s="304"/>
      <c r="F446" s="304"/>
      <c r="G446" s="33"/>
    </row>
    <row r="447" spans="2:7">
      <c r="B447" s="300"/>
      <c r="C447" s="33"/>
      <c r="D447" s="303"/>
      <c r="E447" s="304"/>
      <c r="F447" s="304"/>
      <c r="G447" s="33"/>
    </row>
    <row r="448" spans="2:7">
      <c r="B448" s="300"/>
      <c r="C448" s="33"/>
      <c r="D448" s="303"/>
      <c r="E448" s="304"/>
      <c r="F448" s="304"/>
      <c r="G448" s="33"/>
    </row>
    <row r="449" spans="2:7">
      <c r="B449" s="300"/>
      <c r="C449" s="33"/>
      <c r="D449" s="303"/>
      <c r="E449" s="304"/>
      <c r="F449" s="304"/>
      <c r="G449" s="33"/>
    </row>
    <row r="450" spans="2:7">
      <c r="B450" s="300"/>
      <c r="C450" s="33"/>
      <c r="D450" s="303"/>
      <c r="E450" s="304"/>
      <c r="F450" s="304"/>
      <c r="G450" s="33"/>
    </row>
    <row r="451" spans="2:7">
      <c r="B451" s="300"/>
      <c r="C451" s="33"/>
      <c r="D451" s="303"/>
      <c r="E451" s="304"/>
      <c r="F451" s="304"/>
      <c r="G451" s="33"/>
    </row>
    <row r="452" spans="2:7">
      <c r="B452" s="300"/>
      <c r="C452" s="33"/>
      <c r="D452" s="303"/>
      <c r="E452" s="304"/>
      <c r="F452" s="304"/>
      <c r="G452" s="33"/>
    </row>
    <row r="453" spans="2:7">
      <c r="B453" s="300"/>
      <c r="C453" s="33"/>
      <c r="D453" s="303"/>
      <c r="E453" s="304"/>
      <c r="F453" s="304"/>
      <c r="G453" s="33"/>
    </row>
    <row r="454" spans="2:7">
      <c r="B454" s="300"/>
      <c r="C454" s="33"/>
      <c r="D454" s="303"/>
      <c r="E454" s="304"/>
      <c r="F454" s="304"/>
      <c r="G454" s="33"/>
    </row>
    <row r="455" spans="2:7">
      <c r="B455" s="300"/>
      <c r="C455" s="33"/>
      <c r="D455" s="303"/>
      <c r="E455" s="304"/>
      <c r="F455" s="304"/>
      <c r="G455" s="33"/>
    </row>
    <row r="456" spans="2:7">
      <c r="B456" s="300"/>
      <c r="C456" s="33"/>
      <c r="D456" s="303"/>
      <c r="E456" s="304"/>
      <c r="F456" s="304"/>
      <c r="G456" s="33"/>
    </row>
    <row r="457" spans="2:7">
      <c r="B457" s="300"/>
      <c r="C457" s="33"/>
      <c r="D457" s="303"/>
      <c r="E457" s="304"/>
      <c r="F457" s="304"/>
      <c r="G457" s="33"/>
    </row>
    <row r="458" spans="2:7">
      <c r="B458" s="300"/>
      <c r="C458" s="33"/>
      <c r="D458" s="303"/>
      <c r="E458" s="304"/>
      <c r="F458" s="304"/>
      <c r="G458" s="33"/>
    </row>
    <row r="459" spans="2:7" ht="15.75" thickBot="1">
      <c r="B459" s="301"/>
      <c r="C459" s="34"/>
      <c r="D459" s="301"/>
      <c r="E459" s="305"/>
      <c r="F459" s="305"/>
      <c r="G459" s="34"/>
    </row>
    <row r="460" spans="2:7" ht="15.75" thickBot="1">
      <c r="B460" s="301">
        <f>SUM(B446:B459)</f>
        <v>0</v>
      </c>
      <c r="C460" s="34" t="s">
        <v>66</v>
      </c>
      <c r="D460" s="301">
        <f>SUM(D446:D459)</f>
        <v>0</v>
      </c>
      <c r="E460" s="301">
        <f>SUM(E446:E459)</f>
        <v>0</v>
      </c>
      <c r="F460" s="30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1:7">
      <c r="A465" s="137" t="s">
        <v>610</v>
      </c>
      <c r="B465" s="298" t="s">
        <v>32</v>
      </c>
      <c r="C465" s="60" t="s">
        <v>33</v>
      </c>
      <c r="D465" s="298" t="s">
        <v>68</v>
      </c>
      <c r="E465" s="302" t="s">
        <v>69</v>
      </c>
      <c r="F465" s="302" t="s">
        <v>32</v>
      </c>
      <c r="G465" s="60" t="s">
        <v>33</v>
      </c>
    </row>
    <row r="466" spans="1:7" ht="15.75">
      <c r="A466" s="163">
        <f>'10'!A466+B466-E466</f>
        <v>356</v>
      </c>
      <c r="B466" s="300">
        <v>40</v>
      </c>
      <c r="C466" s="33" t="s">
        <v>486</v>
      </c>
      <c r="D466" s="303"/>
      <c r="E466" s="304"/>
      <c r="F466" s="304"/>
      <c r="G466" s="33"/>
    </row>
    <row r="467" spans="1:7">
      <c r="A467" s="164">
        <f>'10'!A467+'11'!B467</f>
        <v>10</v>
      </c>
      <c r="B467" s="300">
        <v>5</v>
      </c>
      <c r="C467" s="33" t="s">
        <v>611</v>
      </c>
      <c r="D467" s="303"/>
      <c r="E467" s="304"/>
      <c r="F467" s="304"/>
      <c r="G467" s="33"/>
    </row>
    <row r="468" spans="1:7">
      <c r="A468" s="164">
        <f>'10'!A468+'11'!B468</f>
        <v>10</v>
      </c>
      <c r="B468" s="300">
        <v>5</v>
      </c>
      <c r="C468" s="33" t="s">
        <v>612</v>
      </c>
      <c r="D468" s="303"/>
      <c r="E468" s="304"/>
      <c r="F468" s="304"/>
      <c r="G468" s="33"/>
    </row>
    <row r="469" spans="1:7">
      <c r="B469" s="300"/>
      <c r="C469" s="33"/>
      <c r="D469" s="303"/>
      <c r="E469" s="304"/>
      <c r="F469" s="304"/>
      <c r="G469" s="33"/>
    </row>
    <row r="470" spans="1:7">
      <c r="B470" s="300"/>
      <c r="C470" s="33"/>
      <c r="D470" s="303"/>
      <c r="E470" s="304"/>
      <c r="F470" s="304"/>
      <c r="G470" s="33"/>
    </row>
    <row r="471" spans="1:7">
      <c r="B471" s="300"/>
      <c r="C471" s="33"/>
      <c r="D471" s="303"/>
      <c r="E471" s="304"/>
      <c r="F471" s="304"/>
      <c r="G471" s="33"/>
    </row>
    <row r="472" spans="1:7">
      <c r="B472" s="300"/>
      <c r="C472" s="33"/>
      <c r="D472" s="303"/>
      <c r="E472" s="304"/>
      <c r="F472" s="304"/>
      <c r="G472" s="33"/>
    </row>
    <row r="473" spans="1:7">
      <c r="B473" s="300"/>
      <c r="C473" s="33"/>
      <c r="D473" s="303"/>
      <c r="E473" s="304"/>
      <c r="F473" s="304"/>
      <c r="G473" s="33"/>
    </row>
    <row r="474" spans="1:7">
      <c r="B474" s="300"/>
      <c r="C474" s="33"/>
      <c r="D474" s="303"/>
      <c r="E474" s="304"/>
      <c r="F474" s="304"/>
      <c r="G474" s="33"/>
    </row>
    <row r="475" spans="1:7">
      <c r="B475" s="300"/>
      <c r="C475" s="33"/>
      <c r="D475" s="303"/>
      <c r="E475" s="304"/>
      <c r="F475" s="304"/>
      <c r="G475" s="33"/>
    </row>
    <row r="476" spans="1:7">
      <c r="B476" s="300"/>
      <c r="C476" s="33"/>
      <c r="D476" s="303"/>
      <c r="E476" s="304"/>
      <c r="F476" s="304"/>
      <c r="G476" s="33"/>
    </row>
    <row r="477" spans="1:7">
      <c r="B477" s="300"/>
      <c r="C477" s="33"/>
      <c r="D477" s="303"/>
      <c r="E477" s="304"/>
      <c r="F477" s="304"/>
      <c r="G477" s="33"/>
    </row>
    <row r="478" spans="1:7">
      <c r="B478" s="300"/>
      <c r="C478" s="33"/>
      <c r="D478" s="303"/>
      <c r="E478" s="304"/>
      <c r="F478" s="304"/>
      <c r="G478" s="33"/>
    </row>
    <row r="479" spans="1:7" ht="15.75" thickBot="1">
      <c r="B479" s="301"/>
      <c r="C479" s="34"/>
      <c r="D479" s="301"/>
      <c r="E479" s="305"/>
      <c r="F479" s="305"/>
      <c r="G479" s="34"/>
    </row>
    <row r="480" spans="1:7" ht="15.75" thickBot="1">
      <c r="A480" s="164">
        <f>SUM(A466:A468)</f>
        <v>376</v>
      </c>
      <c r="B480" s="301">
        <f>SUM(B466:B479)</f>
        <v>50</v>
      </c>
      <c r="C480" s="34" t="s">
        <v>66</v>
      </c>
      <c r="D480" s="301">
        <f>SUM(D466:D479)</f>
        <v>0</v>
      </c>
      <c r="E480" s="301">
        <f>SUM(E466:E479)</f>
        <v>0</v>
      </c>
      <c r="F480" s="301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298" t="s">
        <v>32</v>
      </c>
      <c r="C485" s="60" t="s">
        <v>33</v>
      </c>
      <c r="D485" s="298" t="s">
        <v>68</v>
      </c>
      <c r="E485" s="302" t="s">
        <v>69</v>
      </c>
      <c r="F485" s="302" t="s">
        <v>32</v>
      </c>
      <c r="G485" s="60" t="s">
        <v>33</v>
      </c>
    </row>
    <row r="486" spans="2:7">
      <c r="B486" s="299"/>
      <c r="C486" s="36"/>
      <c r="D486" s="303"/>
      <c r="E486" s="304"/>
      <c r="F486" s="304"/>
      <c r="G486" s="33"/>
    </row>
    <row r="487" spans="2:7">
      <c r="B487" s="300"/>
      <c r="C487" s="33"/>
      <c r="D487" s="303"/>
      <c r="E487" s="304"/>
      <c r="F487" s="304"/>
      <c r="G487" s="33"/>
    </row>
    <row r="488" spans="2:7">
      <c r="B488" s="300"/>
      <c r="C488" s="33"/>
      <c r="D488" s="303"/>
      <c r="E488" s="304"/>
      <c r="F488" s="304"/>
      <c r="G488" s="33"/>
    </row>
    <row r="489" spans="2:7">
      <c r="B489" s="300"/>
      <c r="C489" s="33"/>
      <c r="D489" s="303"/>
      <c r="E489" s="304"/>
      <c r="F489" s="304"/>
      <c r="G489" s="33"/>
    </row>
    <row r="490" spans="2:7">
      <c r="B490" s="300"/>
      <c r="C490" s="33"/>
      <c r="D490" s="303"/>
      <c r="E490" s="304"/>
      <c r="F490" s="304"/>
      <c r="G490" s="33"/>
    </row>
    <row r="491" spans="2:7">
      <c r="B491" s="300"/>
      <c r="C491" s="33"/>
      <c r="D491" s="303"/>
      <c r="E491" s="304"/>
      <c r="F491" s="304"/>
      <c r="G491" s="33"/>
    </row>
    <row r="492" spans="2:7">
      <c r="B492" s="300"/>
      <c r="C492" s="33"/>
      <c r="D492" s="303"/>
      <c r="E492" s="304"/>
      <c r="F492" s="304"/>
      <c r="G492" s="33"/>
    </row>
    <row r="493" spans="2:7">
      <c r="B493" s="300"/>
      <c r="C493" s="33"/>
      <c r="D493" s="303"/>
      <c r="E493" s="304"/>
      <c r="F493" s="304"/>
      <c r="G493" s="33"/>
    </row>
    <row r="494" spans="2:7">
      <c r="B494" s="300"/>
      <c r="C494" s="33"/>
      <c r="D494" s="303"/>
      <c r="E494" s="304"/>
      <c r="F494" s="304"/>
      <c r="G494" s="33"/>
    </row>
    <row r="495" spans="2:7">
      <c r="B495" s="300"/>
      <c r="C495" s="33"/>
      <c r="D495" s="303"/>
      <c r="E495" s="304"/>
      <c r="F495" s="304"/>
      <c r="G495" s="33"/>
    </row>
    <row r="496" spans="2:7">
      <c r="B496" s="300"/>
      <c r="C496" s="33"/>
      <c r="D496" s="303"/>
      <c r="E496" s="304"/>
      <c r="F496" s="304"/>
      <c r="G496" s="33"/>
    </row>
    <row r="497" spans="2:7">
      <c r="B497" s="300"/>
      <c r="C497" s="33"/>
      <c r="D497" s="303"/>
      <c r="E497" s="304"/>
      <c r="F497" s="304"/>
      <c r="G497" s="33"/>
    </row>
    <row r="498" spans="2:7">
      <c r="B498" s="300"/>
      <c r="C498" s="33"/>
      <c r="D498" s="303"/>
      <c r="E498" s="304"/>
      <c r="F498" s="304"/>
      <c r="G498" s="33"/>
    </row>
    <row r="499" spans="2:7" ht="15.75" thickBot="1">
      <c r="B499" s="301"/>
      <c r="C499" s="34"/>
      <c r="D499" s="301"/>
      <c r="E499" s="305"/>
      <c r="F499" s="305"/>
      <c r="G499" s="34"/>
    </row>
    <row r="500" spans="2:7" ht="15.75" thickBot="1">
      <c r="B500" s="301">
        <f>SUM(B486:B499)</f>
        <v>0</v>
      </c>
      <c r="C500" s="34" t="s">
        <v>66</v>
      </c>
      <c r="D500" s="301">
        <f>SUM(D486:D499)</f>
        <v>0</v>
      </c>
      <c r="E500" s="301">
        <f>SUM(E486:E499)</f>
        <v>0</v>
      </c>
      <c r="F500" s="30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298" t="s">
        <v>32</v>
      </c>
      <c r="C505" s="60" t="s">
        <v>33</v>
      </c>
      <c r="D505" s="298" t="s">
        <v>68</v>
      </c>
      <c r="E505" s="302" t="s">
        <v>69</v>
      </c>
      <c r="F505" s="302" t="s">
        <v>32</v>
      </c>
      <c r="G505" s="60" t="s">
        <v>33</v>
      </c>
    </row>
    <row r="506" spans="2:7">
      <c r="B506" s="299"/>
      <c r="C506" s="36"/>
      <c r="D506" s="303"/>
      <c r="E506" s="304"/>
      <c r="F506" s="304"/>
      <c r="G506" s="33"/>
    </row>
    <row r="507" spans="2:7">
      <c r="B507" s="300"/>
      <c r="C507" s="33"/>
      <c r="D507" s="303"/>
      <c r="E507" s="304"/>
      <c r="F507" s="304"/>
      <c r="G507" s="33"/>
    </row>
    <row r="508" spans="2:7">
      <c r="B508" s="300"/>
      <c r="C508" s="33"/>
      <c r="D508" s="303"/>
      <c r="E508" s="304"/>
      <c r="F508" s="304"/>
      <c r="G508" s="33"/>
    </row>
    <row r="509" spans="2:7">
      <c r="B509" s="300"/>
      <c r="C509" s="33"/>
      <c r="D509" s="303"/>
      <c r="E509" s="304"/>
      <c r="F509" s="304"/>
      <c r="G509" s="33"/>
    </row>
    <row r="510" spans="2:7">
      <c r="B510" s="300"/>
      <c r="C510" s="33"/>
      <c r="D510" s="303"/>
      <c r="E510" s="304"/>
      <c r="F510" s="304"/>
      <c r="G510" s="33"/>
    </row>
    <row r="511" spans="2:7">
      <c r="B511" s="300"/>
      <c r="C511" s="33"/>
      <c r="D511" s="303"/>
      <c r="E511" s="304"/>
      <c r="F511" s="304"/>
      <c r="G511" s="33"/>
    </row>
    <row r="512" spans="2:7">
      <c r="B512" s="300"/>
      <c r="C512" s="33"/>
      <c r="D512" s="303"/>
      <c r="E512" s="304"/>
      <c r="F512" s="304"/>
      <c r="G512" s="33"/>
    </row>
    <row r="513" spans="2:7">
      <c r="B513" s="300"/>
      <c r="C513" s="33"/>
      <c r="D513" s="303"/>
      <c r="E513" s="304"/>
      <c r="F513" s="304"/>
      <c r="G513" s="33"/>
    </row>
    <row r="514" spans="2:7">
      <c r="B514" s="300"/>
      <c r="C514" s="33"/>
      <c r="D514" s="303"/>
      <c r="E514" s="304"/>
      <c r="F514" s="304"/>
      <c r="G514" s="33"/>
    </row>
    <row r="515" spans="2:7">
      <c r="B515" s="300"/>
      <c r="C515" s="33"/>
      <c r="D515" s="303"/>
      <c r="E515" s="304"/>
      <c r="F515" s="304"/>
      <c r="G515" s="33"/>
    </row>
    <row r="516" spans="2:7">
      <c r="B516" s="300"/>
      <c r="C516" s="33"/>
      <c r="D516" s="303"/>
      <c r="E516" s="304"/>
      <c r="F516" s="304"/>
      <c r="G516" s="33"/>
    </row>
    <row r="517" spans="2:7">
      <c r="B517" s="300"/>
      <c r="C517" s="33"/>
      <c r="D517" s="303"/>
      <c r="E517" s="304"/>
      <c r="F517" s="304"/>
      <c r="G517" s="33"/>
    </row>
    <row r="518" spans="2:7">
      <c r="B518" s="300"/>
      <c r="C518" s="33"/>
      <c r="D518" s="303"/>
      <c r="E518" s="304"/>
      <c r="F518" s="304"/>
      <c r="G518" s="33"/>
    </row>
    <row r="519" spans="2:7" ht="15.75" thickBot="1">
      <c r="B519" s="301"/>
      <c r="C519" s="34"/>
      <c r="D519" s="301"/>
      <c r="E519" s="305"/>
      <c r="F519" s="305"/>
      <c r="G519" s="34"/>
    </row>
    <row r="520" spans="2:7" ht="15.75" thickBot="1">
      <c r="B520" s="301">
        <f>SUM(B506:B519)</f>
        <v>0</v>
      </c>
      <c r="C520" s="34" t="s">
        <v>66</v>
      </c>
      <c r="D520" s="301">
        <f>SUM(D506:D519)</f>
        <v>0</v>
      </c>
      <c r="E520" s="301">
        <f>SUM(E506:E519)</f>
        <v>0</v>
      </c>
      <c r="F520" s="30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62" workbookViewId="0">
      <selection activeCell="B462" sqref="B462:G46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627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88" t="s">
        <v>70</v>
      </c>
      <c r="J4" s="156" t="s">
        <v>71</v>
      </c>
      <c r="K4" s="306" t="s">
        <v>72</v>
      </c>
      <c r="L4" s="307"/>
      <c r="M4" s="1"/>
      <c r="N4" s="1"/>
      <c r="R4" s="3"/>
    </row>
    <row r="5" spans="1:22" ht="15.75">
      <c r="A5" s="1" t="s">
        <v>610</v>
      </c>
      <c r="B5" s="298" t="s">
        <v>32</v>
      </c>
      <c r="C5" s="60" t="s">
        <v>33</v>
      </c>
      <c r="D5" s="298" t="s">
        <v>68</v>
      </c>
      <c r="E5" s="302" t="s">
        <v>69</v>
      </c>
      <c r="F5" s="302" t="s">
        <v>32</v>
      </c>
      <c r="G5" s="60" t="s">
        <v>33</v>
      </c>
      <c r="H5" s="1"/>
      <c r="I5" s="157" t="s">
        <v>73</v>
      </c>
      <c r="J5" s="158" t="s">
        <v>74</v>
      </c>
      <c r="K5" s="308"/>
      <c r="L5" s="309"/>
      <c r="M5" s="1"/>
      <c r="N5" s="1"/>
      <c r="R5" s="3"/>
    </row>
    <row r="6" spans="1:22" ht="15.75">
      <c r="A6" s="163">
        <f>'11'!A6+B6-E6</f>
        <v>1198.77</v>
      </c>
      <c r="B6" s="299">
        <v>399.59</v>
      </c>
      <c r="C6" s="36" t="s">
        <v>585</v>
      </c>
      <c r="D6" s="303"/>
      <c r="E6" s="304"/>
      <c r="F6" s="304"/>
      <c r="G6" s="33" t="s">
        <v>35</v>
      </c>
      <c r="H6" s="1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'11'!A7+B7-E7</f>
        <v>540</v>
      </c>
      <c r="B7" s="300">
        <v>60</v>
      </c>
      <c r="C7" s="33" t="s">
        <v>325</v>
      </c>
      <c r="D7" s="303"/>
      <c r="E7" s="304"/>
      <c r="F7" s="304"/>
      <c r="G7" s="33" t="s">
        <v>106</v>
      </c>
      <c r="H7" s="82"/>
      <c r="I7" s="159" t="s">
        <v>76</v>
      </c>
      <c r="J7" s="158" t="s">
        <v>77</v>
      </c>
      <c r="K7" s="310"/>
      <c r="L7" s="311"/>
      <c r="M7" s="1"/>
      <c r="N7" s="1"/>
      <c r="R7" s="3"/>
    </row>
    <row r="8" spans="1:22" ht="15.75">
      <c r="A8" s="163">
        <f>'11'!A8+B8-E8</f>
        <v>0</v>
      </c>
      <c r="B8" s="300">
        <v>0</v>
      </c>
      <c r="C8" s="33" t="s">
        <v>38</v>
      </c>
      <c r="D8" s="303"/>
      <c r="F8" s="30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'11'!A9+B9-E9</f>
        <v>28.14</v>
      </c>
      <c r="B9" s="300">
        <v>0</v>
      </c>
      <c r="C9" s="33" t="s">
        <v>40</v>
      </c>
      <c r="D9" s="303"/>
      <c r="E9" s="304"/>
      <c r="F9" s="30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'11'!A10+B10-E10</f>
        <v>36</v>
      </c>
      <c r="B10" s="300">
        <v>12</v>
      </c>
      <c r="C10" s="33" t="s">
        <v>39</v>
      </c>
      <c r="D10" s="303"/>
      <c r="E10" s="304"/>
      <c r="F10" s="30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'11'!A11+B11-E11</f>
        <v>91.23</v>
      </c>
      <c r="B11" s="300">
        <v>30.41</v>
      </c>
      <c r="C11" s="33" t="s">
        <v>37</v>
      </c>
      <c r="D11" s="303"/>
      <c r="E11" s="304"/>
      <c r="F11" s="304"/>
      <c r="G11" s="33" t="s">
        <v>37</v>
      </c>
      <c r="H11" s="1"/>
      <c r="I11" s="159" t="s">
        <v>93</v>
      </c>
      <c r="J11" s="158" t="s">
        <v>94</v>
      </c>
      <c r="K11" s="310"/>
      <c r="L11" s="311"/>
      <c r="M11" s="1"/>
      <c r="N11" s="1"/>
      <c r="R11" s="3"/>
    </row>
    <row r="12" spans="1:22" ht="15.75">
      <c r="A12" s="163">
        <f>'11'!A12+B12-E12</f>
        <v>350</v>
      </c>
      <c r="B12" s="300">
        <v>25</v>
      </c>
      <c r="C12" s="33" t="s">
        <v>206</v>
      </c>
      <c r="D12" s="303"/>
      <c r="E12" s="304"/>
      <c r="F12" s="30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'11'!A13+B13-E13</f>
        <v>56</v>
      </c>
      <c r="B13" s="300">
        <v>7</v>
      </c>
      <c r="C13" s="33" t="s">
        <v>352</v>
      </c>
      <c r="D13" s="303"/>
      <c r="E13" s="304"/>
      <c r="F13" s="30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300"/>
      <c r="C14" s="33"/>
      <c r="D14" s="303"/>
      <c r="E14" s="304"/>
      <c r="F14" s="30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300"/>
      <c r="C15" s="33"/>
      <c r="D15" s="303"/>
      <c r="E15" s="304"/>
      <c r="F15" s="30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63"/>
      <c r="B16" s="300"/>
      <c r="C16" s="33"/>
      <c r="D16" s="303"/>
      <c r="E16" s="304"/>
      <c r="F16" s="30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63"/>
      <c r="B17" s="300"/>
      <c r="C17" s="33"/>
      <c r="D17" s="303"/>
      <c r="E17" s="304"/>
      <c r="F17" s="30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63"/>
      <c r="B18" s="300"/>
      <c r="C18" s="33"/>
      <c r="D18" s="303"/>
      <c r="E18" s="304"/>
      <c r="F18" s="30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63"/>
      <c r="B19" s="301"/>
      <c r="C19" s="34"/>
      <c r="D19" s="301"/>
      <c r="E19" s="305"/>
      <c r="F19" s="305"/>
      <c r="G19" s="34"/>
      <c r="H19" s="1"/>
      <c r="I19" s="63" t="s">
        <v>83</v>
      </c>
      <c r="J19" s="37"/>
      <c r="K19" s="312">
        <f>SUM(K5:K18)</f>
        <v>15101.890000000001</v>
      </c>
      <c r="L19" s="313"/>
      <c r="M19" s="1"/>
      <c r="N19" s="1"/>
      <c r="R19" s="3"/>
    </row>
    <row r="20" spans="1:18" ht="16.5" thickBot="1">
      <c r="A20" s="163">
        <f>SUM(A6:A15)</f>
        <v>2300.1400000000003</v>
      </c>
      <c r="B20" s="301">
        <f>SUM(B6:B19)</f>
        <v>534</v>
      </c>
      <c r="C20" s="34" t="s">
        <v>66</v>
      </c>
      <c r="D20" s="301">
        <f>SUM(D6:D19)</f>
        <v>0</v>
      </c>
      <c r="E20" s="301">
        <f>SUM(E6:E19)</f>
        <v>0</v>
      </c>
      <c r="F20" s="30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306" t="s">
        <v>134</v>
      </c>
      <c r="L24" s="307"/>
      <c r="M24" s="1"/>
      <c r="R24" s="3"/>
    </row>
    <row r="25" spans="1:18" ht="15.75">
      <c r="A25" s="1" t="s">
        <v>610</v>
      </c>
      <c r="B25" s="298" t="s">
        <v>32</v>
      </c>
      <c r="C25" s="60" t="s">
        <v>33</v>
      </c>
      <c r="D25" s="298" t="s">
        <v>68</v>
      </c>
      <c r="E25" s="302" t="s">
        <v>69</v>
      </c>
      <c r="F25" s="302" t="s">
        <v>32</v>
      </c>
      <c r="G25" s="60" t="s">
        <v>33</v>
      </c>
      <c r="H25" s="1"/>
      <c r="I25" s="150"/>
      <c r="J25" s="3"/>
      <c r="K25" s="308"/>
      <c r="L25" s="309"/>
      <c r="M25" s="1"/>
      <c r="R25" s="3"/>
    </row>
    <row r="26" spans="1:18" ht="15.75">
      <c r="A26" s="163">
        <f>'11'!A26+B26-D26</f>
        <v>2700</v>
      </c>
      <c r="B26" s="299">
        <v>900</v>
      </c>
      <c r="C26" s="66" t="s">
        <v>42</v>
      </c>
      <c r="D26" s="303"/>
      <c r="E26" s="304"/>
      <c r="F26" s="304"/>
      <c r="G26" s="33" t="s">
        <v>42</v>
      </c>
      <c r="H26" s="1"/>
      <c r="I26" s="151"/>
      <c r="J26" s="35"/>
      <c r="K26" s="310"/>
      <c r="L26" s="311"/>
      <c r="M26" s="1"/>
      <c r="R26" s="3"/>
    </row>
    <row r="27" spans="1:18" ht="15.75">
      <c r="A27" s="163">
        <f>'11'!A27+B27-D27</f>
        <v>513</v>
      </c>
      <c r="B27" s="300">
        <v>170</v>
      </c>
      <c r="C27" s="66" t="s">
        <v>44</v>
      </c>
      <c r="D27" s="303"/>
      <c r="E27" s="304"/>
      <c r="F27" s="30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'11'!A28+B28-D28</f>
        <v>240</v>
      </c>
      <c r="B28" s="300">
        <v>40</v>
      </c>
      <c r="C28" s="66" t="s">
        <v>45</v>
      </c>
      <c r="D28" s="303"/>
      <c r="E28" s="304"/>
      <c r="F28" s="30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'11'!A29+B29-D29</f>
        <v>54.54</v>
      </c>
      <c r="B29" s="300">
        <v>18</v>
      </c>
      <c r="C29" s="66" t="s">
        <v>41</v>
      </c>
      <c r="D29" s="303"/>
      <c r="E29" s="304"/>
      <c r="F29" s="304"/>
      <c r="G29" s="33" t="s">
        <v>41</v>
      </c>
      <c r="H29" s="1"/>
      <c r="I29" s="151"/>
      <c r="J29" s="35"/>
      <c r="K29" s="310"/>
      <c r="L29" s="311"/>
      <c r="M29" s="1"/>
      <c r="R29" s="3"/>
    </row>
    <row r="30" spans="1:18" ht="15.75">
      <c r="A30" s="163">
        <f>'11'!A30+B30-D30</f>
        <v>593.55999999999995</v>
      </c>
      <c r="B30" s="300">
        <v>0</v>
      </c>
      <c r="C30" s="66" t="s">
        <v>46</v>
      </c>
      <c r="D30" s="303"/>
      <c r="E30" s="304"/>
      <c r="F30" s="30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300"/>
      <c r="C31" s="33"/>
      <c r="D31" s="303"/>
      <c r="E31" s="304"/>
      <c r="F31" s="30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300"/>
      <c r="C32" s="33"/>
      <c r="D32" s="303"/>
      <c r="E32" s="304"/>
      <c r="F32" s="30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300"/>
      <c r="C33" s="33"/>
      <c r="D33" s="303"/>
      <c r="E33" s="304"/>
      <c r="F33" s="30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300"/>
      <c r="C34" s="33"/>
      <c r="D34" s="303"/>
      <c r="E34" s="304"/>
      <c r="F34" s="30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300"/>
      <c r="C35" s="33"/>
      <c r="D35" s="303"/>
      <c r="E35" s="304"/>
      <c r="F35" s="30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300"/>
      <c r="C36" s="33"/>
      <c r="D36" s="303"/>
      <c r="E36" s="304"/>
      <c r="F36" s="30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300"/>
      <c r="C37" s="33"/>
      <c r="D37" s="303"/>
      <c r="E37" s="304"/>
      <c r="F37" s="30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300"/>
      <c r="C38" s="33"/>
      <c r="D38" s="303"/>
      <c r="E38" s="304"/>
      <c r="F38" s="30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301"/>
      <c r="C39" s="34"/>
      <c r="D39" s="301"/>
      <c r="E39" s="305"/>
      <c r="F39" s="305"/>
      <c r="G39" s="34"/>
      <c r="H39" s="1"/>
      <c r="M39" s="1"/>
      <c r="R39" s="3"/>
    </row>
    <row r="40" spans="1:18" ht="16.5" thickBot="1">
      <c r="A40" s="163">
        <f>SUM(A26:A35)</f>
        <v>4101.1000000000004</v>
      </c>
      <c r="B40" s="301">
        <f>SUM(B26:B39)</f>
        <v>1128</v>
      </c>
      <c r="C40" s="34" t="s">
        <v>66</v>
      </c>
      <c r="D40" s="301">
        <f>SUM(D26:D39)</f>
        <v>0</v>
      </c>
      <c r="E40" s="301">
        <f>SUM(E26:E39)</f>
        <v>0</v>
      </c>
      <c r="F40" s="30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298" t="s">
        <v>32</v>
      </c>
      <c r="C45" s="60" t="s">
        <v>33</v>
      </c>
      <c r="D45" s="298" t="s">
        <v>68</v>
      </c>
      <c r="E45" s="302" t="s">
        <v>69</v>
      </c>
      <c r="F45" s="302" t="s">
        <v>32</v>
      </c>
      <c r="G45" s="60" t="s">
        <v>393</v>
      </c>
      <c r="H45" s="1"/>
      <c r="M45" s="1"/>
      <c r="R45" s="3"/>
    </row>
    <row r="46" spans="1:18" ht="15.75">
      <c r="A46" s="1"/>
      <c r="B46" s="299">
        <v>460</v>
      </c>
      <c r="C46" s="36"/>
      <c r="D46" s="303"/>
      <c r="E46" s="304"/>
      <c r="F46" s="304"/>
      <c r="G46" s="69"/>
      <c r="H46" s="1"/>
      <c r="M46" s="1"/>
      <c r="R46" s="3"/>
    </row>
    <row r="47" spans="1:18" ht="15.75">
      <c r="A47" s="1"/>
      <c r="B47" s="300">
        <v>30</v>
      </c>
      <c r="C47" s="33" t="s">
        <v>110</v>
      </c>
      <c r="D47" s="303"/>
      <c r="E47" s="304"/>
      <c r="F47" s="304"/>
      <c r="G47" s="33"/>
      <c r="H47" s="1"/>
      <c r="M47" s="1"/>
      <c r="R47" s="3"/>
    </row>
    <row r="48" spans="1:18" ht="15.75">
      <c r="A48" s="1"/>
      <c r="B48" s="300"/>
      <c r="C48" s="33"/>
      <c r="D48" s="303"/>
      <c r="E48" s="304"/>
      <c r="F48" s="304"/>
      <c r="G48" s="33"/>
      <c r="H48" s="1"/>
      <c r="M48" s="1"/>
      <c r="R48" s="3"/>
    </row>
    <row r="49" spans="1:18" ht="15.75">
      <c r="A49" s="1"/>
      <c r="B49" s="300"/>
      <c r="C49" s="33"/>
      <c r="D49" s="303"/>
      <c r="E49" s="304"/>
      <c r="F49" s="304"/>
      <c r="G49" s="33"/>
      <c r="H49" s="1"/>
      <c r="M49" s="1"/>
      <c r="R49" s="3"/>
    </row>
    <row r="50" spans="1:18" ht="15.75">
      <c r="A50" s="1"/>
      <c r="B50" s="300"/>
      <c r="C50" s="33"/>
      <c r="D50" s="303"/>
      <c r="E50" s="304"/>
      <c r="F50" s="304"/>
      <c r="G50" s="33"/>
      <c r="H50" s="1"/>
      <c r="M50" s="1"/>
      <c r="R50" s="3"/>
    </row>
    <row r="51" spans="1:18" ht="15.75">
      <c r="A51" s="1"/>
      <c r="B51" s="300"/>
      <c r="C51" s="33"/>
      <c r="D51" s="303"/>
      <c r="E51" s="304"/>
      <c r="F51" s="304"/>
      <c r="G51" s="33"/>
      <c r="H51" s="1"/>
      <c r="M51" s="1"/>
      <c r="R51" s="3"/>
    </row>
    <row r="52" spans="1:18" ht="15.75">
      <c r="A52" s="1"/>
      <c r="B52" s="300"/>
      <c r="C52" s="33"/>
      <c r="D52" s="303"/>
      <c r="E52" s="304"/>
      <c r="F52" s="304"/>
      <c r="G52" s="33"/>
      <c r="H52" s="1"/>
      <c r="M52" s="1"/>
      <c r="R52" s="3"/>
    </row>
    <row r="53" spans="1:18" ht="15.75">
      <c r="A53" s="1"/>
      <c r="B53" s="300"/>
      <c r="C53" s="33"/>
      <c r="D53" s="303"/>
      <c r="E53" s="304"/>
      <c r="F53" s="304"/>
      <c r="G53" s="33"/>
      <c r="H53" s="1"/>
      <c r="M53" s="1"/>
      <c r="R53" s="3"/>
    </row>
    <row r="54" spans="1:18" ht="15.75">
      <c r="A54" s="1"/>
      <c r="B54" s="300"/>
      <c r="C54" s="33"/>
      <c r="D54" s="303"/>
      <c r="E54" s="304"/>
      <c r="F54" s="304"/>
      <c r="G54" s="33"/>
      <c r="H54" s="1"/>
      <c r="M54" s="1"/>
      <c r="R54" s="3"/>
    </row>
    <row r="55" spans="1:18" ht="15.75">
      <c r="A55" s="1"/>
      <c r="B55" s="300"/>
      <c r="C55" s="33"/>
      <c r="D55" s="303"/>
      <c r="E55" s="304"/>
      <c r="F55" s="304"/>
      <c r="G55" s="33"/>
      <c r="H55" s="1"/>
      <c r="M55" s="1"/>
      <c r="R55" s="3"/>
    </row>
    <row r="56" spans="1:18" ht="15.75">
      <c r="A56" s="1"/>
      <c r="B56" s="300"/>
      <c r="C56" s="33"/>
      <c r="D56" s="303"/>
      <c r="E56" s="304"/>
      <c r="F56" s="304"/>
      <c r="G56" s="33"/>
      <c r="H56" s="1"/>
      <c r="M56" s="1"/>
      <c r="R56" s="3"/>
    </row>
    <row r="57" spans="1:18" ht="15.75">
      <c r="A57" s="1"/>
      <c r="B57" s="300"/>
      <c r="C57" s="33"/>
      <c r="D57" s="303"/>
      <c r="E57" s="304"/>
      <c r="F57" s="304"/>
      <c r="G57" s="33"/>
      <c r="H57" s="1"/>
      <c r="M57" s="1"/>
      <c r="R57" s="3"/>
    </row>
    <row r="58" spans="1:18" ht="15.75">
      <c r="A58" s="1"/>
      <c r="B58" s="300"/>
      <c r="C58" s="33"/>
      <c r="D58" s="303"/>
      <c r="E58" s="304"/>
      <c r="F58" s="304"/>
      <c r="G58" s="33"/>
      <c r="H58" s="1"/>
      <c r="M58" s="1"/>
      <c r="R58" s="3"/>
    </row>
    <row r="59" spans="1:18" ht="16.5" thickBot="1">
      <c r="A59" s="1"/>
      <c r="B59" s="301"/>
      <c r="C59" s="34"/>
      <c r="D59" s="301"/>
      <c r="E59" s="305"/>
      <c r="F59" s="305"/>
      <c r="G59" s="34"/>
      <c r="H59" s="1"/>
      <c r="M59" s="1"/>
      <c r="R59" s="3"/>
    </row>
    <row r="60" spans="1:18" ht="16.5" thickBot="1">
      <c r="A60" s="1"/>
      <c r="B60" s="301">
        <f>SUM(B46:B59)</f>
        <v>490</v>
      </c>
      <c r="C60" s="34" t="s">
        <v>66</v>
      </c>
      <c r="D60" s="301">
        <f>SUM(D46:D59)</f>
        <v>0</v>
      </c>
      <c r="E60" s="301">
        <f>SUM(E46:E59)</f>
        <v>0</v>
      </c>
      <c r="F60" s="30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298" t="s">
        <v>32</v>
      </c>
      <c r="C65" s="60" t="s">
        <v>33</v>
      </c>
      <c r="D65" s="298" t="s">
        <v>68</v>
      </c>
      <c r="E65" s="302" t="s">
        <v>69</v>
      </c>
      <c r="F65" s="302" t="s">
        <v>32</v>
      </c>
      <c r="G65" s="60" t="s">
        <v>393</v>
      </c>
      <c r="H65" s="1"/>
      <c r="M65" s="1"/>
      <c r="R65" s="3"/>
    </row>
    <row r="66" spans="1:18" ht="15.75">
      <c r="A66" s="1"/>
      <c r="B66" s="299">
        <v>150</v>
      </c>
      <c r="C66" s="36" t="s">
        <v>36</v>
      </c>
      <c r="D66" s="303"/>
      <c r="E66" s="304"/>
      <c r="F66" s="304"/>
      <c r="G66" s="36"/>
      <c r="H66" s="1"/>
      <c r="M66" s="1"/>
      <c r="R66" s="3"/>
    </row>
    <row r="67" spans="1:18" ht="15.75">
      <c r="A67" s="1"/>
      <c r="B67" s="300"/>
      <c r="C67" s="33"/>
      <c r="D67" s="303"/>
      <c r="E67" s="304"/>
      <c r="F67" s="304"/>
      <c r="G67" s="70"/>
      <c r="H67" s="1"/>
      <c r="M67" s="1"/>
      <c r="R67" s="3"/>
    </row>
    <row r="68" spans="1:18" ht="15.75">
      <c r="A68" s="1"/>
      <c r="B68" s="300"/>
      <c r="C68" s="33"/>
      <c r="D68" s="303"/>
      <c r="E68" s="304"/>
      <c r="F68" s="304"/>
      <c r="G68" s="33"/>
      <c r="H68" s="1"/>
      <c r="M68" s="1"/>
      <c r="R68" s="3"/>
    </row>
    <row r="69" spans="1:18" ht="15.75">
      <c r="A69" s="1"/>
      <c r="B69" s="300"/>
      <c r="C69" s="33"/>
      <c r="D69" s="303"/>
      <c r="E69" s="304"/>
      <c r="F69" s="304"/>
      <c r="G69" s="33"/>
      <c r="H69" s="1"/>
      <c r="M69" s="1"/>
      <c r="R69" s="3"/>
    </row>
    <row r="70" spans="1:18" ht="15.75">
      <c r="A70" s="1"/>
      <c r="B70" s="300"/>
      <c r="C70" s="33"/>
      <c r="D70" s="303"/>
      <c r="E70" s="304"/>
      <c r="F70" s="304"/>
      <c r="G70" s="33"/>
      <c r="H70" s="1"/>
      <c r="M70" s="1"/>
      <c r="R70" s="3"/>
    </row>
    <row r="71" spans="1:18" ht="15.75">
      <c r="A71" s="1"/>
      <c r="B71" s="300"/>
      <c r="C71" s="33"/>
      <c r="D71" s="303"/>
      <c r="E71" s="304"/>
      <c r="F71" s="304"/>
      <c r="G71" s="33"/>
      <c r="H71" s="1"/>
      <c r="M71" s="1"/>
      <c r="R71" s="3"/>
    </row>
    <row r="72" spans="1:18" ht="15.75">
      <c r="A72" s="1"/>
      <c r="B72" s="300"/>
      <c r="C72" s="33"/>
      <c r="D72" s="303"/>
      <c r="E72" s="304"/>
      <c r="F72" s="304"/>
      <c r="G72" s="33"/>
      <c r="H72" s="1"/>
      <c r="M72" s="1"/>
      <c r="R72" s="3"/>
    </row>
    <row r="73" spans="1:18" ht="15.75">
      <c r="A73" s="1"/>
      <c r="B73" s="300"/>
      <c r="C73" s="33"/>
      <c r="D73" s="303"/>
      <c r="E73" s="304"/>
      <c r="F73" s="304"/>
      <c r="G73" s="33"/>
      <c r="H73" s="1"/>
      <c r="M73" s="1"/>
      <c r="R73" s="3"/>
    </row>
    <row r="74" spans="1:18" ht="15.75">
      <c r="A74" s="1"/>
      <c r="B74" s="300"/>
      <c r="C74" s="33"/>
      <c r="D74" s="303"/>
      <c r="E74" s="304"/>
      <c r="F74" s="304"/>
      <c r="G74" s="33"/>
      <c r="H74" s="1"/>
      <c r="M74" s="1"/>
      <c r="R74" s="3"/>
    </row>
    <row r="75" spans="1:18" ht="15.75">
      <c r="A75" s="1"/>
      <c r="B75" s="300"/>
      <c r="C75" s="33"/>
      <c r="D75" s="303"/>
      <c r="E75" s="304"/>
      <c r="F75" s="304"/>
      <c r="G75" s="33"/>
      <c r="H75" s="1"/>
      <c r="M75" s="1"/>
      <c r="R75" s="3"/>
    </row>
    <row r="76" spans="1:18" ht="15.75">
      <c r="A76" s="1"/>
      <c r="B76" s="300"/>
      <c r="C76" s="33"/>
      <c r="D76" s="303"/>
      <c r="E76" s="304"/>
      <c r="F76" s="304"/>
      <c r="G76" s="33"/>
      <c r="H76" s="1"/>
      <c r="M76" s="1"/>
      <c r="R76" s="3"/>
    </row>
    <row r="77" spans="1:18" ht="15.75">
      <c r="A77" s="1"/>
      <c r="B77" s="300"/>
      <c r="C77" s="33"/>
      <c r="D77" s="303"/>
      <c r="E77" s="304"/>
      <c r="F77" s="304"/>
      <c r="G77" s="33"/>
      <c r="H77" s="1"/>
      <c r="M77" s="1"/>
      <c r="R77" s="3"/>
    </row>
    <row r="78" spans="1:18" ht="15.75">
      <c r="A78" s="1"/>
      <c r="B78" s="300"/>
      <c r="C78" s="33"/>
      <c r="D78" s="303"/>
      <c r="E78" s="304"/>
      <c r="F78" s="304"/>
      <c r="G78" s="33"/>
      <c r="H78" s="1"/>
      <c r="M78" s="1"/>
      <c r="R78" s="3"/>
    </row>
    <row r="79" spans="1:18" ht="16.5" thickBot="1">
      <c r="A79" s="1"/>
      <c r="B79" s="301"/>
      <c r="C79" s="34"/>
      <c r="D79" s="301"/>
      <c r="E79" s="305"/>
      <c r="F79" s="305"/>
      <c r="G79" s="34"/>
      <c r="H79" s="1"/>
      <c r="M79" s="1"/>
      <c r="R79" s="3"/>
    </row>
    <row r="80" spans="1:18" ht="16.5" thickBot="1">
      <c r="A80" s="1"/>
      <c r="B80" s="301">
        <f>SUM(B66:B79)</f>
        <v>150</v>
      </c>
      <c r="C80" s="34" t="s">
        <v>66</v>
      </c>
      <c r="D80" s="301">
        <f>SUM(D66:D79)</f>
        <v>0</v>
      </c>
      <c r="E80" s="301">
        <f>SUM(E66:E79)</f>
        <v>0</v>
      </c>
      <c r="F80" s="30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298" t="s">
        <v>32</v>
      </c>
      <c r="C85" s="60" t="s">
        <v>33</v>
      </c>
      <c r="D85" s="298" t="s">
        <v>68</v>
      </c>
      <c r="E85" s="302" t="s">
        <v>69</v>
      </c>
      <c r="F85" s="302" t="s">
        <v>32</v>
      </c>
      <c r="G85" s="60" t="s">
        <v>393</v>
      </c>
      <c r="H85" s="1"/>
      <c r="M85" s="1"/>
      <c r="R85" s="3"/>
    </row>
    <row r="86" spans="1:18" ht="15.75">
      <c r="A86" s="1"/>
      <c r="B86" s="299">
        <v>160</v>
      </c>
      <c r="C86" s="36" t="s">
        <v>51</v>
      </c>
      <c r="D86" s="303"/>
      <c r="E86" s="304"/>
      <c r="F86" s="304"/>
      <c r="G86" s="33"/>
      <c r="H86" s="1"/>
      <c r="M86" s="1"/>
      <c r="R86" s="3"/>
    </row>
    <row r="87" spans="1:18" ht="15.75">
      <c r="A87" s="1"/>
      <c r="B87" s="300"/>
      <c r="C87" s="33"/>
      <c r="D87" s="303"/>
      <c r="E87" s="304"/>
      <c r="F87" s="304"/>
      <c r="G87" s="33"/>
      <c r="H87" s="1"/>
      <c r="M87" s="1"/>
      <c r="R87" s="3"/>
    </row>
    <row r="88" spans="1:18" ht="15.75">
      <c r="A88" s="1"/>
      <c r="B88" s="300"/>
      <c r="C88" s="33"/>
      <c r="D88" s="303"/>
      <c r="E88" s="304"/>
      <c r="F88" s="304"/>
      <c r="G88" s="33"/>
      <c r="H88" s="1"/>
      <c r="M88" s="1"/>
      <c r="R88" s="3"/>
    </row>
    <row r="89" spans="1:18" ht="15.75">
      <c r="A89" s="1"/>
      <c r="B89" s="300"/>
      <c r="C89" s="33"/>
      <c r="D89" s="303"/>
      <c r="E89" s="304"/>
      <c r="F89" s="304"/>
      <c r="G89" s="33"/>
      <c r="H89" s="1"/>
      <c r="M89" s="1"/>
      <c r="R89" s="3"/>
    </row>
    <row r="90" spans="1:18" ht="15.75">
      <c r="A90" s="1"/>
      <c r="B90" s="300"/>
      <c r="C90" s="33"/>
      <c r="D90" s="303"/>
      <c r="E90" s="304"/>
      <c r="F90" s="304"/>
      <c r="G90" s="33"/>
      <c r="H90" s="1"/>
      <c r="M90" s="1"/>
      <c r="R90" s="3"/>
    </row>
    <row r="91" spans="1:18" ht="15.75">
      <c r="A91" s="1"/>
      <c r="B91" s="300"/>
      <c r="C91" s="33"/>
      <c r="D91" s="303"/>
      <c r="E91" s="304"/>
      <c r="F91" s="304"/>
      <c r="G91" s="33"/>
      <c r="H91" s="1"/>
      <c r="M91" s="1"/>
      <c r="R91" s="3"/>
    </row>
    <row r="92" spans="1:18" ht="15.75">
      <c r="A92" s="1"/>
      <c r="B92" s="300"/>
      <c r="C92" s="33"/>
      <c r="D92" s="303"/>
      <c r="E92" s="304"/>
      <c r="F92" s="304"/>
      <c r="G92" s="33"/>
      <c r="H92" s="1"/>
      <c r="M92" s="1"/>
      <c r="R92" s="3"/>
    </row>
    <row r="93" spans="1:18" ht="15.75">
      <c r="A93" s="1"/>
      <c r="B93" s="300"/>
      <c r="C93" s="33"/>
      <c r="D93" s="303"/>
      <c r="E93" s="304"/>
      <c r="F93" s="304"/>
      <c r="G93" s="33"/>
      <c r="H93" s="1"/>
      <c r="M93" s="1"/>
      <c r="R93" s="3"/>
    </row>
    <row r="94" spans="1:18" ht="15.75">
      <c r="A94" s="1"/>
      <c r="B94" s="300"/>
      <c r="C94" s="33"/>
      <c r="D94" s="303"/>
      <c r="E94" s="304"/>
      <c r="F94" s="304"/>
      <c r="G94" s="33"/>
      <c r="H94" s="1"/>
      <c r="M94" s="1"/>
      <c r="R94" s="3"/>
    </row>
    <row r="95" spans="1:18" ht="15.75">
      <c r="A95" s="1"/>
      <c r="B95" s="300"/>
      <c r="C95" s="33"/>
      <c r="D95" s="303"/>
      <c r="E95" s="304"/>
      <c r="F95" s="304"/>
      <c r="G95" s="33"/>
      <c r="H95" s="1"/>
      <c r="M95" s="1"/>
      <c r="R95" s="3"/>
    </row>
    <row r="96" spans="1:18" ht="15.75">
      <c r="A96" s="1"/>
      <c r="B96" s="300"/>
      <c r="C96" s="33"/>
      <c r="D96" s="303"/>
      <c r="E96" s="304"/>
      <c r="F96" s="304"/>
      <c r="G96" s="33"/>
      <c r="H96" s="1"/>
      <c r="M96" s="1"/>
      <c r="R96" s="3"/>
    </row>
    <row r="97" spans="1:18" ht="15.75">
      <c r="A97" s="1"/>
      <c r="B97" s="300"/>
      <c r="C97" s="33"/>
      <c r="D97" s="303"/>
      <c r="E97" s="304"/>
      <c r="F97" s="304"/>
      <c r="G97" s="33"/>
      <c r="H97" s="1"/>
      <c r="M97" s="1"/>
      <c r="R97" s="3"/>
    </row>
    <row r="98" spans="1:18" ht="15.75">
      <c r="A98" s="1"/>
      <c r="B98" s="300"/>
      <c r="C98" s="33"/>
      <c r="D98" s="303"/>
      <c r="E98" s="304"/>
      <c r="F98" s="304"/>
      <c r="G98" s="33"/>
      <c r="H98" s="1"/>
      <c r="M98" s="1"/>
      <c r="R98" s="3"/>
    </row>
    <row r="99" spans="1:18" ht="16.5" thickBot="1">
      <c r="A99" s="1"/>
      <c r="B99" s="301"/>
      <c r="C99" s="34"/>
      <c r="D99" s="301"/>
      <c r="E99" s="305"/>
      <c r="F99" s="305"/>
      <c r="G99" s="34"/>
      <c r="H99" s="1"/>
      <c r="M99" s="1"/>
      <c r="R99" s="3"/>
    </row>
    <row r="100" spans="1:18" ht="16.5" thickBot="1">
      <c r="A100" s="1"/>
      <c r="B100" s="301">
        <f>SUM(B86:B99)</f>
        <v>160</v>
      </c>
      <c r="C100" s="34" t="s">
        <v>66</v>
      </c>
      <c r="D100" s="301">
        <f>SUM(D86:D99)</f>
        <v>0</v>
      </c>
      <c r="E100" s="301">
        <f>SUM(E86:E99)</f>
        <v>0</v>
      </c>
      <c r="F100" s="30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37" t="s">
        <v>610</v>
      </c>
      <c r="B105" s="298" t="s">
        <v>32</v>
      </c>
      <c r="C105" s="60" t="s">
        <v>33</v>
      </c>
      <c r="D105" s="298" t="s">
        <v>68</v>
      </c>
      <c r="E105" s="302" t="s">
        <v>69</v>
      </c>
      <c r="F105" s="30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775.41000000000008</v>
      </c>
      <c r="B106" s="299">
        <v>258.47000000000003</v>
      </c>
      <c r="C106" s="35" t="s">
        <v>55</v>
      </c>
      <c r="D106" s="303"/>
      <c r="E106" s="304"/>
      <c r="F106" s="304"/>
      <c r="G106" s="70" t="s">
        <v>55</v>
      </c>
      <c r="H106" s="1"/>
      <c r="M106" s="1"/>
      <c r="R106" s="3"/>
    </row>
    <row r="107" spans="1:18" ht="15.75">
      <c r="A107" s="163">
        <f>'11'!A107+B107-D107</f>
        <v>213</v>
      </c>
      <c r="B107" s="300">
        <v>71</v>
      </c>
      <c r="C107" s="35" t="s">
        <v>56</v>
      </c>
      <c r="D107" s="303"/>
      <c r="E107" s="304"/>
      <c r="F107" s="30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300">
        <v>50</v>
      </c>
      <c r="C108" s="35" t="s">
        <v>619</v>
      </c>
      <c r="D108" s="303"/>
      <c r="E108" s="304"/>
      <c r="F108" s="304"/>
      <c r="G108" s="73" t="s">
        <v>88</v>
      </c>
      <c r="H108" s="1"/>
      <c r="M108" s="1"/>
      <c r="R108" s="3"/>
    </row>
    <row r="109" spans="1:18" ht="15.75">
      <c r="A109" s="163">
        <f>'11'!A109+B109-D109</f>
        <v>2775.0300000000007</v>
      </c>
      <c r="B109" s="300">
        <v>20.53</v>
      </c>
      <c r="C109" s="35" t="s">
        <v>618</v>
      </c>
      <c r="D109" s="303"/>
      <c r="E109" s="304"/>
      <c r="F109" s="304"/>
      <c r="G109" s="70"/>
      <c r="H109" s="1"/>
      <c r="M109" s="1"/>
      <c r="R109" s="3"/>
    </row>
    <row r="110" spans="1:18" ht="15.75">
      <c r="B110" s="300"/>
      <c r="C110" s="35"/>
      <c r="D110" s="303"/>
      <c r="E110" s="304"/>
      <c r="F110" s="304"/>
      <c r="G110" s="70"/>
      <c r="H110" s="1"/>
      <c r="M110" s="1"/>
      <c r="R110" s="3"/>
    </row>
    <row r="111" spans="1:18" ht="15.75">
      <c r="B111" s="300"/>
      <c r="C111" s="66"/>
      <c r="D111" s="303"/>
      <c r="E111" s="304"/>
      <c r="F111" s="304"/>
      <c r="G111" s="73"/>
      <c r="H111" s="1"/>
      <c r="M111" s="1"/>
      <c r="R111" s="3"/>
    </row>
    <row r="112" spans="1:18" ht="15.75">
      <c r="B112" s="300"/>
      <c r="C112" s="71"/>
      <c r="D112" s="303"/>
      <c r="E112" s="304"/>
      <c r="F112" s="304"/>
      <c r="G112" s="70"/>
      <c r="H112" s="1"/>
      <c r="M112" s="1"/>
      <c r="R112" s="3"/>
    </row>
    <row r="113" spans="1:18" ht="15.75">
      <c r="B113" s="300"/>
      <c r="C113" s="72"/>
      <c r="D113" s="303"/>
      <c r="E113" s="304"/>
      <c r="F113" s="304"/>
      <c r="G113" s="70"/>
      <c r="H113" s="1"/>
      <c r="M113" s="1"/>
      <c r="R113" s="3"/>
    </row>
    <row r="114" spans="1:18" ht="15.75">
      <c r="B114" s="300"/>
      <c r="C114" s="71"/>
      <c r="D114" s="303"/>
      <c r="E114" s="304"/>
      <c r="F114" s="304"/>
      <c r="G114" s="70"/>
      <c r="H114" s="1"/>
      <c r="M114" s="1"/>
      <c r="R114" s="3"/>
    </row>
    <row r="115" spans="1:18" ht="15.75">
      <c r="B115" s="300"/>
      <c r="C115" s="66"/>
      <c r="D115" s="303"/>
      <c r="E115" s="304"/>
      <c r="F115" s="304"/>
      <c r="G115" s="33"/>
      <c r="H115" s="1">
        <v>32768</v>
      </c>
      <c r="M115" s="1"/>
      <c r="R115" s="3"/>
    </row>
    <row r="116" spans="1:18" ht="15.75">
      <c r="B116" s="300"/>
      <c r="C116" s="35"/>
      <c r="D116" s="303"/>
      <c r="E116" s="304"/>
      <c r="F116" s="304"/>
      <c r="G116" s="33"/>
      <c r="H116" s="1">
        <f>H115*2</f>
        <v>65536</v>
      </c>
      <c r="M116" s="1"/>
      <c r="R116" s="3"/>
    </row>
    <row r="117" spans="1:18" ht="15.75">
      <c r="B117" s="300"/>
      <c r="C117" s="35"/>
      <c r="D117" s="303"/>
      <c r="E117" s="304"/>
      <c r="F117" s="304"/>
      <c r="G117" s="33"/>
      <c r="H117" s="1"/>
      <c r="M117" s="1"/>
      <c r="R117" s="3"/>
    </row>
    <row r="118" spans="1:18" ht="15.75">
      <c r="B118" s="300"/>
      <c r="C118" s="35"/>
      <c r="D118" s="303"/>
      <c r="E118" s="304"/>
      <c r="F118" s="304"/>
      <c r="G118" s="33"/>
      <c r="H118" s="1"/>
      <c r="M118" s="1"/>
      <c r="R118" s="3"/>
    </row>
    <row r="119" spans="1:18" ht="16.5" thickBot="1">
      <c r="B119" s="301"/>
      <c r="C119" s="37"/>
      <c r="D119" s="301"/>
      <c r="E119" s="305"/>
      <c r="F119" s="305"/>
      <c r="G119" s="34"/>
      <c r="H119" s="1"/>
      <c r="M119" s="1"/>
      <c r="R119" s="3"/>
    </row>
    <row r="120" spans="1:18" ht="16.5" thickBot="1">
      <c r="A120" s="164">
        <f>SUM(A106:A108)</f>
        <v>2138.41</v>
      </c>
      <c r="B120" s="301">
        <f>SUM(B106:B119)</f>
        <v>400</v>
      </c>
      <c r="C120" s="34" t="s">
        <v>66</v>
      </c>
      <c r="D120" s="301">
        <f>SUM(D106:D119)</f>
        <v>0</v>
      </c>
      <c r="E120" s="301">
        <f>SUM(E106:E119)</f>
        <v>0</v>
      </c>
      <c r="F120" s="30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298" t="s">
        <v>32</v>
      </c>
      <c r="C125" s="60" t="s">
        <v>33</v>
      </c>
      <c r="D125" s="298" t="s">
        <v>68</v>
      </c>
      <c r="E125" s="302" t="s">
        <v>69</v>
      </c>
      <c r="F125" s="302" t="s">
        <v>32</v>
      </c>
      <c r="G125" s="60" t="s">
        <v>33</v>
      </c>
      <c r="H125" s="1"/>
      <c r="M125" s="1"/>
      <c r="R125" s="3"/>
    </row>
    <row r="126" spans="1:18" ht="15.75">
      <c r="A126" s="1"/>
      <c r="B126" s="299">
        <v>27.5</v>
      </c>
      <c r="C126" s="36" t="s">
        <v>57</v>
      </c>
      <c r="D126" s="303"/>
      <c r="E126" s="304"/>
      <c r="F126" s="304"/>
      <c r="G126" s="33" t="s">
        <v>57</v>
      </c>
      <c r="H126" s="1"/>
      <c r="M126" s="1"/>
      <c r="R126" s="3"/>
    </row>
    <row r="127" spans="1:18" ht="15.75">
      <c r="A127" s="1"/>
      <c r="B127" s="300">
        <v>12.5</v>
      </c>
      <c r="C127" s="33" t="s">
        <v>58</v>
      </c>
      <c r="D127" s="303"/>
      <c r="E127" s="304"/>
      <c r="F127" s="304"/>
      <c r="G127" s="33" t="s">
        <v>199</v>
      </c>
      <c r="H127" s="1"/>
      <c r="M127" s="1"/>
      <c r="R127" s="3"/>
    </row>
    <row r="128" spans="1:18" ht="15.75">
      <c r="A128" s="1"/>
      <c r="B128" s="300">
        <v>8</v>
      </c>
      <c r="C128" s="33" t="s">
        <v>337</v>
      </c>
      <c r="D128" s="303"/>
      <c r="E128" s="304"/>
      <c r="F128" s="304"/>
      <c r="G128" s="33" t="s">
        <v>219</v>
      </c>
      <c r="H128" s="1"/>
      <c r="M128" s="1"/>
      <c r="R128" s="3"/>
    </row>
    <row r="129" spans="1:18" ht="15.75">
      <c r="A129" s="1"/>
      <c r="B129" s="300"/>
      <c r="C129" s="33"/>
      <c r="D129" s="303"/>
      <c r="E129" s="304"/>
      <c r="F129" s="304"/>
      <c r="G129" s="33" t="s">
        <v>337</v>
      </c>
      <c r="H129" s="1"/>
      <c r="M129" s="1"/>
      <c r="R129" s="3"/>
    </row>
    <row r="130" spans="1:18" ht="15.75">
      <c r="A130" s="1"/>
      <c r="B130" s="300"/>
      <c r="C130" s="33"/>
      <c r="D130" s="303"/>
      <c r="E130" s="304"/>
      <c r="F130" s="304"/>
      <c r="G130" s="33"/>
      <c r="H130" s="1"/>
      <c r="M130" s="1"/>
      <c r="R130" s="3"/>
    </row>
    <row r="131" spans="1:18" ht="15.75">
      <c r="A131" s="1"/>
      <c r="B131" s="300"/>
      <c r="C131" s="33"/>
      <c r="D131" s="303"/>
      <c r="E131" s="304"/>
      <c r="F131" s="304"/>
      <c r="G131" s="33"/>
      <c r="H131" s="1"/>
      <c r="M131" s="1"/>
      <c r="R131" s="3"/>
    </row>
    <row r="132" spans="1:18" ht="15.75">
      <c r="A132" s="1"/>
      <c r="B132" s="300"/>
      <c r="C132" s="33"/>
      <c r="D132" s="303"/>
      <c r="E132" s="304"/>
      <c r="F132" s="304"/>
      <c r="G132" s="33"/>
      <c r="H132" s="1"/>
      <c r="M132" s="1"/>
      <c r="R132" s="3"/>
    </row>
    <row r="133" spans="1:18" ht="15.75">
      <c r="A133" s="1"/>
      <c r="B133" s="300"/>
      <c r="C133" s="33"/>
      <c r="D133" s="303"/>
      <c r="E133" s="304"/>
      <c r="F133" s="304"/>
      <c r="G133" s="33"/>
      <c r="H133" s="1"/>
      <c r="M133" s="1"/>
      <c r="R133" s="3"/>
    </row>
    <row r="134" spans="1:18" ht="15.75">
      <c r="A134" s="1"/>
      <c r="B134" s="300"/>
      <c r="C134" s="33"/>
      <c r="D134" s="303"/>
      <c r="E134" s="304"/>
      <c r="F134" s="304"/>
      <c r="G134" s="33"/>
      <c r="H134" s="1"/>
      <c r="M134" s="1"/>
      <c r="R134" s="3"/>
    </row>
    <row r="135" spans="1:18" ht="15.75">
      <c r="A135" s="1"/>
      <c r="B135" s="300"/>
      <c r="C135" s="33"/>
      <c r="D135" s="303"/>
      <c r="E135" s="304"/>
      <c r="F135" s="304"/>
      <c r="G135" s="33"/>
      <c r="H135" s="1"/>
      <c r="M135" s="1"/>
      <c r="R135" s="3"/>
    </row>
    <row r="136" spans="1:18" ht="15.75">
      <c r="A136" s="1"/>
      <c r="B136" s="300"/>
      <c r="C136" s="33"/>
      <c r="D136" s="303"/>
      <c r="E136" s="304"/>
      <c r="F136" s="304"/>
      <c r="G136" s="33"/>
      <c r="H136" s="1"/>
      <c r="M136" s="1"/>
      <c r="R136" s="3"/>
    </row>
    <row r="137" spans="1:18" ht="15.75">
      <c r="A137" s="1"/>
      <c r="B137" s="300"/>
      <c r="C137" s="33"/>
      <c r="D137" s="303"/>
      <c r="E137" s="304"/>
      <c r="F137" s="304"/>
      <c r="G137" s="33"/>
      <c r="H137" s="1"/>
      <c r="M137" s="1"/>
      <c r="R137" s="3"/>
    </row>
    <row r="138" spans="1:18" ht="15.75">
      <c r="A138" s="1"/>
      <c r="B138" s="300"/>
      <c r="C138" s="33"/>
      <c r="D138" s="303"/>
      <c r="E138" s="304"/>
      <c r="F138" s="304"/>
      <c r="G138" s="33"/>
      <c r="H138" s="1"/>
      <c r="M138" s="1"/>
      <c r="R138" s="3"/>
    </row>
    <row r="139" spans="1:18" ht="16.5" thickBot="1">
      <c r="A139" s="1"/>
      <c r="B139" s="301"/>
      <c r="C139" s="34"/>
      <c r="D139" s="301"/>
      <c r="E139" s="305"/>
      <c r="F139" s="305"/>
      <c r="G139" s="34"/>
      <c r="H139" s="1"/>
      <c r="M139" s="1"/>
      <c r="R139" s="3"/>
    </row>
    <row r="140" spans="1:18" ht="16.5" thickBot="1">
      <c r="A140" s="1"/>
      <c r="B140" s="301">
        <f>SUM(B126:B139)</f>
        <v>48</v>
      </c>
      <c r="C140" s="34" t="s">
        <v>66</v>
      </c>
      <c r="D140" s="301">
        <f>SUM(D126:D139)</f>
        <v>0</v>
      </c>
      <c r="E140" s="301">
        <f>SUM(E126:E139)</f>
        <v>0</v>
      </c>
      <c r="F140" s="30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298" t="s">
        <v>32</v>
      </c>
      <c r="C145" s="60" t="s">
        <v>33</v>
      </c>
      <c r="D145" s="298" t="s">
        <v>68</v>
      </c>
      <c r="E145" s="302" t="s">
        <v>69</v>
      </c>
      <c r="F145" s="30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99">
        <v>50</v>
      </c>
      <c r="C146" s="36" t="s">
        <v>489</v>
      </c>
      <c r="D146" s="303"/>
      <c r="E146" s="304"/>
      <c r="F146" s="304"/>
      <c r="G146" s="33"/>
      <c r="H146" s="1"/>
      <c r="M146" s="1"/>
      <c r="R146" s="3"/>
    </row>
    <row r="147" spans="1:22" ht="15.75">
      <c r="A147" s="1"/>
      <c r="B147" s="300"/>
      <c r="C147" s="33"/>
      <c r="D147" s="303"/>
      <c r="E147" s="304"/>
      <c r="F147" s="304"/>
      <c r="G147" s="33"/>
      <c r="H147" s="1"/>
      <c r="M147" s="1"/>
      <c r="R147" s="3"/>
    </row>
    <row r="148" spans="1:22" ht="15.75">
      <c r="A148" s="1"/>
      <c r="B148" s="300"/>
      <c r="C148" s="33"/>
      <c r="D148" s="303"/>
      <c r="E148" s="304"/>
      <c r="F148" s="304"/>
      <c r="G148" s="33"/>
      <c r="H148" s="1"/>
      <c r="M148" s="1"/>
      <c r="R148" s="3"/>
    </row>
    <row r="149" spans="1:22" ht="15.75">
      <c r="A149" s="1"/>
      <c r="B149" s="300"/>
      <c r="C149" s="33"/>
      <c r="D149" s="303"/>
      <c r="E149" s="304"/>
      <c r="F149" s="304"/>
      <c r="G149" s="33"/>
      <c r="H149" s="1"/>
      <c r="M149" s="1"/>
      <c r="R149" s="3"/>
    </row>
    <row r="150" spans="1:22" ht="15.75">
      <c r="A150" s="1"/>
      <c r="B150" s="300"/>
      <c r="C150" s="33"/>
      <c r="D150" s="303"/>
      <c r="E150" s="304"/>
      <c r="F150" s="304"/>
      <c r="G150" s="33"/>
      <c r="H150" s="1"/>
      <c r="M150" s="1"/>
      <c r="R150" s="3"/>
    </row>
    <row r="151" spans="1:22" ht="15.75">
      <c r="A151" s="1"/>
      <c r="B151" s="300"/>
      <c r="C151" s="33"/>
      <c r="D151" s="303"/>
      <c r="E151" s="304"/>
      <c r="F151" s="304"/>
      <c r="G151" s="33"/>
      <c r="H151" s="1"/>
      <c r="M151" s="1"/>
      <c r="R151" s="3"/>
    </row>
    <row r="152" spans="1:22" ht="15.75">
      <c r="A152" s="1"/>
      <c r="B152" s="300"/>
      <c r="C152" s="33"/>
      <c r="D152" s="303"/>
      <c r="E152" s="304"/>
      <c r="F152" s="304"/>
      <c r="G152" s="33"/>
      <c r="H152" s="1"/>
      <c r="M152" s="1"/>
      <c r="R152" s="3"/>
    </row>
    <row r="153" spans="1:22" ht="15.75">
      <c r="A153" s="1"/>
      <c r="B153" s="300"/>
      <c r="C153" s="33"/>
      <c r="D153" s="303"/>
      <c r="E153" s="304"/>
      <c r="F153" s="304"/>
      <c r="G153" s="33"/>
      <c r="H153" s="1"/>
      <c r="M153" s="1"/>
      <c r="R153" s="3"/>
    </row>
    <row r="154" spans="1:22" ht="15.75">
      <c r="A154" s="1"/>
      <c r="B154" s="300"/>
      <c r="C154" s="33"/>
      <c r="D154" s="303"/>
      <c r="E154" s="304"/>
      <c r="F154" s="304"/>
      <c r="G154" s="33"/>
      <c r="H154" s="1"/>
      <c r="M154" s="1"/>
      <c r="R154" s="3"/>
    </row>
    <row r="155" spans="1:22" ht="15.75">
      <c r="A155" s="1"/>
      <c r="B155" s="300"/>
      <c r="C155" s="33"/>
      <c r="D155" s="303"/>
      <c r="E155" s="304"/>
      <c r="F155" s="304"/>
      <c r="G155" s="33"/>
      <c r="H155" s="1"/>
      <c r="M155" s="1"/>
      <c r="R155" s="3"/>
    </row>
    <row r="156" spans="1:22" ht="15.75">
      <c r="A156" s="1"/>
      <c r="B156" s="300"/>
      <c r="C156" s="33"/>
      <c r="D156" s="303"/>
      <c r="E156" s="304"/>
      <c r="F156" s="304"/>
      <c r="G156" s="33"/>
      <c r="H156" s="1"/>
      <c r="M156" s="1"/>
      <c r="R156" s="3"/>
    </row>
    <row r="157" spans="1:22" ht="15.75">
      <c r="A157" s="1"/>
      <c r="B157" s="300"/>
      <c r="C157" s="33"/>
      <c r="D157" s="303"/>
      <c r="E157" s="304"/>
      <c r="F157" s="304"/>
      <c r="G157" s="33"/>
      <c r="H157" s="1"/>
      <c r="M157" s="1"/>
      <c r="R157" s="3"/>
    </row>
    <row r="158" spans="1:22" ht="15.75">
      <c r="A158" s="1"/>
      <c r="B158" s="300"/>
      <c r="C158" s="33"/>
      <c r="D158" s="303"/>
      <c r="E158" s="304"/>
      <c r="F158" s="304"/>
      <c r="G158" s="33"/>
      <c r="H158" s="1"/>
      <c r="M158" s="1"/>
      <c r="R158" s="3"/>
    </row>
    <row r="159" spans="1:22" ht="16.5" thickBot="1">
      <c r="A159" s="1"/>
      <c r="B159" s="301"/>
      <c r="C159" s="34"/>
      <c r="D159" s="301"/>
      <c r="E159" s="305"/>
      <c r="F159" s="305"/>
      <c r="G159" s="34"/>
      <c r="H159" s="1"/>
      <c r="M159" s="1"/>
      <c r="R159" s="3"/>
    </row>
    <row r="160" spans="1:22" ht="16.5" thickBot="1">
      <c r="A160" s="1"/>
      <c r="B160" s="301">
        <f>SUM(B146:B159)</f>
        <v>50</v>
      </c>
      <c r="C160" s="34" t="s">
        <v>66</v>
      </c>
      <c r="D160" s="301">
        <f>SUM(D146:D159)</f>
        <v>0</v>
      </c>
      <c r="E160" s="301">
        <f>SUM(E146:E159)</f>
        <v>0</v>
      </c>
      <c r="F160" s="30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98" t="s">
        <v>32</v>
      </c>
      <c r="C165" s="60" t="s">
        <v>33</v>
      </c>
      <c r="D165" s="298" t="s">
        <v>68</v>
      </c>
      <c r="E165" s="302" t="s">
        <v>69</v>
      </c>
      <c r="F165" s="30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99">
        <v>200</v>
      </c>
      <c r="C166" s="36" t="s">
        <v>36</v>
      </c>
      <c r="D166" s="303"/>
      <c r="E166" s="304"/>
      <c r="F166" s="30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300"/>
      <c r="C167" s="33"/>
      <c r="D167" s="303"/>
      <c r="E167" s="304"/>
      <c r="F167" s="30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300"/>
      <c r="C168" s="33"/>
      <c r="D168" s="303"/>
      <c r="E168" s="304"/>
      <c r="F168" s="30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300"/>
      <c r="C169" s="33"/>
      <c r="D169" s="303"/>
      <c r="E169" s="304"/>
      <c r="F169" s="30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300"/>
      <c r="C170" s="33"/>
      <c r="D170" s="303"/>
      <c r="E170" s="304"/>
      <c r="F170" s="30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300"/>
      <c r="C171" s="33"/>
      <c r="D171" s="303"/>
      <c r="E171" s="304"/>
      <c r="F171" s="30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300"/>
      <c r="C172" s="33"/>
      <c r="D172" s="303"/>
      <c r="E172" s="304"/>
      <c r="F172" s="30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300"/>
      <c r="C173" s="33"/>
      <c r="D173" s="303"/>
      <c r="E173" s="304"/>
      <c r="F173" s="30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300"/>
      <c r="C174" s="33"/>
      <c r="D174" s="303"/>
      <c r="E174" s="304"/>
      <c r="F174" s="30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300"/>
      <c r="C175" s="33"/>
      <c r="D175" s="303"/>
      <c r="E175" s="304"/>
      <c r="F175" s="30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300"/>
      <c r="C176" s="33"/>
      <c r="D176" s="303"/>
      <c r="E176" s="304"/>
      <c r="F176" s="30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300"/>
      <c r="C177" s="33"/>
      <c r="D177" s="303"/>
      <c r="E177" s="304"/>
      <c r="F177" s="30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300"/>
      <c r="C178" s="33"/>
      <c r="D178" s="303"/>
      <c r="E178" s="304"/>
      <c r="F178" s="30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301"/>
      <c r="C179" s="34"/>
      <c r="D179" s="301"/>
      <c r="E179" s="305"/>
      <c r="F179" s="30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301">
        <f>SUM(B166:B179)</f>
        <v>200</v>
      </c>
      <c r="C180" s="34" t="s">
        <v>66</v>
      </c>
      <c r="D180" s="301">
        <f>SUM(D166:D179)</f>
        <v>0</v>
      </c>
      <c r="E180" s="301">
        <f>SUM(E166:E179)</f>
        <v>0</v>
      </c>
      <c r="F180" s="30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98" t="s">
        <v>32</v>
      </c>
      <c r="C185" s="60" t="s">
        <v>33</v>
      </c>
      <c r="D185" s="298" t="s">
        <v>68</v>
      </c>
      <c r="E185" s="302" t="s">
        <v>69</v>
      </c>
      <c r="F185" s="30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99">
        <v>70</v>
      </c>
      <c r="C186" s="36" t="s">
        <v>508</v>
      </c>
      <c r="D186" s="303"/>
      <c r="E186" s="304"/>
      <c r="F186" s="30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300"/>
      <c r="C187" s="33"/>
      <c r="D187" s="303"/>
      <c r="E187" s="304"/>
      <c r="F187" s="30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300"/>
      <c r="C188" s="33"/>
      <c r="D188" s="303"/>
      <c r="E188" s="304"/>
      <c r="F188" s="304"/>
      <c r="G188" s="33"/>
    </row>
    <row r="189" spans="1:22">
      <c r="B189" s="300"/>
      <c r="C189" s="33"/>
      <c r="D189" s="303"/>
      <c r="E189" s="304"/>
      <c r="F189" s="304"/>
      <c r="G189" s="33"/>
    </row>
    <row r="190" spans="1:22">
      <c r="B190" s="300"/>
      <c r="C190" s="33"/>
      <c r="D190" s="303"/>
      <c r="E190" s="304"/>
      <c r="F190" s="304"/>
      <c r="G190" s="33"/>
    </row>
    <row r="191" spans="1:22">
      <c r="B191" s="300"/>
      <c r="C191" s="33"/>
      <c r="D191" s="303"/>
      <c r="E191" s="304"/>
      <c r="F191" s="304"/>
      <c r="G191" s="33"/>
    </row>
    <row r="192" spans="1:22">
      <c r="B192" s="300"/>
      <c r="C192" s="33"/>
      <c r="D192" s="303"/>
      <c r="E192" s="304"/>
      <c r="F192" s="304"/>
      <c r="G192" s="33"/>
    </row>
    <row r="193" spans="2:7">
      <c r="B193" s="300"/>
      <c r="C193" s="33"/>
      <c r="D193" s="303"/>
      <c r="E193" s="304"/>
      <c r="F193" s="304"/>
      <c r="G193" s="33"/>
    </row>
    <row r="194" spans="2:7">
      <c r="B194" s="300"/>
      <c r="C194" s="33"/>
      <c r="D194" s="303"/>
      <c r="E194" s="304"/>
      <c r="F194" s="304"/>
      <c r="G194" s="33"/>
    </row>
    <row r="195" spans="2:7">
      <c r="B195" s="300"/>
      <c r="C195" s="33"/>
      <c r="D195" s="303"/>
      <c r="E195" s="304"/>
      <c r="F195" s="304"/>
      <c r="G195" s="33"/>
    </row>
    <row r="196" spans="2:7">
      <c r="B196" s="300"/>
      <c r="C196" s="33"/>
      <c r="D196" s="303"/>
      <c r="E196" s="304"/>
      <c r="F196" s="304"/>
      <c r="G196" s="33"/>
    </row>
    <row r="197" spans="2:7">
      <c r="B197" s="300"/>
      <c r="C197" s="33"/>
      <c r="D197" s="303"/>
      <c r="E197" s="304"/>
      <c r="F197" s="304"/>
      <c r="G197" s="33"/>
    </row>
    <row r="198" spans="2:7">
      <c r="B198" s="300"/>
      <c r="C198" s="33"/>
      <c r="D198" s="303"/>
      <c r="E198" s="304"/>
      <c r="F198" s="304"/>
      <c r="G198" s="33"/>
    </row>
    <row r="199" spans="2:7" ht="15.75" thickBot="1">
      <c r="B199" s="301"/>
      <c r="C199" s="34"/>
      <c r="D199" s="301"/>
      <c r="E199" s="305"/>
      <c r="F199" s="305"/>
      <c r="G199" s="34"/>
    </row>
    <row r="200" spans="2:7" ht="15.75" thickBot="1">
      <c r="B200" s="301">
        <f>SUM(B186:B199)</f>
        <v>70</v>
      </c>
      <c r="C200" s="34" t="s">
        <v>66</v>
      </c>
      <c r="D200" s="301">
        <f>SUM(D186:D199)</f>
        <v>0</v>
      </c>
      <c r="E200" s="301">
        <f>SUM(E186:E199)</f>
        <v>0</v>
      </c>
      <c r="F200" s="30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298" t="s">
        <v>32</v>
      </c>
      <c r="C205" s="60" t="s">
        <v>33</v>
      </c>
      <c r="D205" s="298" t="s">
        <v>68</v>
      </c>
      <c r="E205" s="302" t="s">
        <v>69</v>
      </c>
      <c r="F205" s="302" t="s">
        <v>32</v>
      </c>
      <c r="G205" s="60" t="s">
        <v>393</v>
      </c>
    </row>
    <row r="206" spans="2:7">
      <c r="B206" s="299">
        <v>35</v>
      </c>
      <c r="C206" s="36"/>
      <c r="D206" s="303"/>
      <c r="E206" s="304"/>
      <c r="F206" s="304"/>
      <c r="G206" s="33"/>
    </row>
    <row r="207" spans="2:7">
      <c r="B207" s="300"/>
      <c r="C207" s="33"/>
      <c r="D207" s="303"/>
      <c r="E207" s="304"/>
      <c r="F207" s="304"/>
      <c r="G207" s="33"/>
    </row>
    <row r="208" spans="2:7">
      <c r="B208" s="300"/>
      <c r="C208" s="33"/>
      <c r="D208" s="303"/>
      <c r="E208" s="304"/>
      <c r="F208" s="304"/>
      <c r="G208" s="33"/>
    </row>
    <row r="209" spans="2:7">
      <c r="B209" s="300"/>
      <c r="C209" s="33"/>
      <c r="D209" s="303"/>
      <c r="E209" s="304"/>
      <c r="F209" s="304"/>
      <c r="G209" s="33"/>
    </row>
    <row r="210" spans="2:7">
      <c r="B210" s="300"/>
      <c r="C210" s="33"/>
      <c r="D210" s="303"/>
      <c r="E210" s="304"/>
      <c r="F210" s="304"/>
      <c r="G210" s="33"/>
    </row>
    <row r="211" spans="2:7">
      <c r="B211" s="300"/>
      <c r="C211" s="33"/>
      <c r="D211" s="303"/>
      <c r="E211" s="304"/>
      <c r="F211" s="304"/>
      <c r="G211" s="33"/>
    </row>
    <row r="212" spans="2:7">
      <c r="B212" s="300"/>
      <c r="C212" s="33"/>
      <c r="D212" s="303"/>
      <c r="E212" s="304"/>
      <c r="F212" s="304"/>
      <c r="G212" s="33"/>
    </row>
    <row r="213" spans="2:7">
      <c r="B213" s="300"/>
      <c r="C213" s="33"/>
      <c r="D213" s="303"/>
      <c r="E213" s="304"/>
      <c r="F213" s="304"/>
      <c r="G213" s="33"/>
    </row>
    <row r="214" spans="2:7">
      <c r="B214" s="300"/>
      <c r="C214" s="33"/>
      <c r="D214" s="303"/>
      <c r="E214" s="304"/>
      <c r="F214" s="304"/>
      <c r="G214" s="33"/>
    </row>
    <row r="215" spans="2:7">
      <c r="B215" s="300"/>
      <c r="C215" s="33"/>
      <c r="D215" s="303"/>
      <c r="E215" s="304"/>
      <c r="F215" s="304"/>
      <c r="G215" s="33"/>
    </row>
    <row r="216" spans="2:7">
      <c r="B216" s="300"/>
      <c r="C216" s="33"/>
      <c r="D216" s="303"/>
      <c r="E216" s="304"/>
      <c r="F216" s="304"/>
      <c r="G216" s="33"/>
    </row>
    <row r="217" spans="2:7">
      <c r="B217" s="300"/>
      <c r="C217" s="33"/>
      <c r="D217" s="303"/>
      <c r="E217" s="304"/>
      <c r="F217" s="304"/>
      <c r="G217" s="33"/>
    </row>
    <row r="218" spans="2:7">
      <c r="B218" s="300"/>
      <c r="C218" s="33"/>
      <c r="D218" s="303"/>
      <c r="E218" s="304"/>
      <c r="F218" s="304"/>
      <c r="G218" s="33"/>
    </row>
    <row r="219" spans="2:7" ht="15.75" thickBot="1">
      <c r="B219" s="301"/>
      <c r="C219" s="34"/>
      <c r="D219" s="301"/>
      <c r="E219" s="305"/>
      <c r="F219" s="305"/>
      <c r="G219" s="34"/>
    </row>
    <row r="220" spans="2:7" ht="15.75" thickBot="1">
      <c r="B220" s="301">
        <f>SUM(B206:B219)</f>
        <v>35</v>
      </c>
      <c r="C220" s="34" t="s">
        <v>66</v>
      </c>
      <c r="D220" s="301">
        <f>SUM(D206:D219)</f>
        <v>0</v>
      </c>
      <c r="E220" s="301">
        <f>SUM(E206:E219)</f>
        <v>0</v>
      </c>
      <c r="F220" s="30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298" t="s">
        <v>32</v>
      </c>
      <c r="C225" s="60" t="s">
        <v>33</v>
      </c>
      <c r="D225" s="298" t="s">
        <v>68</v>
      </c>
      <c r="E225" s="302" t="s">
        <v>69</v>
      </c>
      <c r="F225" s="302" t="s">
        <v>32</v>
      </c>
      <c r="G225" s="60" t="s">
        <v>33</v>
      </c>
    </row>
    <row r="226" spans="2:7">
      <c r="B226" s="299">
        <v>20</v>
      </c>
      <c r="C226" s="36" t="s">
        <v>50</v>
      </c>
      <c r="D226" s="303"/>
      <c r="E226" s="304"/>
      <c r="F226" s="304"/>
      <c r="G226" s="33" t="s">
        <v>50</v>
      </c>
    </row>
    <row r="227" spans="2:7">
      <c r="B227" s="300"/>
      <c r="C227" s="33" t="s">
        <v>46</v>
      </c>
      <c r="D227" s="303"/>
      <c r="E227" s="304"/>
      <c r="F227" s="304"/>
      <c r="G227" s="33"/>
    </row>
    <row r="228" spans="2:7">
      <c r="B228" s="300"/>
      <c r="C228" s="33"/>
      <c r="D228" s="303"/>
      <c r="E228" s="304"/>
      <c r="F228" s="304"/>
      <c r="G228" s="33"/>
    </row>
    <row r="229" spans="2:7">
      <c r="B229" s="300"/>
      <c r="C229" s="33"/>
      <c r="D229" s="303"/>
      <c r="E229" s="304"/>
      <c r="F229" s="304"/>
      <c r="G229" s="33"/>
    </row>
    <row r="230" spans="2:7">
      <c r="B230" s="300"/>
      <c r="C230" s="33"/>
      <c r="D230" s="303"/>
      <c r="E230" s="304"/>
      <c r="F230" s="304"/>
      <c r="G230" s="33"/>
    </row>
    <row r="231" spans="2:7">
      <c r="B231" s="300"/>
      <c r="C231" s="33"/>
      <c r="D231" s="303"/>
      <c r="E231" s="304"/>
      <c r="F231" s="304"/>
      <c r="G231" s="33"/>
    </row>
    <row r="232" spans="2:7">
      <c r="B232" s="300"/>
      <c r="C232" s="33"/>
      <c r="D232" s="303"/>
      <c r="E232" s="304"/>
      <c r="F232" s="304"/>
      <c r="G232" s="33"/>
    </row>
    <row r="233" spans="2:7">
      <c r="B233" s="300"/>
      <c r="C233" s="33"/>
      <c r="D233" s="303"/>
      <c r="E233" s="304"/>
      <c r="F233" s="304"/>
      <c r="G233" s="33"/>
    </row>
    <row r="234" spans="2:7">
      <c r="B234" s="300"/>
      <c r="C234" s="33"/>
      <c r="D234" s="303"/>
      <c r="E234" s="304"/>
      <c r="F234" s="304"/>
      <c r="G234" s="33"/>
    </row>
    <row r="235" spans="2:7">
      <c r="B235" s="300"/>
      <c r="C235" s="33"/>
      <c r="D235" s="303"/>
      <c r="E235" s="304"/>
      <c r="F235" s="304"/>
      <c r="G235" s="33"/>
    </row>
    <row r="236" spans="2:7">
      <c r="B236" s="300"/>
      <c r="C236" s="33"/>
      <c r="D236" s="303"/>
      <c r="E236" s="304"/>
      <c r="F236" s="304"/>
      <c r="G236" s="33"/>
    </row>
    <row r="237" spans="2:7">
      <c r="B237" s="300"/>
      <c r="C237" s="33"/>
      <c r="D237" s="303"/>
      <c r="E237" s="304"/>
      <c r="F237" s="304"/>
      <c r="G237" s="33"/>
    </row>
    <row r="238" spans="2:7">
      <c r="B238" s="300"/>
      <c r="C238" s="33"/>
      <c r="D238" s="303"/>
      <c r="E238" s="304"/>
      <c r="F238" s="304"/>
      <c r="G238" s="33"/>
    </row>
    <row r="239" spans="2:7" ht="15.75" thickBot="1">
      <c r="B239" s="301"/>
      <c r="C239" s="34"/>
      <c r="D239" s="301"/>
      <c r="E239" s="305"/>
      <c r="F239" s="305"/>
      <c r="G239" s="34"/>
    </row>
    <row r="240" spans="2:7" ht="15.75" thickBot="1">
      <c r="B240" s="301">
        <f>SUM(B226:B239)</f>
        <v>20</v>
      </c>
      <c r="C240" s="34" t="s">
        <v>66</v>
      </c>
      <c r="D240" s="301">
        <f>SUM(D226:D239)</f>
        <v>0</v>
      </c>
      <c r="E240" s="301">
        <f>SUM(E226:E239)</f>
        <v>0</v>
      </c>
      <c r="F240" s="30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298" t="s">
        <v>32</v>
      </c>
      <c r="C245" s="60" t="s">
        <v>33</v>
      </c>
      <c r="D245" s="298" t="s">
        <v>68</v>
      </c>
      <c r="E245" s="302" t="s">
        <v>69</v>
      </c>
      <c r="F245" s="302" t="s">
        <v>32</v>
      </c>
      <c r="G245" s="60" t="s">
        <v>393</v>
      </c>
    </row>
    <row r="246" spans="2:7" ht="15" customHeight="1">
      <c r="B246" s="300">
        <v>50</v>
      </c>
      <c r="C246" s="66"/>
      <c r="D246" s="303"/>
      <c r="E246" s="304"/>
      <c r="F246" s="304"/>
      <c r="G246" s="33"/>
    </row>
    <row r="247" spans="2:7" ht="15" customHeight="1">
      <c r="B247" s="300"/>
      <c r="C247" s="33"/>
      <c r="D247" s="303"/>
      <c r="E247" s="304"/>
      <c r="F247" s="304"/>
      <c r="G247" s="33"/>
    </row>
    <row r="248" spans="2:7">
      <c r="B248" s="300"/>
      <c r="C248" s="33"/>
      <c r="D248" s="303"/>
      <c r="E248" s="304"/>
      <c r="F248" s="304"/>
      <c r="G248" s="33"/>
    </row>
    <row r="249" spans="2:7">
      <c r="B249" s="300"/>
      <c r="C249" s="33"/>
      <c r="D249" s="303"/>
      <c r="E249" s="304"/>
      <c r="F249" s="304"/>
      <c r="G249" s="33"/>
    </row>
    <row r="250" spans="2:7">
      <c r="B250" s="300"/>
      <c r="C250" s="33"/>
      <c r="D250" s="303"/>
      <c r="E250" s="304"/>
      <c r="F250" s="304"/>
      <c r="G250" s="33"/>
    </row>
    <row r="251" spans="2:7">
      <c r="B251" s="300"/>
      <c r="C251" s="33"/>
      <c r="D251" s="303"/>
      <c r="E251" s="304"/>
      <c r="F251" s="304"/>
      <c r="G251" s="33"/>
    </row>
    <row r="252" spans="2:7">
      <c r="B252" s="300"/>
      <c r="C252" s="33"/>
      <c r="D252" s="303"/>
      <c r="E252" s="304"/>
      <c r="F252" s="304"/>
      <c r="G252" s="33"/>
    </row>
    <row r="253" spans="2:7">
      <c r="B253" s="300"/>
      <c r="C253" s="33"/>
      <c r="D253" s="303"/>
      <c r="E253" s="304"/>
      <c r="F253" s="304"/>
      <c r="G253" s="33"/>
    </row>
    <row r="254" spans="2:7">
      <c r="B254" s="300"/>
      <c r="C254" s="33"/>
      <c r="D254" s="303"/>
      <c r="E254" s="304"/>
      <c r="F254" s="304"/>
      <c r="G254" s="33"/>
    </row>
    <row r="255" spans="2:7">
      <c r="B255" s="300"/>
      <c r="C255" s="33"/>
      <c r="D255" s="303"/>
      <c r="E255" s="304"/>
      <c r="F255" s="304"/>
      <c r="G255" s="33"/>
    </row>
    <row r="256" spans="2:7">
      <c r="B256" s="300"/>
      <c r="C256" s="33"/>
      <c r="D256" s="303"/>
      <c r="E256" s="304"/>
      <c r="F256" s="304"/>
      <c r="G256" s="33"/>
    </row>
    <row r="257" spans="2:7">
      <c r="B257" s="300"/>
      <c r="C257" s="33"/>
      <c r="D257" s="303"/>
      <c r="E257" s="304"/>
      <c r="F257" s="304"/>
      <c r="G257" s="33"/>
    </row>
    <row r="258" spans="2:7">
      <c r="B258" s="300"/>
      <c r="C258" s="33"/>
      <c r="D258" s="303"/>
      <c r="E258" s="304"/>
      <c r="F258" s="304"/>
      <c r="G258" s="33"/>
    </row>
    <row r="259" spans="2:7" ht="15.75" thickBot="1">
      <c r="B259" s="301"/>
      <c r="C259" s="34"/>
      <c r="D259" s="301"/>
      <c r="E259" s="305"/>
      <c r="F259" s="305"/>
      <c r="G259" s="34"/>
    </row>
    <row r="260" spans="2:7" ht="15.75" thickBot="1">
      <c r="B260" s="301">
        <f>SUM(B246:B259)</f>
        <v>50</v>
      </c>
      <c r="C260" s="34" t="s">
        <v>66</v>
      </c>
      <c r="D260" s="301">
        <f>SUM(D246:D259)</f>
        <v>0</v>
      </c>
      <c r="E260" s="301">
        <f>SUM(E246:E259)</f>
        <v>0</v>
      </c>
      <c r="F260" s="30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298" t="s">
        <v>32</v>
      </c>
      <c r="C265" s="60" t="s">
        <v>33</v>
      </c>
      <c r="D265" s="298" t="s">
        <v>68</v>
      </c>
      <c r="E265" s="302" t="s">
        <v>69</v>
      </c>
      <c r="F265" s="302" t="s">
        <v>32</v>
      </c>
      <c r="G265" s="60" t="s">
        <v>33</v>
      </c>
    </row>
    <row r="266" spans="2:7">
      <c r="B266" s="299">
        <v>50</v>
      </c>
      <c r="C266" s="36"/>
      <c r="D266" s="303"/>
      <c r="E266" s="304"/>
      <c r="F266" s="304"/>
      <c r="G266" s="33"/>
    </row>
    <row r="267" spans="2:7">
      <c r="B267" s="300"/>
      <c r="C267" s="33"/>
      <c r="D267" s="303"/>
      <c r="E267" s="304"/>
      <c r="F267" s="304"/>
      <c r="G267" s="33"/>
    </row>
    <row r="268" spans="2:7">
      <c r="B268" s="300"/>
      <c r="C268" s="33"/>
      <c r="D268" s="303"/>
      <c r="E268" s="304"/>
      <c r="F268" s="304"/>
      <c r="G268" s="33"/>
    </row>
    <row r="269" spans="2:7">
      <c r="B269" s="300"/>
      <c r="C269" s="33"/>
      <c r="D269" s="303"/>
      <c r="E269" s="304"/>
      <c r="F269" s="304"/>
      <c r="G269" s="33"/>
    </row>
    <row r="270" spans="2:7">
      <c r="B270" s="300"/>
      <c r="C270" s="33"/>
      <c r="D270" s="303"/>
      <c r="E270" s="304"/>
      <c r="F270" s="304"/>
      <c r="G270" s="33"/>
    </row>
    <row r="271" spans="2:7">
      <c r="B271" s="300"/>
      <c r="C271" s="33"/>
      <c r="D271" s="303"/>
      <c r="E271" s="304"/>
      <c r="F271" s="304"/>
      <c r="G271" s="33"/>
    </row>
    <row r="272" spans="2:7">
      <c r="B272" s="300"/>
      <c r="C272" s="33"/>
      <c r="D272" s="303"/>
      <c r="E272" s="304"/>
      <c r="F272" s="304"/>
      <c r="G272" s="33"/>
    </row>
    <row r="273" spans="2:7">
      <c r="B273" s="300"/>
      <c r="C273" s="33"/>
      <c r="D273" s="303"/>
      <c r="E273" s="304"/>
      <c r="F273" s="304"/>
      <c r="G273" s="33"/>
    </row>
    <row r="274" spans="2:7">
      <c r="B274" s="300"/>
      <c r="C274" s="33"/>
      <c r="D274" s="303"/>
      <c r="E274" s="304"/>
      <c r="F274" s="304"/>
      <c r="G274" s="33"/>
    </row>
    <row r="275" spans="2:7">
      <c r="B275" s="300"/>
      <c r="C275" s="33"/>
      <c r="D275" s="303"/>
      <c r="E275" s="304"/>
      <c r="F275" s="304"/>
      <c r="G275" s="33"/>
    </row>
    <row r="276" spans="2:7">
      <c r="B276" s="300"/>
      <c r="C276" s="33"/>
      <c r="D276" s="303"/>
      <c r="E276" s="304"/>
      <c r="F276" s="304"/>
      <c r="G276" s="33"/>
    </row>
    <row r="277" spans="2:7">
      <c r="B277" s="300"/>
      <c r="C277" s="33"/>
      <c r="D277" s="303"/>
      <c r="E277" s="304"/>
      <c r="F277" s="304"/>
      <c r="G277" s="33"/>
    </row>
    <row r="278" spans="2:7">
      <c r="B278" s="300"/>
      <c r="C278" s="33"/>
      <c r="D278" s="303"/>
      <c r="E278" s="304"/>
      <c r="F278" s="304"/>
      <c r="G278" s="33"/>
    </row>
    <row r="279" spans="2:7" ht="15.75" thickBot="1">
      <c r="B279" s="301"/>
      <c r="C279" s="34"/>
      <c r="D279" s="301"/>
      <c r="E279" s="305"/>
      <c r="F279" s="305"/>
      <c r="G279" s="34"/>
    </row>
    <row r="280" spans="2:7" ht="15.75" thickBot="1">
      <c r="B280" s="301">
        <f>SUM(B266:B279)</f>
        <v>50</v>
      </c>
      <c r="C280" s="34" t="s">
        <v>66</v>
      </c>
      <c r="D280" s="301">
        <f>SUM(D266:D279)</f>
        <v>0</v>
      </c>
      <c r="E280" s="301">
        <f>SUM(E266:E279)</f>
        <v>0</v>
      </c>
      <c r="F280" s="30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298" t="s">
        <v>32</v>
      </c>
      <c r="C285" s="60" t="s">
        <v>33</v>
      </c>
      <c r="D285" s="298" t="s">
        <v>68</v>
      </c>
      <c r="E285" s="302" t="s">
        <v>69</v>
      </c>
      <c r="F285" s="302" t="s">
        <v>32</v>
      </c>
      <c r="G285" s="60" t="s">
        <v>393</v>
      </c>
    </row>
    <row r="286" spans="2:7">
      <c r="B286" s="299">
        <v>100</v>
      </c>
      <c r="C286" s="36" t="s">
        <v>36</v>
      </c>
      <c r="D286" s="303"/>
      <c r="E286" s="304"/>
      <c r="F286" s="304"/>
      <c r="G286" s="33"/>
    </row>
    <row r="287" spans="2:7">
      <c r="B287" s="300"/>
      <c r="C287" s="33"/>
      <c r="D287" s="303"/>
      <c r="E287" s="304"/>
      <c r="F287" s="304"/>
      <c r="G287" s="33"/>
    </row>
    <row r="288" spans="2:7">
      <c r="B288" s="300"/>
      <c r="C288" s="33"/>
      <c r="D288" s="303"/>
      <c r="E288" s="304"/>
      <c r="F288" s="304"/>
      <c r="G288" s="33"/>
    </row>
    <row r="289" spans="2:7">
      <c r="B289" s="300"/>
      <c r="C289" s="33"/>
      <c r="D289" s="303"/>
      <c r="E289" s="304"/>
      <c r="F289" s="304"/>
      <c r="G289" s="33"/>
    </row>
    <row r="290" spans="2:7">
      <c r="B290" s="300"/>
      <c r="C290" s="33"/>
      <c r="D290" s="303"/>
      <c r="E290" s="304"/>
      <c r="F290" s="304"/>
      <c r="G290" s="33"/>
    </row>
    <row r="291" spans="2:7">
      <c r="B291" s="300"/>
      <c r="C291" s="33"/>
      <c r="D291" s="303"/>
      <c r="E291" s="304"/>
      <c r="F291" s="304"/>
      <c r="G291" s="33"/>
    </row>
    <row r="292" spans="2:7">
      <c r="B292" s="300"/>
      <c r="C292" s="33"/>
      <c r="D292" s="303"/>
      <c r="E292" s="304"/>
      <c r="F292" s="304"/>
      <c r="G292" s="33"/>
    </row>
    <row r="293" spans="2:7">
      <c r="B293" s="300"/>
      <c r="C293" s="33"/>
      <c r="D293" s="303"/>
      <c r="E293" s="304"/>
      <c r="F293" s="304"/>
      <c r="G293" s="33"/>
    </row>
    <row r="294" spans="2:7">
      <c r="B294" s="300"/>
      <c r="C294" s="33"/>
      <c r="D294" s="303"/>
      <c r="E294" s="304"/>
      <c r="F294" s="304"/>
      <c r="G294" s="33"/>
    </row>
    <row r="295" spans="2:7">
      <c r="B295" s="300"/>
      <c r="C295" s="33"/>
      <c r="D295" s="303"/>
      <c r="E295" s="304"/>
      <c r="F295" s="304"/>
      <c r="G295" s="33"/>
    </row>
    <row r="296" spans="2:7">
      <c r="B296" s="300"/>
      <c r="C296" s="33"/>
      <c r="D296" s="303"/>
      <c r="E296" s="304"/>
      <c r="F296" s="304"/>
      <c r="G296" s="33"/>
    </row>
    <row r="297" spans="2:7">
      <c r="B297" s="300"/>
      <c r="C297" s="33"/>
      <c r="D297" s="303"/>
      <c r="E297" s="304"/>
      <c r="F297" s="304"/>
      <c r="G297" s="33"/>
    </row>
    <row r="298" spans="2:7">
      <c r="B298" s="300"/>
      <c r="C298" s="33"/>
      <c r="D298" s="303"/>
      <c r="E298" s="304"/>
      <c r="F298" s="304"/>
      <c r="G298" s="33"/>
    </row>
    <row r="299" spans="2:7" ht="15.75" thickBot="1">
      <c r="B299" s="301"/>
      <c r="C299" s="34"/>
      <c r="D299" s="301"/>
      <c r="E299" s="305"/>
      <c r="F299" s="305"/>
      <c r="G299" s="34"/>
    </row>
    <row r="300" spans="2:7" ht="15.75" thickBot="1">
      <c r="B300" s="301">
        <f>SUM(B286:B299)</f>
        <v>100</v>
      </c>
      <c r="C300" s="34" t="s">
        <v>66</v>
      </c>
      <c r="D300" s="301">
        <f>SUM(D286:D299)</f>
        <v>0</v>
      </c>
      <c r="E300" s="301">
        <f>SUM(E286:E299)</f>
        <v>0</v>
      </c>
      <c r="F300" s="30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298" t="s">
        <v>32</v>
      </c>
      <c r="C305" s="60" t="s">
        <v>33</v>
      </c>
      <c r="D305" s="298" t="s">
        <v>68</v>
      </c>
      <c r="E305" s="302" t="s">
        <v>69</v>
      </c>
      <c r="F305" s="302" t="s">
        <v>32</v>
      </c>
      <c r="G305" s="60" t="s">
        <v>393</v>
      </c>
    </row>
    <row r="306" spans="2:7">
      <c r="B306" s="299">
        <v>100</v>
      </c>
      <c r="C306" s="36" t="s">
        <v>474</v>
      </c>
      <c r="D306" s="303"/>
      <c r="E306" s="304"/>
      <c r="F306" s="304"/>
      <c r="G306" s="33"/>
    </row>
    <row r="307" spans="2:7">
      <c r="B307" s="300">
        <v>15</v>
      </c>
      <c r="C307" s="66"/>
      <c r="D307" s="303"/>
      <c r="E307" s="304"/>
      <c r="F307" s="304"/>
      <c r="G307" s="33"/>
    </row>
    <row r="308" spans="2:7">
      <c r="B308" s="300"/>
      <c r="C308" s="66"/>
      <c r="D308" s="303"/>
      <c r="E308" s="304"/>
      <c r="F308" s="304"/>
      <c r="G308" s="33"/>
    </row>
    <row r="309" spans="2:7">
      <c r="B309" s="300"/>
      <c r="C309" s="33"/>
      <c r="D309" s="303"/>
      <c r="E309" s="304"/>
      <c r="F309" s="304"/>
      <c r="G309" s="33"/>
    </row>
    <row r="310" spans="2:7">
      <c r="B310" s="300"/>
      <c r="C310" s="33"/>
      <c r="D310" s="303"/>
      <c r="E310" s="304"/>
      <c r="F310" s="304"/>
      <c r="G310" s="33"/>
    </row>
    <row r="311" spans="2:7">
      <c r="B311" s="300"/>
      <c r="C311" s="33"/>
      <c r="D311" s="303"/>
      <c r="E311" s="304"/>
      <c r="F311" s="304"/>
      <c r="G311" s="33"/>
    </row>
    <row r="312" spans="2:7">
      <c r="B312" s="300"/>
      <c r="C312" s="33"/>
      <c r="D312" s="303"/>
      <c r="E312" s="304"/>
      <c r="F312" s="304"/>
      <c r="G312" s="33"/>
    </row>
    <row r="313" spans="2:7">
      <c r="B313" s="300"/>
      <c r="C313" s="33"/>
      <c r="D313" s="303"/>
      <c r="E313" s="304"/>
      <c r="F313" s="304"/>
      <c r="G313" s="33"/>
    </row>
    <row r="314" spans="2:7">
      <c r="B314" s="300"/>
      <c r="C314" s="33"/>
      <c r="D314" s="303"/>
      <c r="E314" s="304"/>
      <c r="F314" s="304"/>
      <c r="G314" s="33"/>
    </row>
    <row r="315" spans="2:7">
      <c r="B315" s="300"/>
      <c r="C315" s="33"/>
      <c r="D315" s="303"/>
      <c r="E315" s="304"/>
      <c r="F315" s="304"/>
      <c r="G315" s="33"/>
    </row>
    <row r="316" spans="2:7">
      <c r="B316" s="300"/>
      <c r="C316" s="33"/>
      <c r="D316" s="303"/>
      <c r="E316" s="304"/>
      <c r="F316" s="304"/>
      <c r="G316" s="33"/>
    </row>
    <row r="317" spans="2:7">
      <c r="B317" s="300"/>
      <c r="C317" s="33"/>
      <c r="D317" s="303"/>
      <c r="E317" s="304"/>
      <c r="F317" s="304"/>
      <c r="G317" s="33"/>
    </row>
    <row r="318" spans="2:7">
      <c r="B318" s="300"/>
      <c r="C318" s="33"/>
      <c r="D318" s="303"/>
      <c r="E318" s="304"/>
      <c r="F318" s="304"/>
      <c r="G318" s="33"/>
    </row>
    <row r="319" spans="2:7" ht="15.75" thickBot="1">
      <c r="B319" s="301"/>
      <c r="C319" s="34"/>
      <c r="D319" s="301"/>
      <c r="E319" s="305"/>
      <c r="F319" s="305"/>
      <c r="G319" s="34"/>
    </row>
    <row r="320" spans="2:7" ht="15.75" thickBot="1">
      <c r="B320" s="301">
        <f>SUM(B306:B319)</f>
        <v>115</v>
      </c>
      <c r="C320" s="34" t="s">
        <v>66</v>
      </c>
      <c r="D320" s="301">
        <f>SUM(D306:D319)</f>
        <v>0</v>
      </c>
      <c r="E320" s="301">
        <f>SUM(E306:E319)</f>
        <v>0</v>
      </c>
      <c r="F320" s="301">
        <f>SUM(F306:F319)</f>
        <v>0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298" t="s">
        <v>32</v>
      </c>
      <c r="C325" s="60" t="s">
        <v>33</v>
      </c>
      <c r="D325" s="298" t="s">
        <v>68</v>
      </c>
      <c r="E325" s="302" t="s">
        <v>69</v>
      </c>
      <c r="F325" s="302" t="s">
        <v>32</v>
      </c>
      <c r="G325" s="60" t="s">
        <v>393</v>
      </c>
    </row>
    <row r="326" spans="2:7">
      <c r="B326" s="299">
        <v>90</v>
      </c>
      <c r="C326" s="36"/>
      <c r="D326" s="303"/>
      <c r="E326" s="304"/>
      <c r="F326" s="304"/>
      <c r="G326" s="33"/>
    </row>
    <row r="327" spans="2:7">
      <c r="B327" s="300"/>
      <c r="C327" s="33"/>
      <c r="D327" s="303"/>
      <c r="E327" s="304"/>
      <c r="F327" s="304"/>
      <c r="G327" s="33"/>
    </row>
    <row r="328" spans="2:7">
      <c r="B328" s="300"/>
      <c r="C328" s="33"/>
      <c r="D328" s="303"/>
      <c r="E328" s="304"/>
      <c r="F328" s="304"/>
      <c r="G328" s="33"/>
    </row>
    <row r="329" spans="2:7">
      <c r="B329" s="300"/>
      <c r="C329" s="33"/>
      <c r="D329" s="303"/>
      <c r="E329" s="304"/>
      <c r="F329" s="304"/>
      <c r="G329" s="33"/>
    </row>
    <row r="330" spans="2:7">
      <c r="B330" s="300"/>
      <c r="C330" s="33"/>
      <c r="D330" s="303"/>
      <c r="E330" s="304"/>
      <c r="F330" s="304"/>
      <c r="G330" s="33"/>
    </row>
    <row r="331" spans="2:7">
      <c r="B331" s="300"/>
      <c r="C331" s="33"/>
      <c r="D331" s="303"/>
      <c r="E331" s="304"/>
      <c r="F331" s="304"/>
      <c r="G331" s="33"/>
    </row>
    <row r="332" spans="2:7">
      <c r="B332" s="300"/>
      <c r="C332" s="33"/>
      <c r="D332" s="303"/>
      <c r="E332" s="304"/>
      <c r="F332" s="304"/>
      <c r="G332" s="33"/>
    </row>
    <row r="333" spans="2:7">
      <c r="B333" s="300"/>
      <c r="C333" s="33"/>
      <c r="D333" s="303"/>
      <c r="E333" s="304"/>
      <c r="F333" s="304"/>
      <c r="G333" s="33"/>
    </row>
    <row r="334" spans="2:7">
      <c r="B334" s="300"/>
      <c r="C334" s="33"/>
      <c r="D334" s="303"/>
      <c r="E334" s="304"/>
      <c r="F334" s="304"/>
      <c r="G334" s="33"/>
    </row>
    <row r="335" spans="2:7">
      <c r="B335" s="300"/>
      <c r="C335" s="33"/>
      <c r="D335" s="303"/>
      <c r="E335" s="304"/>
      <c r="F335" s="304"/>
      <c r="G335" s="33"/>
    </row>
    <row r="336" spans="2:7">
      <c r="B336" s="300"/>
      <c r="C336" s="33"/>
      <c r="D336" s="303"/>
      <c r="E336" s="304"/>
      <c r="F336" s="304"/>
      <c r="G336" s="33"/>
    </row>
    <row r="337" spans="2:7">
      <c r="B337" s="300"/>
      <c r="C337" s="33"/>
      <c r="D337" s="303"/>
      <c r="E337" s="304"/>
      <c r="F337" s="304"/>
      <c r="G337" s="33"/>
    </row>
    <row r="338" spans="2:7">
      <c r="B338" s="300"/>
      <c r="C338" s="33"/>
      <c r="D338" s="303"/>
      <c r="E338" s="304"/>
      <c r="F338" s="304"/>
      <c r="G338" s="33"/>
    </row>
    <row r="339" spans="2:7" ht="15.75" thickBot="1">
      <c r="B339" s="301"/>
      <c r="C339" s="34"/>
      <c r="D339" s="301"/>
      <c r="E339" s="305"/>
      <c r="F339" s="305"/>
      <c r="G339" s="34"/>
    </row>
    <row r="340" spans="2:7" ht="15.75" thickBot="1">
      <c r="B340" s="301">
        <f>SUM(B326:B339)</f>
        <v>90</v>
      </c>
      <c r="C340" s="34" t="s">
        <v>66</v>
      </c>
      <c r="D340" s="301">
        <f>SUM(D326:D339)</f>
        <v>0</v>
      </c>
      <c r="E340" s="301">
        <f>SUM(E326:E339)</f>
        <v>0</v>
      </c>
      <c r="F340" s="30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298" t="s">
        <v>32</v>
      </c>
      <c r="C345" s="60" t="s">
        <v>33</v>
      </c>
      <c r="D345" s="298" t="s">
        <v>68</v>
      </c>
      <c r="E345" s="302" t="s">
        <v>69</v>
      </c>
      <c r="F345" s="302" t="s">
        <v>32</v>
      </c>
      <c r="G345" s="60" t="s">
        <v>393</v>
      </c>
    </row>
    <row r="346" spans="2:7">
      <c r="B346" s="299">
        <v>30</v>
      </c>
      <c r="C346" s="36" t="s">
        <v>119</v>
      </c>
      <c r="D346" s="303"/>
      <c r="E346" s="304"/>
      <c r="F346" s="304"/>
      <c r="G346" s="33"/>
    </row>
    <row r="347" spans="2:7">
      <c r="B347" s="300">
        <v>10</v>
      </c>
      <c r="C347" s="33" t="s">
        <v>589</v>
      </c>
      <c r="D347" s="303"/>
      <c r="E347" s="304"/>
      <c r="F347" s="304"/>
      <c r="G347" s="33"/>
    </row>
    <row r="348" spans="2:7">
      <c r="B348" s="300"/>
      <c r="C348" s="33"/>
      <c r="D348" s="303"/>
      <c r="E348" s="304"/>
      <c r="F348" s="304"/>
      <c r="G348" s="33"/>
    </row>
    <row r="349" spans="2:7">
      <c r="B349" s="300"/>
      <c r="C349" s="33"/>
      <c r="D349" s="303"/>
      <c r="E349" s="304"/>
      <c r="F349" s="304"/>
      <c r="G349" s="33"/>
    </row>
    <row r="350" spans="2:7">
      <c r="B350" s="300"/>
      <c r="C350" s="33"/>
      <c r="D350" s="303"/>
      <c r="E350" s="304"/>
      <c r="F350" s="304"/>
      <c r="G350" s="33"/>
    </row>
    <row r="351" spans="2:7">
      <c r="B351" s="300"/>
      <c r="C351" s="33"/>
      <c r="D351" s="303"/>
      <c r="E351" s="304"/>
      <c r="F351" s="304"/>
      <c r="G351" s="33"/>
    </row>
    <row r="352" spans="2:7">
      <c r="B352" s="300"/>
      <c r="C352" s="33"/>
      <c r="D352" s="303"/>
      <c r="E352" s="304"/>
      <c r="F352" s="304"/>
      <c r="G352" s="33"/>
    </row>
    <row r="353" spans="2:7">
      <c r="B353" s="300"/>
      <c r="C353" s="33"/>
      <c r="D353" s="303"/>
      <c r="E353" s="304"/>
      <c r="F353" s="304"/>
      <c r="G353" s="33"/>
    </row>
    <row r="354" spans="2:7">
      <c r="B354" s="300"/>
      <c r="C354" s="33"/>
      <c r="D354" s="303"/>
      <c r="E354" s="304"/>
      <c r="F354" s="304"/>
      <c r="G354" s="33"/>
    </row>
    <row r="355" spans="2:7">
      <c r="B355" s="300"/>
      <c r="C355" s="33"/>
      <c r="D355" s="303"/>
      <c r="E355" s="304"/>
      <c r="F355" s="304"/>
      <c r="G355" s="33"/>
    </row>
    <row r="356" spans="2:7">
      <c r="B356" s="300"/>
      <c r="C356" s="33"/>
      <c r="D356" s="303"/>
      <c r="E356" s="304"/>
      <c r="F356" s="304"/>
      <c r="G356" s="33"/>
    </row>
    <row r="357" spans="2:7">
      <c r="B357" s="300"/>
      <c r="C357" s="33"/>
      <c r="D357" s="303"/>
      <c r="E357" s="304"/>
      <c r="F357" s="304"/>
      <c r="G357" s="33"/>
    </row>
    <row r="358" spans="2:7">
      <c r="B358" s="300"/>
      <c r="C358" s="33"/>
      <c r="D358" s="303"/>
      <c r="E358" s="304"/>
      <c r="F358" s="304"/>
      <c r="G358" s="33"/>
    </row>
    <row r="359" spans="2:7" ht="15.75" thickBot="1">
      <c r="B359" s="301"/>
      <c r="C359" s="34"/>
      <c r="D359" s="301"/>
      <c r="E359" s="305"/>
      <c r="F359" s="305"/>
      <c r="G359" s="34"/>
    </row>
    <row r="360" spans="2:7" ht="15.75" thickBot="1">
      <c r="B360" s="301">
        <f>SUM(B346:B359)</f>
        <v>40</v>
      </c>
      <c r="C360" s="34" t="s">
        <v>66</v>
      </c>
      <c r="D360" s="301">
        <f>SUM(D346:D359)</f>
        <v>0</v>
      </c>
      <c r="E360" s="301">
        <f>SUM(E346:E359)</f>
        <v>0</v>
      </c>
      <c r="F360" s="30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298" t="s">
        <v>32</v>
      </c>
      <c r="C365" s="60" t="s">
        <v>33</v>
      </c>
      <c r="D365" s="298" t="s">
        <v>68</v>
      </c>
      <c r="E365" s="302" t="s">
        <v>69</v>
      </c>
      <c r="F365" s="302" t="s">
        <v>32</v>
      </c>
      <c r="G365" s="60" t="s">
        <v>393</v>
      </c>
    </row>
    <row r="366" spans="2:7">
      <c r="B366" s="299">
        <v>70</v>
      </c>
      <c r="C366" s="36" t="s">
        <v>36</v>
      </c>
      <c r="D366" s="303"/>
      <c r="E366" s="304"/>
      <c r="F366" s="304"/>
      <c r="G366" s="70" t="s">
        <v>91</v>
      </c>
    </row>
    <row r="367" spans="2:7">
      <c r="B367" s="300"/>
      <c r="C367" s="33"/>
      <c r="D367" s="303"/>
      <c r="E367" s="304"/>
      <c r="F367" s="304"/>
      <c r="G367" s="70"/>
    </row>
    <row r="368" spans="2:7">
      <c r="B368" s="300"/>
      <c r="C368" s="33"/>
      <c r="D368" s="303"/>
      <c r="E368" s="304"/>
      <c r="F368" s="304"/>
      <c r="G368" s="33"/>
    </row>
    <row r="369" spans="2:7">
      <c r="B369" s="300"/>
      <c r="C369" s="33"/>
      <c r="D369" s="303"/>
      <c r="E369" s="304"/>
      <c r="F369" s="304"/>
      <c r="G369" s="33"/>
    </row>
    <row r="370" spans="2:7">
      <c r="B370" s="300"/>
      <c r="C370" s="33"/>
      <c r="D370" s="303"/>
      <c r="E370" s="304"/>
      <c r="F370" s="304"/>
      <c r="G370" s="33"/>
    </row>
    <row r="371" spans="2:7">
      <c r="B371" s="300"/>
      <c r="C371" s="33"/>
      <c r="D371" s="303"/>
      <c r="E371" s="304"/>
      <c r="F371" s="304"/>
      <c r="G371" s="33"/>
    </row>
    <row r="372" spans="2:7">
      <c r="B372" s="300"/>
      <c r="C372" s="33"/>
      <c r="D372" s="303"/>
      <c r="E372" s="304"/>
      <c r="F372" s="304"/>
      <c r="G372" s="33"/>
    </row>
    <row r="373" spans="2:7">
      <c r="B373" s="300"/>
      <c r="C373" s="33"/>
      <c r="D373" s="303"/>
      <c r="E373" s="304"/>
      <c r="F373" s="304"/>
      <c r="G373" s="33"/>
    </row>
    <row r="374" spans="2:7">
      <c r="B374" s="300"/>
      <c r="C374" s="33"/>
      <c r="D374" s="303"/>
      <c r="E374" s="304"/>
      <c r="F374" s="304"/>
      <c r="G374" s="33"/>
    </row>
    <row r="375" spans="2:7">
      <c r="B375" s="300"/>
      <c r="C375" s="33"/>
      <c r="D375" s="303"/>
      <c r="E375" s="304"/>
      <c r="F375" s="304"/>
      <c r="G375" s="33"/>
    </row>
    <row r="376" spans="2:7">
      <c r="B376" s="300"/>
      <c r="C376" s="33"/>
      <c r="D376" s="303"/>
      <c r="E376" s="304"/>
      <c r="F376" s="304"/>
      <c r="G376" s="33"/>
    </row>
    <row r="377" spans="2:7">
      <c r="B377" s="300"/>
      <c r="C377" s="33"/>
      <c r="D377" s="303"/>
      <c r="E377" s="304"/>
      <c r="F377" s="304"/>
      <c r="G377" s="33"/>
    </row>
    <row r="378" spans="2:7">
      <c r="B378" s="300"/>
      <c r="C378" s="33"/>
      <c r="D378" s="303"/>
      <c r="E378" s="304"/>
      <c r="F378" s="304"/>
      <c r="G378" s="33"/>
    </row>
    <row r="379" spans="2:7" ht="15.75" thickBot="1">
      <c r="B379" s="301"/>
      <c r="C379" s="34"/>
      <c r="D379" s="301"/>
      <c r="E379" s="305"/>
      <c r="F379" s="305"/>
      <c r="G379" s="34"/>
    </row>
    <row r="380" spans="2:7" ht="15.75" thickBot="1">
      <c r="B380" s="301">
        <f>SUM(B366:B379)</f>
        <v>70</v>
      </c>
      <c r="C380" s="34" t="s">
        <v>66</v>
      </c>
      <c r="D380" s="301">
        <f>SUM(D366:D379)</f>
        <v>0</v>
      </c>
      <c r="E380" s="301">
        <f>SUM(E366:E379)</f>
        <v>0</v>
      </c>
      <c r="F380" s="30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298" t="s">
        <v>32</v>
      </c>
      <c r="C385" s="60" t="s">
        <v>33</v>
      </c>
      <c r="D385" s="298" t="s">
        <v>68</v>
      </c>
      <c r="E385" s="302" t="s">
        <v>69</v>
      </c>
      <c r="F385" s="302" t="s">
        <v>32</v>
      </c>
      <c r="G385" s="60" t="s">
        <v>33</v>
      </c>
    </row>
    <row r="386" spans="2:7">
      <c r="B386" s="299">
        <v>20</v>
      </c>
      <c r="C386" s="36"/>
      <c r="D386" s="303"/>
      <c r="E386" s="304"/>
      <c r="F386" s="304"/>
      <c r="G386" s="33"/>
    </row>
    <row r="387" spans="2:7">
      <c r="B387" s="300"/>
      <c r="C387" s="33"/>
      <c r="D387" s="303"/>
      <c r="E387" s="304"/>
      <c r="F387" s="304"/>
      <c r="G387" s="33"/>
    </row>
    <row r="388" spans="2:7">
      <c r="B388" s="300"/>
      <c r="C388" s="33"/>
      <c r="D388" s="303"/>
      <c r="E388" s="304"/>
      <c r="F388" s="304"/>
      <c r="G388" s="33"/>
    </row>
    <row r="389" spans="2:7">
      <c r="B389" s="300"/>
      <c r="C389" s="33"/>
      <c r="D389" s="303"/>
      <c r="E389" s="304"/>
      <c r="F389" s="304"/>
      <c r="G389" s="33"/>
    </row>
    <row r="390" spans="2:7">
      <c r="B390" s="300"/>
      <c r="C390" s="33"/>
      <c r="D390" s="303"/>
      <c r="E390" s="304"/>
      <c r="F390" s="304"/>
      <c r="G390" s="33"/>
    </row>
    <row r="391" spans="2:7">
      <c r="B391" s="300"/>
      <c r="C391" s="33"/>
      <c r="D391" s="303"/>
      <c r="E391" s="304"/>
      <c r="F391" s="304"/>
      <c r="G391" s="33"/>
    </row>
    <row r="392" spans="2:7">
      <c r="B392" s="300"/>
      <c r="C392" s="33"/>
      <c r="D392" s="303"/>
      <c r="E392" s="304"/>
      <c r="F392" s="304"/>
      <c r="G392" s="33"/>
    </row>
    <row r="393" spans="2:7">
      <c r="B393" s="300"/>
      <c r="C393" s="33"/>
      <c r="D393" s="303"/>
      <c r="E393" s="304"/>
      <c r="F393" s="304"/>
      <c r="G393" s="33"/>
    </row>
    <row r="394" spans="2:7">
      <c r="B394" s="300"/>
      <c r="C394" s="33"/>
      <c r="D394" s="303"/>
      <c r="E394" s="304"/>
      <c r="F394" s="304"/>
      <c r="G394" s="33"/>
    </row>
    <row r="395" spans="2:7">
      <c r="B395" s="300"/>
      <c r="C395" s="33"/>
      <c r="D395" s="303"/>
      <c r="E395" s="304"/>
      <c r="F395" s="304"/>
      <c r="G395" s="33"/>
    </row>
    <row r="396" spans="2:7">
      <c r="B396" s="300"/>
      <c r="C396" s="33"/>
      <c r="D396" s="303"/>
      <c r="E396" s="304"/>
      <c r="F396" s="304"/>
      <c r="G396" s="33"/>
    </row>
    <row r="397" spans="2:7">
      <c r="B397" s="300"/>
      <c r="C397" s="33"/>
      <c r="D397" s="303"/>
      <c r="E397" s="304"/>
      <c r="F397" s="304"/>
      <c r="G397" s="33"/>
    </row>
    <row r="398" spans="2:7">
      <c r="B398" s="300"/>
      <c r="C398" s="33"/>
      <c r="D398" s="303"/>
      <c r="E398" s="304"/>
      <c r="F398" s="304"/>
      <c r="G398" s="33"/>
    </row>
    <row r="399" spans="2:7" ht="15.75" thickBot="1">
      <c r="B399" s="301"/>
      <c r="C399" s="34"/>
      <c r="D399" s="301"/>
      <c r="E399" s="305"/>
      <c r="F399" s="305"/>
      <c r="G399" s="34"/>
    </row>
    <row r="400" spans="2:7" ht="15.75" thickBot="1">
      <c r="B400" s="301">
        <f>SUM(B386:B399)</f>
        <v>20</v>
      </c>
      <c r="C400" s="34" t="s">
        <v>66</v>
      </c>
      <c r="D400" s="301">
        <f>SUM(D386:D399)</f>
        <v>0</v>
      </c>
      <c r="E400" s="301">
        <f>SUM(E386:E399)</f>
        <v>0</v>
      </c>
      <c r="F400" s="30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298" t="s">
        <v>32</v>
      </c>
      <c r="C405" s="60" t="s">
        <v>33</v>
      </c>
      <c r="D405" s="298" t="s">
        <v>68</v>
      </c>
      <c r="E405" s="302" t="s">
        <v>69</v>
      </c>
      <c r="F405" s="302" t="s">
        <v>32</v>
      </c>
      <c r="G405" s="60" t="s">
        <v>33</v>
      </c>
    </row>
    <row r="406" spans="2:7">
      <c r="B406" s="299">
        <v>30</v>
      </c>
      <c r="C406" s="36"/>
      <c r="D406" s="303"/>
      <c r="E406" s="304"/>
      <c r="F406" s="304"/>
      <c r="G406" s="33"/>
    </row>
    <row r="407" spans="2:7">
      <c r="B407" s="300"/>
      <c r="C407" s="33"/>
      <c r="D407" s="303"/>
      <c r="E407" s="304"/>
      <c r="F407" s="304"/>
      <c r="G407" s="33"/>
    </row>
    <row r="408" spans="2:7">
      <c r="B408" s="300"/>
      <c r="C408" s="33"/>
      <c r="D408" s="303"/>
      <c r="E408" s="304"/>
      <c r="F408" s="304"/>
      <c r="G408" s="33"/>
    </row>
    <row r="409" spans="2:7">
      <c r="B409" s="300"/>
      <c r="C409" s="33"/>
      <c r="D409" s="303"/>
      <c r="E409" s="304"/>
      <c r="F409" s="304"/>
      <c r="G409" s="33"/>
    </row>
    <row r="410" spans="2:7">
      <c r="B410" s="300"/>
      <c r="C410" s="33"/>
      <c r="D410" s="303"/>
      <c r="E410" s="304"/>
      <c r="F410" s="304"/>
      <c r="G410" s="33"/>
    </row>
    <row r="411" spans="2:7">
      <c r="B411" s="300"/>
      <c r="C411" s="33"/>
      <c r="D411" s="303"/>
      <c r="E411" s="304"/>
      <c r="F411" s="304"/>
      <c r="G411" s="33"/>
    </row>
    <row r="412" spans="2:7">
      <c r="B412" s="300"/>
      <c r="C412" s="33"/>
      <c r="D412" s="303"/>
      <c r="E412" s="304"/>
      <c r="F412" s="304"/>
      <c r="G412" s="33"/>
    </row>
    <row r="413" spans="2:7">
      <c r="B413" s="300"/>
      <c r="C413" s="33"/>
      <c r="D413" s="303"/>
      <c r="E413" s="304"/>
      <c r="F413" s="304"/>
      <c r="G413" s="33"/>
    </row>
    <row r="414" spans="2:7">
      <c r="B414" s="300"/>
      <c r="C414" s="33"/>
      <c r="D414" s="303"/>
      <c r="E414" s="304"/>
      <c r="F414" s="304"/>
      <c r="G414" s="33"/>
    </row>
    <row r="415" spans="2:7">
      <c r="B415" s="300"/>
      <c r="C415" s="33"/>
      <c r="D415" s="303"/>
      <c r="E415" s="304"/>
      <c r="F415" s="304"/>
      <c r="G415" s="33"/>
    </row>
    <row r="416" spans="2:7">
      <c r="B416" s="300"/>
      <c r="C416" s="33"/>
      <c r="D416" s="303"/>
      <c r="E416" s="304"/>
      <c r="F416" s="304"/>
      <c r="G416" s="33"/>
    </row>
    <row r="417" spans="2:7">
      <c r="B417" s="300"/>
      <c r="C417" s="33"/>
      <c r="D417" s="303"/>
      <c r="E417" s="304"/>
      <c r="F417" s="304"/>
      <c r="G417" s="33"/>
    </row>
    <row r="418" spans="2:7">
      <c r="B418" s="300"/>
      <c r="C418" s="33"/>
      <c r="D418" s="303"/>
      <c r="E418" s="304"/>
      <c r="F418" s="304"/>
      <c r="G418" s="33"/>
    </row>
    <row r="419" spans="2:7" ht="15.75" thickBot="1">
      <c r="B419" s="301"/>
      <c r="C419" s="34"/>
      <c r="D419" s="301"/>
      <c r="E419" s="305"/>
      <c r="F419" s="305"/>
      <c r="G419" s="34"/>
    </row>
    <row r="420" spans="2:7" ht="15.75" thickBot="1">
      <c r="B420" s="301">
        <f>SUM(B406:B419)</f>
        <v>30</v>
      </c>
      <c r="C420" s="34" t="s">
        <v>66</v>
      </c>
      <c r="D420" s="301">
        <f>SUM(D406:D419)</f>
        <v>0</v>
      </c>
      <c r="E420" s="301">
        <f>SUM(E406:E419)</f>
        <v>0</v>
      </c>
      <c r="F420" s="301">
        <f>SUM(F406:F419)</f>
        <v>0</v>
      </c>
      <c r="G420" s="34" t="s">
        <v>66</v>
      </c>
    </row>
    <row r="421" spans="2:7" ht="15.75" thickBot="1">
      <c r="B421" s="5"/>
      <c r="C421" s="3"/>
      <c r="D421" s="5"/>
      <c r="E421" s="5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298" t="s">
        <v>32</v>
      </c>
      <c r="C425" s="60" t="s">
        <v>33</v>
      </c>
      <c r="D425" s="298" t="s">
        <v>68</v>
      </c>
      <c r="E425" s="302" t="s">
        <v>69</v>
      </c>
      <c r="F425" s="302" t="s">
        <v>32</v>
      </c>
      <c r="G425" s="60" t="s">
        <v>33</v>
      </c>
    </row>
    <row r="426" spans="2:7">
      <c r="B426" s="299">
        <f>'2018'!AM17</f>
        <v>0</v>
      </c>
      <c r="C426" s="36" t="s">
        <v>561</v>
      </c>
      <c r="D426" s="303"/>
      <c r="E426" s="304"/>
      <c r="F426" s="304"/>
      <c r="G426" s="33"/>
    </row>
    <row r="427" spans="2:7">
      <c r="B427" s="300"/>
      <c r="C427" s="33"/>
      <c r="D427" s="303"/>
      <c r="E427" s="304"/>
      <c r="F427" s="304"/>
      <c r="G427" s="33"/>
    </row>
    <row r="428" spans="2:7">
      <c r="B428" s="300"/>
      <c r="C428" s="33"/>
      <c r="D428" s="303"/>
      <c r="E428" s="304"/>
      <c r="F428" s="304"/>
      <c r="G428" s="33"/>
    </row>
    <row r="429" spans="2:7">
      <c r="B429" s="300"/>
      <c r="C429" s="33"/>
      <c r="D429" s="303"/>
      <c r="E429" s="304"/>
      <c r="F429" s="304"/>
      <c r="G429" s="33"/>
    </row>
    <row r="430" spans="2:7">
      <c r="B430" s="300"/>
      <c r="C430" s="33"/>
      <c r="D430" s="303"/>
      <c r="E430" s="304"/>
      <c r="F430" s="304"/>
      <c r="G430" s="33"/>
    </row>
    <row r="431" spans="2:7">
      <c r="B431" s="300"/>
      <c r="C431" s="33"/>
      <c r="D431" s="303"/>
      <c r="E431" s="304"/>
      <c r="F431" s="304"/>
      <c r="G431" s="33"/>
    </row>
    <row r="432" spans="2:7">
      <c r="B432" s="300"/>
      <c r="C432" s="33"/>
      <c r="D432" s="303"/>
      <c r="E432" s="304"/>
      <c r="F432" s="304"/>
      <c r="G432" s="33"/>
    </row>
    <row r="433" spans="2:7">
      <c r="B433" s="300"/>
      <c r="C433" s="33"/>
      <c r="D433" s="303"/>
      <c r="E433" s="304"/>
      <c r="F433" s="304"/>
      <c r="G433" s="33"/>
    </row>
    <row r="434" spans="2:7">
      <c r="B434" s="300"/>
      <c r="C434" s="33"/>
      <c r="D434" s="303"/>
      <c r="E434" s="304"/>
      <c r="F434" s="304"/>
      <c r="G434" s="33"/>
    </row>
    <row r="435" spans="2:7">
      <c r="B435" s="300"/>
      <c r="C435" s="33"/>
      <c r="D435" s="303"/>
      <c r="E435" s="304"/>
      <c r="F435" s="304"/>
      <c r="G435" s="33"/>
    </row>
    <row r="436" spans="2:7">
      <c r="B436" s="300"/>
      <c r="C436" s="33"/>
      <c r="D436" s="303"/>
      <c r="E436" s="304"/>
      <c r="F436" s="304"/>
      <c r="G436" s="33"/>
    </row>
    <row r="437" spans="2:7">
      <c r="B437" s="300"/>
      <c r="C437" s="33"/>
      <c r="D437" s="303"/>
      <c r="E437" s="304"/>
      <c r="F437" s="304"/>
      <c r="G437" s="33"/>
    </row>
    <row r="438" spans="2:7">
      <c r="B438" s="300"/>
      <c r="C438" s="33"/>
      <c r="D438" s="303"/>
      <c r="E438" s="304"/>
      <c r="F438" s="304"/>
      <c r="G438" s="33"/>
    </row>
    <row r="439" spans="2:7" ht="15.75" thickBot="1">
      <c r="B439" s="301"/>
      <c r="C439" s="34"/>
      <c r="D439" s="301"/>
      <c r="E439" s="305"/>
      <c r="F439" s="305"/>
      <c r="G439" s="34"/>
    </row>
    <row r="440" spans="2:7" ht="15.75" thickBot="1">
      <c r="B440" s="301">
        <f>SUM(B426:B439)</f>
        <v>0</v>
      </c>
      <c r="C440" s="34" t="s">
        <v>66</v>
      </c>
      <c r="D440" s="301">
        <f>SUM(D426:D439)</f>
        <v>0</v>
      </c>
      <c r="E440" s="301">
        <f>SUM(E426:E439)</f>
        <v>0</v>
      </c>
      <c r="F440" s="30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298" t="s">
        <v>32</v>
      </c>
      <c r="C445" s="60" t="s">
        <v>33</v>
      </c>
      <c r="D445" s="298" t="s">
        <v>68</v>
      </c>
      <c r="E445" s="302" t="s">
        <v>69</v>
      </c>
      <c r="F445" s="302" t="s">
        <v>32</v>
      </c>
      <c r="G445" s="60" t="s">
        <v>33</v>
      </c>
    </row>
    <row r="446" spans="2:7">
      <c r="B446" s="299"/>
      <c r="C446" s="36"/>
      <c r="D446" s="303"/>
      <c r="E446" s="304"/>
      <c r="F446" s="304"/>
      <c r="G446" s="33"/>
    </row>
    <row r="447" spans="2:7">
      <c r="B447" s="300"/>
      <c r="C447" s="33"/>
      <c r="D447" s="303"/>
      <c r="E447" s="304"/>
      <c r="F447" s="304"/>
      <c r="G447" s="33"/>
    </row>
    <row r="448" spans="2:7">
      <c r="B448" s="300"/>
      <c r="C448" s="33"/>
      <c r="D448" s="303"/>
      <c r="E448" s="304"/>
      <c r="F448" s="304"/>
      <c r="G448" s="33"/>
    </row>
    <row r="449" spans="2:7">
      <c r="B449" s="300"/>
      <c r="C449" s="33"/>
      <c r="D449" s="303"/>
      <c r="E449" s="304"/>
      <c r="F449" s="304"/>
      <c r="G449" s="33"/>
    </row>
    <row r="450" spans="2:7">
      <c r="B450" s="300"/>
      <c r="C450" s="33"/>
      <c r="D450" s="303"/>
      <c r="E450" s="304"/>
      <c r="F450" s="304"/>
      <c r="G450" s="33"/>
    </row>
    <row r="451" spans="2:7">
      <c r="B451" s="300"/>
      <c r="C451" s="33"/>
      <c r="D451" s="303"/>
      <c r="E451" s="304"/>
      <c r="F451" s="304"/>
      <c r="G451" s="33"/>
    </row>
    <row r="452" spans="2:7">
      <c r="B452" s="300"/>
      <c r="C452" s="33"/>
      <c r="D452" s="303"/>
      <c r="E452" s="304"/>
      <c r="F452" s="304"/>
      <c r="G452" s="33"/>
    </row>
    <row r="453" spans="2:7">
      <c r="B453" s="300"/>
      <c r="C453" s="33"/>
      <c r="D453" s="303"/>
      <c r="E453" s="304"/>
      <c r="F453" s="304"/>
      <c r="G453" s="33"/>
    </row>
    <row r="454" spans="2:7">
      <c r="B454" s="300"/>
      <c r="C454" s="33"/>
      <c r="D454" s="303"/>
      <c r="E454" s="304"/>
      <c r="F454" s="304"/>
      <c r="G454" s="33"/>
    </row>
    <row r="455" spans="2:7">
      <c r="B455" s="300"/>
      <c r="C455" s="33"/>
      <c r="D455" s="303"/>
      <c r="E455" s="304"/>
      <c r="F455" s="304"/>
      <c r="G455" s="33"/>
    </row>
    <row r="456" spans="2:7">
      <c r="B456" s="300"/>
      <c r="C456" s="33"/>
      <c r="D456" s="303"/>
      <c r="E456" s="304"/>
      <c r="F456" s="304"/>
      <c r="G456" s="33"/>
    </row>
    <row r="457" spans="2:7">
      <c r="B457" s="300"/>
      <c r="C457" s="33"/>
      <c r="D457" s="303"/>
      <c r="E457" s="304"/>
      <c r="F457" s="304"/>
      <c r="G457" s="33"/>
    </row>
    <row r="458" spans="2:7">
      <c r="B458" s="300"/>
      <c r="C458" s="33"/>
      <c r="D458" s="303"/>
      <c r="E458" s="304"/>
      <c r="F458" s="304"/>
      <c r="G458" s="33"/>
    </row>
    <row r="459" spans="2:7" ht="15.75" thickBot="1">
      <c r="B459" s="301"/>
      <c r="C459" s="34"/>
      <c r="D459" s="301"/>
      <c r="E459" s="305"/>
      <c r="F459" s="305"/>
      <c r="G459" s="34"/>
    </row>
    <row r="460" spans="2:7" ht="15.75" thickBot="1">
      <c r="B460" s="301">
        <f>SUM(B446:B459)</f>
        <v>0</v>
      </c>
      <c r="C460" s="34" t="s">
        <v>66</v>
      </c>
      <c r="D460" s="301">
        <f>SUM(D446:D459)</f>
        <v>0</v>
      </c>
      <c r="E460" s="301">
        <f>SUM(E446:E459)</f>
        <v>0</v>
      </c>
      <c r="F460" s="30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1:7">
      <c r="A465" s="137" t="s">
        <v>610</v>
      </c>
      <c r="B465" s="298" t="s">
        <v>32</v>
      </c>
      <c r="C465" s="60" t="s">
        <v>33</v>
      </c>
      <c r="D465" s="298" t="s">
        <v>68</v>
      </c>
      <c r="E465" s="302" t="s">
        <v>69</v>
      </c>
      <c r="F465" s="302" t="s">
        <v>32</v>
      </c>
      <c r="G465" s="60" t="s">
        <v>33</v>
      </c>
    </row>
    <row r="466" spans="1:7" ht="15.75">
      <c r="A466" s="163">
        <f>'11'!A466+B466-E466</f>
        <v>396</v>
      </c>
      <c r="B466" s="300">
        <v>40</v>
      </c>
      <c r="C466" s="33" t="s">
        <v>486</v>
      </c>
      <c r="D466" s="303"/>
      <c r="E466" s="304"/>
      <c r="F466" s="304"/>
      <c r="G466" s="33"/>
    </row>
    <row r="467" spans="1:7" ht="15.75">
      <c r="A467" s="163">
        <f>'11'!A467+B467-E467</f>
        <v>15</v>
      </c>
      <c r="B467" s="300">
        <v>5</v>
      </c>
      <c r="C467" s="33" t="s">
        <v>611</v>
      </c>
      <c r="D467" s="303"/>
      <c r="E467" s="304"/>
      <c r="F467" s="304"/>
      <c r="G467" s="33"/>
    </row>
    <row r="468" spans="1:7" ht="15.75">
      <c r="A468" s="163">
        <f>'11'!A468+B468-E468</f>
        <v>15</v>
      </c>
      <c r="B468" s="300">
        <v>5</v>
      </c>
      <c r="C468" s="33" t="s">
        <v>612</v>
      </c>
      <c r="D468" s="303"/>
      <c r="E468" s="304"/>
      <c r="F468" s="304"/>
      <c r="G468" s="33"/>
    </row>
    <row r="469" spans="1:7">
      <c r="B469" s="300"/>
      <c r="C469" s="33"/>
      <c r="D469" s="303"/>
      <c r="E469" s="304"/>
      <c r="F469" s="304"/>
      <c r="G469" s="33"/>
    </row>
    <row r="470" spans="1:7">
      <c r="B470" s="300"/>
      <c r="C470" s="33"/>
      <c r="D470" s="303"/>
      <c r="E470" s="304"/>
      <c r="F470" s="304"/>
      <c r="G470" s="33"/>
    </row>
    <row r="471" spans="1:7">
      <c r="B471" s="300"/>
      <c r="C471" s="33"/>
      <c r="D471" s="303"/>
      <c r="E471" s="304"/>
      <c r="F471" s="304"/>
      <c r="G471" s="33"/>
    </row>
    <row r="472" spans="1:7">
      <c r="B472" s="300"/>
      <c r="C472" s="33"/>
      <c r="D472" s="303"/>
      <c r="E472" s="304"/>
      <c r="F472" s="304"/>
      <c r="G472" s="33"/>
    </row>
    <row r="473" spans="1:7">
      <c r="B473" s="300"/>
      <c r="C473" s="33"/>
      <c r="D473" s="303"/>
      <c r="E473" s="304"/>
      <c r="F473" s="304"/>
      <c r="G473" s="33"/>
    </row>
    <row r="474" spans="1:7">
      <c r="B474" s="300"/>
      <c r="C474" s="33"/>
      <c r="D474" s="303"/>
      <c r="E474" s="304"/>
      <c r="F474" s="304"/>
      <c r="G474" s="33"/>
    </row>
    <row r="475" spans="1:7">
      <c r="B475" s="300"/>
      <c r="C475" s="33"/>
      <c r="D475" s="303"/>
      <c r="E475" s="304"/>
      <c r="F475" s="304"/>
      <c r="G475" s="33"/>
    </row>
    <row r="476" spans="1:7">
      <c r="B476" s="300"/>
      <c r="C476" s="33"/>
      <c r="D476" s="303"/>
      <c r="E476" s="304"/>
      <c r="F476" s="304"/>
      <c r="G476" s="33"/>
    </row>
    <row r="477" spans="1:7">
      <c r="B477" s="300"/>
      <c r="C477" s="33"/>
      <c r="D477" s="303"/>
      <c r="E477" s="304"/>
      <c r="F477" s="304"/>
      <c r="G477" s="33"/>
    </row>
    <row r="478" spans="1:7">
      <c r="B478" s="300"/>
      <c r="C478" s="33"/>
      <c r="D478" s="303"/>
      <c r="E478" s="304"/>
      <c r="F478" s="304"/>
      <c r="G478" s="33"/>
    </row>
    <row r="479" spans="1:7" ht="15.75" thickBot="1">
      <c r="B479" s="301"/>
      <c r="C479" s="34"/>
      <c r="D479" s="301"/>
      <c r="E479" s="305"/>
      <c r="F479" s="305"/>
      <c r="G479" s="34"/>
    </row>
    <row r="480" spans="1:7" ht="15.75" thickBot="1">
      <c r="A480" s="164">
        <f>SUM(A466:A468)</f>
        <v>426</v>
      </c>
      <c r="B480" s="301">
        <f>SUM(B466:B479)</f>
        <v>50</v>
      </c>
      <c r="C480" s="34" t="s">
        <v>66</v>
      </c>
      <c r="D480" s="301">
        <f>SUM(D466:D479)</f>
        <v>0</v>
      </c>
      <c r="E480" s="301">
        <f>SUM(E466:E479)</f>
        <v>0</v>
      </c>
      <c r="F480" s="301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298" t="s">
        <v>32</v>
      </c>
      <c r="C485" s="60" t="s">
        <v>33</v>
      </c>
      <c r="D485" s="298" t="s">
        <v>68</v>
      </c>
      <c r="E485" s="302" t="s">
        <v>69</v>
      </c>
      <c r="F485" s="302" t="s">
        <v>32</v>
      </c>
      <c r="G485" s="60" t="s">
        <v>33</v>
      </c>
    </row>
    <row r="486" spans="2:7">
      <c r="B486" s="299"/>
      <c r="C486" s="36"/>
      <c r="D486" s="303"/>
      <c r="E486" s="304"/>
      <c r="F486" s="304"/>
      <c r="G486" s="33"/>
    </row>
    <row r="487" spans="2:7">
      <c r="B487" s="300"/>
      <c r="C487" s="33"/>
      <c r="D487" s="303"/>
      <c r="E487" s="304"/>
      <c r="F487" s="304"/>
      <c r="G487" s="33"/>
    </row>
    <row r="488" spans="2:7">
      <c r="B488" s="300"/>
      <c r="C488" s="33"/>
      <c r="D488" s="303"/>
      <c r="E488" s="304"/>
      <c r="F488" s="304"/>
      <c r="G488" s="33"/>
    </row>
    <row r="489" spans="2:7">
      <c r="B489" s="300"/>
      <c r="C489" s="33"/>
      <c r="D489" s="303"/>
      <c r="E489" s="304"/>
      <c r="F489" s="304"/>
      <c r="G489" s="33"/>
    </row>
    <row r="490" spans="2:7">
      <c r="B490" s="300"/>
      <c r="C490" s="33"/>
      <c r="D490" s="303"/>
      <c r="E490" s="304"/>
      <c r="F490" s="304"/>
      <c r="G490" s="33"/>
    </row>
    <row r="491" spans="2:7">
      <c r="B491" s="300"/>
      <c r="C491" s="33"/>
      <c r="D491" s="303"/>
      <c r="E491" s="304"/>
      <c r="F491" s="304"/>
      <c r="G491" s="33"/>
    </row>
    <row r="492" spans="2:7">
      <c r="B492" s="300"/>
      <c r="C492" s="33"/>
      <c r="D492" s="303"/>
      <c r="E492" s="304"/>
      <c r="F492" s="304"/>
      <c r="G492" s="33"/>
    </row>
    <row r="493" spans="2:7">
      <c r="B493" s="300"/>
      <c r="C493" s="33"/>
      <c r="D493" s="303"/>
      <c r="E493" s="304"/>
      <c r="F493" s="304"/>
      <c r="G493" s="33"/>
    </row>
    <row r="494" spans="2:7">
      <c r="B494" s="300"/>
      <c r="C494" s="33"/>
      <c r="D494" s="303"/>
      <c r="E494" s="304"/>
      <c r="F494" s="304"/>
      <c r="G494" s="33"/>
    </row>
    <row r="495" spans="2:7">
      <c r="B495" s="300"/>
      <c r="C495" s="33"/>
      <c r="D495" s="303"/>
      <c r="E495" s="304"/>
      <c r="F495" s="304"/>
      <c r="G495" s="33"/>
    </row>
    <row r="496" spans="2:7">
      <c r="B496" s="300"/>
      <c r="C496" s="33"/>
      <c r="D496" s="303"/>
      <c r="E496" s="304"/>
      <c r="F496" s="304"/>
      <c r="G496" s="33"/>
    </row>
    <row r="497" spans="2:7">
      <c r="B497" s="300"/>
      <c r="C497" s="33"/>
      <c r="D497" s="303"/>
      <c r="E497" s="304"/>
      <c r="F497" s="304"/>
      <c r="G497" s="33"/>
    </row>
    <row r="498" spans="2:7">
      <c r="B498" s="300"/>
      <c r="C498" s="33"/>
      <c r="D498" s="303"/>
      <c r="E498" s="304"/>
      <c r="F498" s="304"/>
      <c r="G498" s="33"/>
    </row>
    <row r="499" spans="2:7" ht="15.75" thickBot="1">
      <c r="B499" s="301"/>
      <c r="C499" s="34"/>
      <c r="D499" s="301"/>
      <c r="E499" s="305"/>
      <c r="F499" s="305"/>
      <c r="G499" s="34"/>
    </row>
    <row r="500" spans="2:7" ht="15.75" thickBot="1">
      <c r="B500" s="301">
        <f>SUM(B486:B499)</f>
        <v>0</v>
      </c>
      <c r="C500" s="34" t="s">
        <v>66</v>
      </c>
      <c r="D500" s="301">
        <f>SUM(D486:D499)</f>
        <v>0</v>
      </c>
      <c r="E500" s="301">
        <f>SUM(E486:E499)</f>
        <v>0</v>
      </c>
      <c r="F500" s="30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298" t="s">
        <v>32</v>
      </c>
      <c r="C505" s="60" t="s">
        <v>33</v>
      </c>
      <c r="D505" s="298" t="s">
        <v>68</v>
      </c>
      <c r="E505" s="302" t="s">
        <v>69</v>
      </c>
      <c r="F505" s="302" t="s">
        <v>32</v>
      </c>
      <c r="G505" s="60" t="s">
        <v>33</v>
      </c>
    </row>
    <row r="506" spans="2:7">
      <c r="B506" s="299"/>
      <c r="C506" s="36"/>
      <c r="D506" s="303"/>
      <c r="E506" s="304"/>
      <c r="F506" s="304"/>
      <c r="G506" s="33"/>
    </row>
    <row r="507" spans="2:7">
      <c r="B507" s="300"/>
      <c r="C507" s="33"/>
      <c r="D507" s="303"/>
      <c r="E507" s="304"/>
      <c r="F507" s="304"/>
      <c r="G507" s="33"/>
    </row>
    <row r="508" spans="2:7">
      <c r="B508" s="300"/>
      <c r="C508" s="33"/>
      <c r="D508" s="303"/>
      <c r="E508" s="304"/>
      <c r="F508" s="304"/>
      <c r="G508" s="33"/>
    </row>
    <row r="509" spans="2:7">
      <c r="B509" s="300"/>
      <c r="C509" s="33"/>
      <c r="D509" s="303"/>
      <c r="E509" s="304"/>
      <c r="F509" s="304"/>
      <c r="G509" s="33"/>
    </row>
    <row r="510" spans="2:7">
      <c r="B510" s="300"/>
      <c r="C510" s="33"/>
      <c r="D510" s="303"/>
      <c r="E510" s="304"/>
      <c r="F510" s="304"/>
      <c r="G510" s="33"/>
    </row>
    <row r="511" spans="2:7">
      <c r="B511" s="300"/>
      <c r="C511" s="33"/>
      <c r="D511" s="303"/>
      <c r="E511" s="304"/>
      <c r="F511" s="304"/>
      <c r="G511" s="33"/>
    </row>
    <row r="512" spans="2:7">
      <c r="B512" s="300"/>
      <c r="C512" s="33"/>
      <c r="D512" s="303"/>
      <c r="E512" s="304"/>
      <c r="F512" s="304"/>
      <c r="G512" s="33"/>
    </row>
    <row r="513" spans="2:7">
      <c r="B513" s="300"/>
      <c r="C513" s="33"/>
      <c r="D513" s="303"/>
      <c r="E513" s="304"/>
      <c r="F513" s="304"/>
      <c r="G513" s="33"/>
    </row>
    <row r="514" spans="2:7">
      <c r="B514" s="300"/>
      <c r="C514" s="33"/>
      <c r="D514" s="303"/>
      <c r="E514" s="304"/>
      <c r="F514" s="304"/>
      <c r="G514" s="33"/>
    </row>
    <row r="515" spans="2:7">
      <c r="B515" s="300"/>
      <c r="C515" s="33"/>
      <c r="D515" s="303"/>
      <c r="E515" s="304"/>
      <c r="F515" s="304"/>
      <c r="G515" s="33"/>
    </row>
    <row r="516" spans="2:7">
      <c r="B516" s="300"/>
      <c r="C516" s="33"/>
      <c r="D516" s="303"/>
      <c r="E516" s="304"/>
      <c r="F516" s="304"/>
      <c r="G516" s="33"/>
    </row>
    <row r="517" spans="2:7">
      <c r="B517" s="300"/>
      <c r="C517" s="33"/>
      <c r="D517" s="303"/>
      <c r="E517" s="304"/>
      <c r="F517" s="304"/>
      <c r="G517" s="33"/>
    </row>
    <row r="518" spans="2:7">
      <c r="B518" s="300"/>
      <c r="C518" s="33"/>
      <c r="D518" s="303"/>
      <c r="E518" s="304"/>
      <c r="F518" s="304"/>
      <c r="G518" s="33"/>
    </row>
    <row r="519" spans="2:7" ht="15.75" thickBot="1">
      <c r="B519" s="301"/>
      <c r="C519" s="34"/>
      <c r="D519" s="301"/>
      <c r="E519" s="305"/>
      <c r="F519" s="305"/>
      <c r="G519" s="34"/>
    </row>
    <row r="520" spans="2:7" ht="15.75" thickBot="1">
      <c r="B520" s="301">
        <f>SUM(B506:B519)</f>
        <v>0</v>
      </c>
      <c r="C520" s="34" t="s">
        <v>66</v>
      </c>
      <c r="D520" s="301">
        <f>SUM(D506:D519)</f>
        <v>0</v>
      </c>
      <c r="E520" s="301">
        <f>SUM(E506:E519)</f>
        <v>0</v>
      </c>
      <c r="F520" s="30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Q7:AT7" display="INGRESOS" xr:uid="{61976EE0-D813-485B-9000-AC87DC88128C}"/>
    <hyperlink ref="B2" location="Trimestre!C25:F26" display="HIPOTECA" xr:uid="{A7C6557F-835E-4877-B374-D755E56A8BC4}"/>
    <hyperlink ref="B2:G3" location="'2018'!AQ20:AT20" display="'2018'!AQ20:AT20" xr:uid="{44E55F04-D5EA-430F-85B6-49AAFEA32FD7}"/>
    <hyperlink ref="B22" location="Trimestre!C25:F26" display="HIPOTECA" xr:uid="{2945D34A-E989-4D07-8170-F846056B9904}"/>
    <hyperlink ref="B22:G23" location="'2018'!AQ21:AT21" display="'2018'!AQ21:AT21" xr:uid="{5859C735-613F-47CA-8ED1-315323F15DA4}"/>
    <hyperlink ref="B42" location="Trimestre!C25:F26" display="HIPOTECA" xr:uid="{633D6982-3D16-4B65-A863-0FC661BAEC27}"/>
    <hyperlink ref="B42:G43" location="'2018'!AQ22:AT22" display="'2018'!AQ22:AT22" xr:uid="{B5B1333F-3B5C-477D-B8A8-5A76131FDF48}"/>
    <hyperlink ref="B62" location="Trimestre!C25:F26" display="HIPOTECA" xr:uid="{284BE7E6-99F2-4C58-BC02-899C4ADE12D5}"/>
    <hyperlink ref="B62:G63" location="'2018'!AQ23:AT23" display="'2018'!AQ23:AT23" xr:uid="{CE05078D-1ACD-4C2E-BF26-23F211AB6B87}"/>
    <hyperlink ref="B82" location="Trimestre!C25:F26" display="HIPOTECA" xr:uid="{123F1728-AFA9-4605-B791-6380E9CC53CB}"/>
    <hyperlink ref="B82:G83" location="'2018'!AQ24:AT24" display="'2018'!AQ24:AT24" xr:uid="{198ACE7D-4D57-47FC-91DC-C5F5887DCF8B}"/>
    <hyperlink ref="B102" location="Trimestre!C25:F26" display="HIPOTECA" xr:uid="{EFB79D0E-D75F-4A7E-80E2-E8CAA83F3F25}"/>
    <hyperlink ref="B102:G103" location="'2018'!AQ25:AT25" display="'2018'!AQ25:AT25" xr:uid="{D1B1884C-9D88-4CBE-80A6-D2D45E0AD03F}"/>
    <hyperlink ref="B122" location="Trimestre!C25:F26" display="HIPOTECA" xr:uid="{E1481791-C3C3-477B-9D00-D102E6508A95}"/>
    <hyperlink ref="B122:G123" location="'2018'!AQ26:AT26" display="'2018'!AQ26:AT26" xr:uid="{2F5D2B8C-5749-41A6-A29C-EB8BA3BB52B0}"/>
    <hyperlink ref="B142" location="Trimestre!C25:F26" display="HIPOTECA" xr:uid="{B6367BC0-D736-48CB-BE27-E35BBCFC2664}"/>
    <hyperlink ref="B142:G143" location="'2018'!AQ27:AT27" display="'2018'!AQ27:AT27" xr:uid="{1079B30A-F4A3-4D88-842E-A2A9B555AC7F}"/>
    <hyperlink ref="B162" location="Trimestre!C25:F26" display="HIPOTECA" xr:uid="{D0AEDC62-861B-47BA-96EE-E0DFF4B0608F}"/>
    <hyperlink ref="B162:G163" location="'2018'!AQ28:AT28" display="'2018'!AQ28:AT28" xr:uid="{179A9FE1-4569-457A-86B6-4B765C23D476}"/>
    <hyperlink ref="B182" location="Trimestre!C25:F26" display="HIPOTECA" xr:uid="{1D733267-182D-4705-AAE4-D75351F0F1EB}"/>
    <hyperlink ref="B182:G183" location="'2018'!AQ29:AT29" display="'2018'!AQ29:AT29" xr:uid="{AB7588BB-C416-49A7-A5A7-F79F6521C415}"/>
    <hyperlink ref="B202" location="Trimestre!C25:F26" display="HIPOTECA" xr:uid="{AB856B99-92CE-4246-820C-86C6A36E38A9}"/>
    <hyperlink ref="B202:G203" location="'2018'!AQ30:AT30" display="'2018'!AQ30:AT30" xr:uid="{8CCE81C9-B8B4-4AF7-8CF6-8C278FA0BD3F}"/>
    <hyperlink ref="B222" location="Trimestre!C25:F26" display="HIPOTECA" xr:uid="{7020E613-C443-49D7-9C37-3162A24C78D0}"/>
    <hyperlink ref="B222:G223" location="'2018'!AQ31:AT31" display="'2018'!AQ31:AT31" xr:uid="{D5049AE1-3D9E-4CDE-9BA0-FC372E8B5262}"/>
    <hyperlink ref="B242" location="Trimestre!C25:F26" display="HIPOTECA" xr:uid="{1DE3EF54-90C6-4D7E-ABC0-03558E4848B2}"/>
    <hyperlink ref="B242:G243" location="'2018'!AQ32:AT32" display="'2018'!AQ32:AT32" xr:uid="{E82DA27E-515E-4E2D-B364-3CE7321AECF7}"/>
    <hyperlink ref="B262" location="Trimestre!C25:F26" display="HIPOTECA" xr:uid="{D19615B0-9D9F-41B4-9227-2F4094CCB899}"/>
    <hyperlink ref="B262:G263" location="'2018'!AQ33:AT33" display="'2018'!AQ33:AT33" xr:uid="{1ADA8A12-49D3-4FC9-B4C7-37A5C54147EB}"/>
    <hyperlink ref="B282" location="Trimestre!C25:F26" display="HIPOTECA" xr:uid="{6B25CE61-0EAE-4317-8880-788C3A8E0593}"/>
    <hyperlink ref="B282:G283" location="'2018'!AQ34:AT34" display="'2018'!AQ34:AT34" xr:uid="{FF959C11-C058-4705-8BD0-C5B379B46F31}"/>
    <hyperlink ref="B302" location="Trimestre!C25:F26" display="HIPOTECA" xr:uid="{ACDA8A27-3B18-4FBE-A067-4EA10FE60E3A}"/>
    <hyperlink ref="B302:G303" location="'2018'!AQ35:AT35" display="'2018'!AQ35:AT35" xr:uid="{A38F5AF7-219E-48BC-A692-B158539175B2}"/>
    <hyperlink ref="B322" location="Trimestre!C25:F26" display="HIPOTECA" xr:uid="{AA43F692-96B4-4129-9311-4B6A43E147FE}"/>
    <hyperlink ref="B322:G323" location="'2018'!AQ36:AT36" display="'2018'!AQ36:AT36" xr:uid="{3B4F885B-03D5-4475-8C8A-1B636799CC1C}"/>
    <hyperlink ref="B342" location="Trimestre!C25:F26" display="HIPOTECA" xr:uid="{F64620BF-68F7-4A15-BCE8-D333CF177573}"/>
    <hyperlink ref="B342:G343" location="'2018'!AQ37:AT37" display="'2018'!AQ37:AT37" xr:uid="{6666C911-5032-49D8-B545-301F3665F150}"/>
    <hyperlink ref="B362" location="Trimestre!C25:F26" display="HIPOTECA" xr:uid="{F513D5F6-F712-497D-A3B3-8DE8F392E307}"/>
    <hyperlink ref="B362:G363" location="'2018'!AQ38:AT38" display="'2018'!AQ38:AT38" xr:uid="{E6A26B47-CEAB-4BE2-89FD-A0CDB0216CA4}"/>
    <hyperlink ref="B382" location="Trimestre!C25:F26" display="HIPOTECA" xr:uid="{9988BAA2-70D1-4A5F-A2F8-868DDA3A5D1B}"/>
    <hyperlink ref="B382:G383" location="'2018'!AQ39:AT39" display="'2018'!AQ39:AT39" xr:uid="{05118760-7D1C-4EF9-ACBA-322BAEDB8998}"/>
    <hyperlink ref="B402" location="Trimestre!C25:F26" display="HIPOTECA" xr:uid="{77593A8C-E675-49B2-9616-2C64618FBAD6}"/>
    <hyperlink ref="B402:G403" location="'2018'!AQ40:AT40" display="'2018'!AQ40:AT40" xr:uid="{33AA3689-AF4B-49E4-BBDC-F0FC6E7F9A52}"/>
    <hyperlink ref="B422" location="Trimestre!C25:F26" display="HIPOTECA" xr:uid="{F21E1BDF-F8FE-472C-AF4F-F0245B3BAF11}"/>
    <hyperlink ref="B422:G423" location="'2018'!AQ41:AT41" display="'2018'!AQ41:AT41" xr:uid="{EE7EF7AF-A7F7-4BDA-981D-87B2B130AD16}"/>
    <hyperlink ref="B442" location="Trimestre!C25:F26" display="HIPOTECA" xr:uid="{DB09AEBA-94CA-4B4F-95C6-9F95C7932FA4}"/>
    <hyperlink ref="B442:G443" location="'2018'!AQ42:AT42" display="'2018'!AQ42:AT42" xr:uid="{C0A446A7-65BB-4F75-8318-AE74AD044717}"/>
    <hyperlink ref="B462" location="Trimestre!C25:F26" display="HIPOTECA" xr:uid="{E99C6E5D-FAB0-4294-AF6A-7044DE50B2CC}"/>
    <hyperlink ref="B462:G463" location="'2018'!AQ43:AT43" display="'2018'!AQ43:AT43" xr:uid="{81417136-7CE6-4454-9857-21050822C976}"/>
    <hyperlink ref="B482" location="Trimestre!C25:F26" display="HIPOTECA" xr:uid="{58713445-F4FE-4154-A459-320B4B989C5B}"/>
    <hyperlink ref="B482:G483" location="'2018'!AQ44:AT44" display="'2018'!AQ44:AT44" xr:uid="{78E92B8B-9BAC-47AF-9798-2C65BFDEED22}"/>
    <hyperlink ref="B502" location="Trimestre!C25:F26" display="HIPOTECA" xr:uid="{EC04AB01-EEB0-4BCC-A5C5-D24C170CADCE}"/>
    <hyperlink ref="B502:G503" location="'2018'!AQ45:AT45" display="'2018'!AQ45:AT45" xr:uid="{85841801-7A32-4365-A441-318FF47F54FA}"/>
    <hyperlink ref="I2:L3" location="'2018'!AQ4:AT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32" sqref="E31:E3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533</v>
      </c>
      <c r="B3" s="165">
        <f>Historico!I24</f>
        <v>43556</v>
      </c>
      <c r="D3" s="92"/>
      <c r="E3" s="93"/>
    </row>
    <row r="4" spans="1:13" ht="12.75" customHeight="1">
      <c r="A4" t="s">
        <v>532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599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C70" sqref="C7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38">
        <v>258.47000000000003</v>
      </c>
    </row>
    <row r="2" spans="1:5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5">
      <c r="B3" s="127">
        <v>43074</v>
      </c>
      <c r="C3" s="118">
        <v>0</v>
      </c>
      <c r="D3" s="114">
        <v>24736.65</v>
      </c>
      <c r="E3" t="s">
        <v>194</v>
      </c>
    </row>
    <row r="4" spans="1:5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5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5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5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5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5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5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5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5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5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</row>
    <row r="14" spans="1:5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5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</row>
    <row r="16" spans="1:5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</row>
    <row r="17" spans="2:4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</row>
    <row r="18" spans="2:4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</row>
    <row r="19" spans="2:4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</row>
    <row r="20" spans="2:4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</row>
    <row r="21" spans="2:4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</row>
    <row r="22" spans="2:4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</row>
    <row r="23" spans="2:4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</row>
    <row r="24" spans="2:4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</row>
    <row r="25" spans="2:4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</row>
    <row r="26" spans="2:4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</row>
    <row r="27" spans="2:4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</row>
    <row r="28" spans="2:4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</row>
    <row r="29" spans="2:4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</row>
    <row r="30" spans="2:4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</row>
    <row r="31" spans="2:4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</row>
    <row r="32" spans="2:4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</row>
    <row r="33" spans="2:4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</row>
    <row r="34" spans="2:4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</row>
    <row r="35" spans="2:4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</row>
    <row r="36" spans="2:4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</row>
    <row r="37" spans="2:4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</row>
    <row r="38" spans="2:4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</row>
    <row r="39" spans="2:4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</row>
    <row r="40" spans="2:4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</row>
    <row r="41" spans="2:4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</row>
    <row r="42" spans="2:4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</row>
    <row r="43" spans="2:4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</row>
    <row r="44" spans="2:4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</row>
    <row r="45" spans="2:4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</row>
    <row r="46" spans="2:4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</row>
    <row r="47" spans="2:4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</row>
    <row r="48" spans="2:4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</row>
    <row r="49" spans="2:4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</row>
    <row r="50" spans="2:4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</row>
    <row r="51" spans="2:4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</row>
    <row r="52" spans="2:4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</row>
    <row r="53" spans="2:4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</row>
    <row r="54" spans="2:4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</row>
    <row r="55" spans="2:4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</row>
    <row r="56" spans="2:4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</row>
    <row r="57" spans="2:4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</row>
    <row r="58" spans="2:4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</row>
    <row r="59" spans="2:4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</row>
    <row r="60" spans="2:4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</row>
    <row r="61" spans="2:4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</row>
    <row r="62" spans="2:4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</row>
    <row r="63" spans="2:4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2" sqref="L22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588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92">
        <v>153293.20000000001</v>
      </c>
      <c r="K14" s="293">
        <v>15951.99</v>
      </c>
      <c r="L14" s="29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94">
        <f>151411.95+18544.65-(198.04*2)</f>
        <v>169560.52000000002</v>
      </c>
      <c r="K15" s="293">
        <v>17897.71</v>
      </c>
      <c r="L15" s="29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94">
        <f>149494.24+18544.65-(198.04*(2+6))</f>
        <v>166454.56999999998</v>
      </c>
      <c r="K16" s="293">
        <v>20433.009999999998</v>
      </c>
      <c r="L16" s="29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94">
        <f>147495.79+18544.65-(198.04*(2+12))</f>
        <v>163267.88</v>
      </c>
      <c r="K17" s="293">
        <v>17715.88</v>
      </c>
      <c r="L17" s="29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94">
        <f>145458.18+18544.65-(198.04*(2+18))</f>
        <v>160042.03</v>
      </c>
      <c r="K18" s="293">
        <f>1167.12+4510.82+2610.71+5004.39+800+2627.7+1337.06</f>
        <v>18057.800000000003</v>
      </c>
      <c r="L18" s="29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94">
        <f>143356.97+18544.65-(198.04*(2+24))</f>
        <v>156752.57999999999</v>
      </c>
      <c r="K19" s="293">
        <f>18827.92-5007.8+(833*5.448)</f>
        <v>18358.304</v>
      </c>
      <c r="L19" s="29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94">
        <f>141384.89+18544.65-(198.04*(2+30))</f>
        <v>153592.26</v>
      </c>
      <c r="K20" s="293">
        <f>19200-5007.8+(833*7.9)</f>
        <v>20772.900000000001</v>
      </c>
      <c r="L20" s="29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94">
        <f>139093.28+18544.65-(198.04*(2+36))</f>
        <v>150112.41</v>
      </c>
      <c r="K21" s="293">
        <f>11743+(306*21.51)</f>
        <v>18325.060000000001</v>
      </c>
      <c r="L21" s="29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94">
        <f>B22+Coche!D6</f>
        <v>160889.93</v>
      </c>
      <c r="K22" s="293">
        <v>20719.909999999996</v>
      </c>
      <c r="L22" s="29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94">
        <f>B23+Coche!D12</f>
        <v>157159.40999999997</v>
      </c>
      <c r="K23" s="293"/>
      <c r="L23" s="293">
        <f>K23-J23</f>
        <v>-157159.40999999997</v>
      </c>
      <c r="M23" s="120">
        <f t="shared" ref="M23" si="8">L23-L22</f>
        <v>-16989.389999999985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94"/>
      <c r="K24" s="293"/>
      <c r="L24" s="29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94"/>
      <c r="K25" s="293"/>
      <c r="L25" s="29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94"/>
      <c r="K26" s="293"/>
      <c r="L26" s="29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94"/>
      <c r="K27" s="293"/>
      <c r="L27" s="29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94"/>
      <c r="K28" s="293"/>
      <c r="L28" s="29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94"/>
      <c r="K29" s="293"/>
      <c r="L29" s="29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94"/>
      <c r="K30" s="293"/>
      <c r="L30" s="29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94"/>
      <c r="K31" s="293"/>
      <c r="L31" s="29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94"/>
      <c r="K32" s="293"/>
      <c r="L32" s="29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94"/>
      <c r="K33" s="293"/>
      <c r="L33" s="29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94"/>
      <c r="K34" s="293"/>
      <c r="L34" s="29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94"/>
      <c r="K35" s="293"/>
      <c r="L35" s="29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94"/>
      <c r="K36" s="293"/>
      <c r="L36" s="29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94"/>
      <c r="K37" s="293"/>
      <c r="L37" s="29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94"/>
      <c r="K38" s="293"/>
      <c r="L38" s="29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94"/>
      <c r="K39" s="293"/>
      <c r="L39" s="29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94"/>
      <c r="K40" s="293"/>
      <c r="L40" s="29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94"/>
      <c r="K41" s="293"/>
      <c r="L41" s="29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94"/>
      <c r="K42" s="293"/>
      <c r="L42" s="29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94"/>
      <c r="K43" s="293"/>
      <c r="L43" s="29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94"/>
      <c r="K44" s="293"/>
      <c r="L44" s="29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94"/>
      <c r="K45" s="293"/>
      <c r="L45" s="29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94"/>
      <c r="K46" s="293"/>
      <c r="L46" s="29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94"/>
      <c r="K47" s="293"/>
      <c r="L47" s="29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94"/>
      <c r="K48" s="293"/>
      <c r="L48" s="29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94"/>
      <c r="K49" s="293"/>
      <c r="L49" s="29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94"/>
      <c r="K50" s="293"/>
      <c r="L50" s="29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94"/>
      <c r="K51" s="293"/>
      <c r="L51" s="29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94"/>
      <c r="K52" s="293"/>
      <c r="L52" s="29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94"/>
      <c r="K53" s="293"/>
      <c r="L53" s="29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94"/>
      <c r="K54" s="293"/>
      <c r="L54" s="29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94"/>
      <c r="K55" s="293"/>
      <c r="L55" s="29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94"/>
      <c r="K56" s="293"/>
      <c r="L56" s="29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94"/>
      <c r="K57" s="293"/>
      <c r="L57" s="29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94"/>
      <c r="K58" s="293"/>
      <c r="L58" s="29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94"/>
      <c r="K59" s="293"/>
      <c r="L59" s="29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94"/>
      <c r="K60" s="293"/>
      <c r="L60" s="29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94"/>
      <c r="K61" s="293"/>
      <c r="L61" s="29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94"/>
      <c r="K62" s="293"/>
      <c r="L62" s="29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94"/>
      <c r="K63" s="293"/>
      <c r="L63" s="29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94"/>
      <c r="K64" s="293"/>
      <c r="L64" s="29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94"/>
      <c r="K65" s="293"/>
      <c r="L65" s="29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94"/>
      <c r="K66" s="293"/>
      <c r="L66" s="29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94"/>
      <c r="K67" s="293"/>
      <c r="L67" s="29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94"/>
      <c r="K68" s="293"/>
      <c r="L68" s="29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94"/>
      <c r="K69" s="293"/>
      <c r="L69" s="29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94"/>
      <c r="K70" s="293"/>
      <c r="L70" s="29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94"/>
      <c r="K71" s="293"/>
      <c r="L71" s="29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94"/>
      <c r="K72" s="293"/>
      <c r="L72" s="29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94"/>
      <c r="K73" s="293"/>
      <c r="L73" s="29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94"/>
      <c r="K74" s="293"/>
      <c r="L74" s="29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94"/>
      <c r="K75" s="293"/>
      <c r="L75" s="29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94"/>
      <c r="K76" s="293"/>
      <c r="L76" s="29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94"/>
      <c r="K77" s="293"/>
      <c r="L77" s="29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94"/>
      <c r="K78" s="293"/>
      <c r="L78" s="29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94"/>
      <c r="K79" s="293"/>
      <c r="L79" s="29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94"/>
      <c r="K80" s="293"/>
      <c r="L80" s="29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94"/>
      <c r="K81" s="293"/>
      <c r="L81" s="29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95"/>
      <c r="K82" s="296"/>
      <c r="L82" s="29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-7483.7814285714276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1"/>
  <sheetViews>
    <sheetView topLeftCell="A40" workbookViewId="0">
      <selection activeCell="A57" sqref="A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509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626</v>
      </c>
      <c r="B51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394" workbookViewId="0">
      <selection activeCell="H407" sqref="H407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31" t="s">
        <v>70</v>
      </c>
      <c r="J4" s="32" t="s">
        <v>71</v>
      </c>
      <c r="K4" s="221" t="s">
        <v>72</v>
      </c>
      <c r="L4" s="222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23">
        <v>1462.46</v>
      </c>
      <c r="L5" s="224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13">
        <v>423.18</v>
      </c>
      <c r="L6" s="214"/>
      <c r="M6" s="1" t="s">
        <v>112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13">
        <v>7102.9</v>
      </c>
      <c r="L7" s="214"/>
      <c r="M7" s="1"/>
      <c r="N7" s="1"/>
      <c r="R7" s="3"/>
    </row>
    <row r="8" spans="1:22" ht="15.75">
      <c r="A8" s="1"/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13">
        <v>1250</v>
      </c>
      <c r="L8" s="214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13">
        <v>100.34</v>
      </c>
      <c r="L9" s="214"/>
      <c r="M9" s="1"/>
      <c r="N9" s="1"/>
      <c r="R9" s="3"/>
    </row>
    <row r="10" spans="1:22" ht="15.75">
      <c r="A10" s="1"/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13">
        <f>5007.8</f>
        <v>5007.8</v>
      </c>
      <c r="L10" s="214"/>
      <c r="M10" s="82"/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13">
        <v>1566.09</v>
      </c>
      <c r="L11" s="214"/>
      <c r="M11" s="1" t="s">
        <v>82</v>
      </c>
      <c r="N11" s="1"/>
      <c r="R11" s="3"/>
    </row>
    <row r="12" spans="1:22" ht="15.75">
      <c r="A12" s="1"/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13">
        <v>1800</v>
      </c>
      <c r="L12" s="214"/>
      <c r="N12" s="1"/>
      <c r="R12" s="3"/>
    </row>
    <row r="13" spans="1:22" ht="15.75">
      <c r="A13" s="1"/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13">
        <f>75+20+95</f>
        <v>190</v>
      </c>
      <c r="L13" s="214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13"/>
      <c r="L14" s="214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13"/>
      <c r="L15" s="214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SUM(K5:K18)-K11</f>
        <v>17336.68</v>
      </c>
      <c r="L19" s="230"/>
      <c r="M19" s="1"/>
      <c r="N19" s="1"/>
      <c r="R19" s="3"/>
    </row>
    <row r="20" spans="1:18" ht="16.5" thickBot="1">
      <c r="A20" s="1"/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23">
        <v>1.01</v>
      </c>
      <c r="L25" s="22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13">
        <v>0.04</v>
      </c>
      <c r="L26" s="214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13">
        <v>2831.41</v>
      </c>
      <c r="L27" s="214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13">
        <v>72.66</v>
      </c>
      <c r="L28" s="214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13">
        <v>93.93</v>
      </c>
      <c r="L29" s="214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13">
        <v>700</v>
      </c>
      <c r="L30" s="214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13">
        <v>50</v>
      </c>
      <c r="L31" s="214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13">
        <v>229.4</v>
      </c>
      <c r="L32" s="214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13">
        <v>0.05</v>
      </c>
      <c r="L33" s="214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13">
        <v>1566.27</v>
      </c>
      <c r="L34" s="214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13">
        <v>449</v>
      </c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13">
        <v>314.12</v>
      </c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8" ht="15" customHeight="1" thickBot="1">
      <c r="B283" s="218"/>
      <c r="C283" s="219"/>
      <c r="D283" s="219"/>
      <c r="E283" s="219"/>
      <c r="F283" s="219"/>
      <c r="G283" s="220"/>
    </row>
    <row r="284" spans="2:8">
      <c r="B284" s="226" t="s">
        <v>10</v>
      </c>
      <c r="C284" s="227"/>
      <c r="D284" s="228" t="s">
        <v>11</v>
      </c>
      <c r="E284" s="228"/>
      <c r="F284" s="228"/>
      <c r="G284" s="227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8" ht="15" customHeight="1" thickBot="1">
      <c r="B303" s="218"/>
      <c r="C303" s="219"/>
      <c r="D303" s="219"/>
      <c r="E303" s="219"/>
      <c r="F303" s="219"/>
      <c r="G303" s="220"/>
    </row>
    <row r="304" spans="2:8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16"/>
      <c r="D422" s="216"/>
      <c r="E422" s="216"/>
      <c r="F422" s="216"/>
      <c r="G422" s="217"/>
    </row>
    <row r="423" spans="2:7" ht="15" customHeight="1" thickBot="1">
      <c r="B423" s="218"/>
      <c r="C423" s="219"/>
      <c r="D423" s="219"/>
      <c r="E423" s="219"/>
      <c r="F423" s="219"/>
      <c r="G423" s="220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16"/>
      <c r="D442" s="216"/>
      <c r="E442" s="216"/>
      <c r="F442" s="216"/>
      <c r="G442" s="217"/>
    </row>
    <row r="443" spans="2:7" ht="15" customHeight="1" thickBot="1">
      <c r="B443" s="218"/>
      <c r="C443" s="219"/>
      <c r="D443" s="219"/>
      <c r="E443" s="219"/>
      <c r="F443" s="219"/>
      <c r="G443" s="220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16"/>
      <c r="D462" s="216"/>
      <c r="E462" s="216"/>
      <c r="F462" s="216"/>
      <c r="G462" s="217"/>
    </row>
    <row r="463" spans="2:7" ht="15" customHeight="1" thickBot="1">
      <c r="B463" s="218"/>
      <c r="C463" s="219"/>
      <c r="D463" s="219"/>
      <c r="E463" s="219"/>
      <c r="F463" s="219"/>
      <c r="G463" s="220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16"/>
      <c r="D482" s="216"/>
      <c r="E482" s="216"/>
      <c r="F482" s="216"/>
      <c r="G482" s="217"/>
    </row>
    <row r="483" spans="2:7" ht="15" customHeight="1" thickBot="1">
      <c r="B483" s="218"/>
      <c r="C483" s="219"/>
      <c r="D483" s="219"/>
      <c r="E483" s="219"/>
      <c r="F483" s="219"/>
      <c r="G483" s="220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16"/>
      <c r="D502" s="216"/>
      <c r="E502" s="216"/>
      <c r="F502" s="216"/>
      <c r="G502" s="217"/>
    </row>
    <row r="503" spans="2:7" ht="15" customHeight="1" thickBot="1">
      <c r="B503" s="218"/>
      <c r="C503" s="219"/>
      <c r="D503" s="219"/>
      <c r="E503" s="219"/>
      <c r="F503" s="219"/>
      <c r="G503" s="220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31" t="s">
        <v>70</v>
      </c>
      <c r="J4" s="32" t="s">
        <v>71</v>
      </c>
      <c r="K4" s="221" t="s">
        <v>72</v>
      </c>
      <c r="L4" s="222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23">
        <v>1295.79</v>
      </c>
      <c r="L5" s="224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13">
        <v>379.61</v>
      </c>
      <c r="L6" s="214"/>
      <c r="M6" s="1" t="s">
        <v>266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13">
        <v>7271.78</v>
      </c>
      <c r="L7" s="214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13">
        <v>9090.56</v>
      </c>
      <c r="L8" s="214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13">
        <v>69.22</v>
      </c>
      <c r="L9" s="214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13">
        <v>1800.04</v>
      </c>
      <c r="L10" s="214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13">
        <f>290+20</f>
        <v>310</v>
      </c>
      <c r="L11" s="214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13"/>
      <c r="L12" s="214"/>
      <c r="N12" s="1"/>
      <c r="R12" s="3"/>
    </row>
    <row r="13" spans="1:22" ht="15.75">
      <c r="A13" s="1"/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13"/>
      <c r="L13" s="214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13"/>
      <c r="L14" s="214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13"/>
      <c r="L15" s="214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</f>
        <v>20217</v>
      </c>
      <c r="L19" s="230"/>
      <c r="M19" s="1"/>
      <c r="N19" s="1"/>
      <c r="R19" s="3"/>
    </row>
    <row r="20" spans="1:18" ht="16.5" thickBot="1">
      <c r="A20" s="1"/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13">
        <v>176.46</v>
      </c>
      <c r="L25" s="21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13">
        <v>47.52</v>
      </c>
      <c r="L26" s="214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13">
        <v>93.93</v>
      </c>
      <c r="L27" s="214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13">
        <v>447.43</v>
      </c>
      <c r="L28" s="214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13">
        <v>1638.24</v>
      </c>
      <c r="L29" s="214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13"/>
      <c r="L30" s="214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13"/>
      <c r="L31" s="214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13"/>
      <c r="L32" s="214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13"/>
      <c r="L33" s="214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13"/>
      <c r="L34" s="214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13"/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13"/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8" ht="15" customHeight="1" thickBot="1">
      <c r="B283" s="218"/>
      <c r="C283" s="219"/>
      <c r="D283" s="219"/>
      <c r="E283" s="219"/>
      <c r="F283" s="219"/>
      <c r="G283" s="220"/>
    </row>
    <row r="284" spans="2:8">
      <c r="B284" s="226" t="s">
        <v>10</v>
      </c>
      <c r="C284" s="227"/>
      <c r="D284" s="228" t="s">
        <v>11</v>
      </c>
      <c r="E284" s="228"/>
      <c r="F284" s="228"/>
      <c r="G284" s="227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31" t="s">
        <v>70</v>
      </c>
      <c r="J4" s="32" t="s">
        <v>71</v>
      </c>
      <c r="K4" s="221" t="s">
        <v>72</v>
      </c>
      <c r="L4" s="222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23">
        <v>1852.76</v>
      </c>
      <c r="L5" s="224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13">
        <v>335.99</v>
      </c>
      <c r="L6" s="214"/>
      <c r="M6" s="1" t="s">
        <v>266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13">
        <v>7882.01</v>
      </c>
      <c r="L7" s="214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13">
        <v>3390.56</v>
      </c>
      <c r="L8" s="214"/>
      <c r="M8" s="1"/>
      <c r="N8" s="1"/>
      <c r="R8" s="3"/>
    </row>
    <row r="9" spans="1:22" ht="15.75">
      <c r="A9" s="1"/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13">
        <v>621.13</v>
      </c>
      <c r="L9" s="214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13">
        <v>1800.04</v>
      </c>
      <c r="L10" s="214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13">
        <f>30+40+170</f>
        <v>240</v>
      </c>
      <c r="L11" s="214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13">
        <v>5092.08</v>
      </c>
      <c r="L12" s="214"/>
      <c r="M12" s="140" t="s">
        <v>307</v>
      </c>
      <c r="N12" s="1"/>
      <c r="R12" s="3"/>
    </row>
    <row r="13" spans="1:22" ht="15.75">
      <c r="A13" s="1"/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13"/>
      <c r="L13" s="214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13"/>
      <c r="L14" s="214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13"/>
      <c r="L15" s="214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</f>
        <v>21214.57</v>
      </c>
      <c r="L19" s="230"/>
      <c r="M19" s="1"/>
      <c r="N19" s="1"/>
      <c r="R19" s="3"/>
    </row>
    <row r="20" spans="1:18" ht="16.5" thickBot="1">
      <c r="A20" s="1"/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23">
        <v>259.36</v>
      </c>
      <c r="L25" s="22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13">
        <v>176.46</v>
      </c>
      <c r="L26" s="214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13"/>
      <c r="L27" s="214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13"/>
      <c r="L28" s="214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13"/>
      <c r="L29" s="214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13"/>
      <c r="L30" s="214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13"/>
      <c r="L31" s="214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13"/>
      <c r="L32" s="214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13"/>
      <c r="L33" s="214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13"/>
      <c r="L34" s="214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13"/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13"/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" workbookViewId="0">
      <selection activeCell="G13" sqref="G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31" t="s">
        <v>70</v>
      </c>
      <c r="J4" s="32" t="s">
        <v>71</v>
      </c>
      <c r="K4" s="221" t="s">
        <v>72</v>
      </c>
      <c r="L4" s="222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23">
        <v>1117.3699999999999</v>
      </c>
      <c r="L5" s="224"/>
      <c r="M5" s="82"/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13">
        <v>292.37</v>
      </c>
      <c r="L6" s="214"/>
      <c r="M6" s="1" t="s">
        <v>266</v>
      </c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13">
        <f>6685.64-16.84-6.88</f>
        <v>6661.92</v>
      </c>
      <c r="L7" s="214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13">
        <v>5000</v>
      </c>
      <c r="L8" s="214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13">
        <v>621.13</v>
      </c>
      <c r="L9" s="214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13">
        <v>1800.04</v>
      </c>
      <c r="L10" s="214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13">
        <f>90+30+15</f>
        <v>135</v>
      </c>
      <c r="L11" s="214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13">
        <v>5092.08</v>
      </c>
      <c r="L12" s="214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13"/>
      <c r="L13" s="214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13"/>
      <c r="L14" s="214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13"/>
      <c r="L15" s="214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</f>
        <v>20719.909999999996</v>
      </c>
      <c r="L19" s="230"/>
      <c r="M19" s="1"/>
      <c r="N19" s="1"/>
      <c r="R19" s="3"/>
    </row>
    <row r="20" spans="1:18" ht="16.5" thickBot="1">
      <c r="A20" s="1"/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23">
        <v>249.22</v>
      </c>
      <c r="L25" s="22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13">
        <v>197.22</v>
      </c>
      <c r="L26" s="214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13">
        <v>2290.23</v>
      </c>
      <c r="L27" s="214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13">
        <v>80.099999999999994</v>
      </c>
      <c r="L28" s="214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13">
        <v>0.03</v>
      </c>
      <c r="L29" s="214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13">
        <v>325.64</v>
      </c>
      <c r="L30" s="214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13"/>
      <c r="L31" s="214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13"/>
      <c r="L32" s="214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13"/>
      <c r="L33" s="214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13"/>
      <c r="L34" s="214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13"/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13"/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31" t="s">
        <v>70</v>
      </c>
      <c r="J4" s="32" t="s">
        <v>71</v>
      </c>
      <c r="K4" s="221" t="s">
        <v>72</v>
      </c>
      <c r="L4" s="222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23">
        <v>1091.18</v>
      </c>
      <c r="L5" s="224"/>
      <c r="M5" s="82"/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13">
        <v>248.78</v>
      </c>
      <c r="L6" s="214"/>
      <c r="M6" s="1" t="s">
        <v>266</v>
      </c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13">
        <v>8736.65</v>
      </c>
      <c r="L7" s="214"/>
      <c r="M7" s="1"/>
      <c r="N7" s="1"/>
      <c r="R7" s="3"/>
    </row>
    <row r="8" spans="1:22" ht="15.75">
      <c r="A8" s="1"/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13">
        <v>5000</v>
      </c>
      <c r="L8" s="214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13">
        <v>621.13</v>
      </c>
      <c r="L9" s="214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13">
        <v>1800.04</v>
      </c>
      <c r="L10" s="214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13">
        <f>40+276</f>
        <v>316</v>
      </c>
      <c r="L11" s="214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13">
        <v>5092.08</v>
      </c>
      <c r="L12" s="214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13"/>
      <c r="L13" s="214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13"/>
      <c r="L14" s="214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13"/>
      <c r="L15" s="214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</f>
        <v>22905.86</v>
      </c>
      <c r="L19" s="230"/>
      <c r="M19" s="1"/>
      <c r="N19" s="1"/>
      <c r="R19" s="3"/>
    </row>
    <row r="20" spans="1:18" ht="16.5" thickBot="1">
      <c r="A20" s="1"/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23">
        <v>38.64</v>
      </c>
      <c r="L25" s="22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13">
        <v>249.22</v>
      </c>
      <c r="L26" s="214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13">
        <v>155.69999999999999</v>
      </c>
      <c r="L27" s="214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13"/>
      <c r="L28" s="214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13"/>
      <c r="L29" s="214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13"/>
      <c r="L30" s="214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13"/>
      <c r="L31" s="214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13"/>
      <c r="L32" s="214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13"/>
      <c r="L33" s="214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13"/>
      <c r="L34" s="214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13"/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13"/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"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88" t="s">
        <v>70</v>
      </c>
      <c r="J4" s="156" t="s">
        <v>71</v>
      </c>
      <c r="K4" s="221" t="s">
        <v>72</v>
      </c>
      <c r="L4" s="222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23">
        <v>2311.09</v>
      </c>
      <c r="L5" s="224"/>
      <c r="M5" s="1" t="s">
        <v>394</v>
      </c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13">
        <v>205.16</v>
      </c>
      <c r="L6" s="214"/>
      <c r="M6" s="1"/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13">
        <v>6999</v>
      </c>
      <c r="L7" s="214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13">
        <v>6000</v>
      </c>
      <c r="L8" s="214"/>
      <c r="M8" s="1"/>
      <c r="N8" s="1"/>
      <c r="R8" s="3"/>
    </row>
    <row r="9" spans="1:22" ht="15.75">
      <c r="A9" s="1"/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13">
        <v>659.77</v>
      </c>
      <c r="L9" s="214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13">
        <v>1800.04</v>
      </c>
      <c r="L10" s="214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13">
        <f>465+90</f>
        <v>555</v>
      </c>
      <c r="L11" s="214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13">
        <v>5092.08</v>
      </c>
      <c r="L12" s="214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13"/>
      <c r="L13" s="214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13"/>
      <c r="L14" s="214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13"/>
      <c r="L15" s="214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</f>
        <v>23622.14</v>
      </c>
      <c r="L19" s="230"/>
      <c r="M19" s="1"/>
      <c r="N19" s="1"/>
      <c r="R19" s="3"/>
    </row>
    <row r="20" spans="1:18" ht="16.5" thickBot="1">
      <c r="A20" s="1"/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23">
        <v>197.22</v>
      </c>
      <c r="L25" s="22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13">
        <v>200</v>
      </c>
      <c r="L26" s="214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13"/>
      <c r="L27" s="214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13"/>
      <c r="L28" s="214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13"/>
      <c r="L29" s="214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13"/>
      <c r="L30" s="214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13"/>
      <c r="L31" s="214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13"/>
      <c r="L32" s="214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13"/>
      <c r="L33" s="214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13"/>
      <c r="L34" s="214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13"/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13"/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448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443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444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445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450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449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88" t="s">
        <v>70</v>
      </c>
      <c r="J4" s="156" t="s">
        <v>71</v>
      </c>
      <c r="K4" s="221" t="s">
        <v>72</v>
      </c>
      <c r="L4" s="222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23">
        <v>2946.37</v>
      </c>
      <c r="L5" s="224"/>
      <c r="M5" s="1" t="s">
        <v>394</v>
      </c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13">
        <v>161.54</v>
      </c>
      <c r="L6" s="214"/>
      <c r="M6" s="1"/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13">
        <v>7451.76</v>
      </c>
      <c r="L7" s="214"/>
      <c r="M7" s="1"/>
      <c r="N7" s="1"/>
      <c r="R7" s="3"/>
    </row>
    <row r="8" spans="1:22" ht="15.75">
      <c r="A8" s="1"/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13">
        <v>6000</v>
      </c>
      <c r="L8" s="214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13">
        <v>659.77</v>
      </c>
      <c r="L9" s="214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13">
        <v>1800.04</v>
      </c>
      <c r="L10" s="214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13">
        <v>800</v>
      </c>
      <c r="L11" s="214"/>
      <c r="M11" s="1"/>
      <c r="N11" s="1"/>
      <c r="R11" s="3"/>
    </row>
    <row r="12" spans="1:22" ht="15.75">
      <c r="A12" s="1"/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464</v>
      </c>
      <c r="H12" s="1"/>
      <c r="I12" s="159" t="s">
        <v>303</v>
      </c>
      <c r="J12" s="158" t="s">
        <v>304</v>
      </c>
      <c r="K12" s="213">
        <v>5092.08</v>
      </c>
      <c r="L12" s="214"/>
      <c r="M12" s="140" t="s">
        <v>457</v>
      </c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13"/>
      <c r="L13" s="214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13"/>
      <c r="L14" s="214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13"/>
      <c r="L15" s="214"/>
      <c r="M15" s="1"/>
      <c r="N15" s="1"/>
      <c r="R15" s="3"/>
    </row>
    <row r="16" spans="1:22" ht="15.75">
      <c r="A16" s="1"/>
      <c r="B16" s="55">
        <f>40</f>
        <v>40</v>
      </c>
      <c r="C16" s="33" t="s">
        <v>465</v>
      </c>
      <c r="D16" s="57"/>
      <c r="E16" s="58"/>
      <c r="F16" s="58">
        <v>60</v>
      </c>
      <c r="G16" s="33" t="s">
        <v>465</v>
      </c>
      <c r="H16" s="1"/>
      <c r="I16" s="159"/>
      <c r="J16" s="158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</f>
        <v>24911.559999999998</v>
      </c>
      <c r="L19" s="230"/>
      <c r="M19" s="1"/>
      <c r="N19" s="1"/>
      <c r="R19" s="3"/>
    </row>
    <row r="20" spans="1:18" ht="16.5" thickBot="1">
      <c r="A20" s="1"/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467</v>
      </c>
      <c r="K25" s="223">
        <v>134.94</v>
      </c>
      <c r="L25" s="22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475</v>
      </c>
      <c r="K26" s="213">
        <v>83.04</v>
      </c>
      <c r="L26" s="214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13">
        <v>786.42</v>
      </c>
      <c r="L27" s="214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513</v>
      </c>
      <c r="K28" s="213">
        <v>26.77</v>
      </c>
      <c r="L28" s="214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517</v>
      </c>
      <c r="K29" s="213">
        <v>0.02</v>
      </c>
      <c r="L29" s="214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13"/>
      <c r="L30" s="214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13"/>
      <c r="L31" s="214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13"/>
      <c r="L32" s="214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13"/>
      <c r="L33" s="214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13"/>
      <c r="L34" s="214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13"/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13"/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470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471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463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479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482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499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502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512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460</v>
      </c>
      <c r="H66" s="1"/>
      <c r="M66" s="1"/>
      <c r="R66" s="3"/>
    </row>
    <row r="67" spans="1:18" ht="15.75">
      <c r="A67" s="1"/>
      <c r="B67" s="55">
        <v>71</v>
      </c>
      <c r="C67" s="33" t="s">
        <v>447</v>
      </c>
      <c r="D67" s="57">
        <f>25.75</f>
        <v>25.75</v>
      </c>
      <c r="E67" s="58"/>
      <c r="F67" s="58">
        <v>1</v>
      </c>
      <c r="G67" s="70" t="s">
        <v>461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472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481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485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487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510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466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454</v>
      </c>
    </row>
    <row r="189" spans="1:22">
      <c r="B189" s="55"/>
      <c r="C189" s="33"/>
      <c r="D189" s="57">
        <v>5.99</v>
      </c>
      <c r="E189" s="58"/>
      <c r="F189" s="58"/>
      <c r="G189" s="33" t="s">
        <v>500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503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497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8" ht="15" customHeight="1" thickBot="1">
      <c r="B243" s="218"/>
      <c r="C243" s="219"/>
      <c r="D243" s="219"/>
      <c r="E243" s="219"/>
      <c r="F243" s="219"/>
      <c r="G243" s="220"/>
    </row>
    <row r="244" spans="2:8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473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480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504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507</v>
      </c>
    </row>
    <row r="250" spans="2:8">
      <c r="B250" s="55"/>
      <c r="C250" s="33"/>
      <c r="D250" s="57">
        <v>271.56</v>
      </c>
      <c r="E250" s="58"/>
      <c r="F250" s="58"/>
      <c r="G250" s="33" t="s">
        <v>511</v>
      </c>
    </row>
    <row r="251" spans="2:8">
      <c r="B251" s="55"/>
      <c r="C251" s="33"/>
      <c r="D251" s="57">
        <v>14.06</v>
      </c>
      <c r="E251" s="58"/>
      <c r="F251" s="58"/>
      <c r="G251" s="33" t="s">
        <v>514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452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494</v>
      </c>
    </row>
    <row r="288" spans="2:7">
      <c r="B288" s="55"/>
      <c r="C288" s="33"/>
      <c r="D288" s="57">
        <v>10</v>
      </c>
      <c r="E288" s="58"/>
      <c r="F288" s="58"/>
      <c r="G288" s="33" t="s">
        <v>496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505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506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462</v>
      </c>
    </row>
    <row r="308" spans="2:7">
      <c r="B308" s="84"/>
      <c r="C308" s="66"/>
      <c r="D308" s="57">
        <v>42.55</v>
      </c>
      <c r="E308" s="58"/>
      <c r="F308" s="58"/>
      <c r="G308" s="33" t="s">
        <v>483</v>
      </c>
    </row>
    <row r="309" spans="2:7">
      <c r="B309" s="55"/>
      <c r="C309" s="33"/>
      <c r="D309" s="57" t="s">
        <v>484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458</v>
      </c>
    </row>
    <row r="327" spans="2:7">
      <c r="B327" s="55"/>
      <c r="C327" s="33"/>
      <c r="D327" s="57"/>
      <c r="E327" s="58">
        <v>120.56</v>
      </c>
      <c r="F327" s="58"/>
      <c r="G327" s="33" t="s">
        <v>490</v>
      </c>
    </row>
    <row r="328" spans="2:7">
      <c r="B328" s="55"/>
      <c r="C328" s="33"/>
      <c r="D328" s="57">
        <v>12.25</v>
      </c>
      <c r="E328" s="58"/>
      <c r="F328" s="58"/>
      <c r="G328" s="33" t="s">
        <v>501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477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491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492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493</v>
      </c>
    </row>
    <row r="507" spans="2:7">
      <c r="B507" s="55"/>
      <c r="C507" s="33"/>
      <c r="D507" s="57"/>
      <c r="E507" s="58">
        <v>11.27</v>
      </c>
      <c r="F507" s="58"/>
      <c r="G507" s="33" t="s">
        <v>495</v>
      </c>
    </row>
    <row r="508" spans="2:7">
      <c r="B508" s="55"/>
      <c r="C508" s="33"/>
      <c r="D508" s="57"/>
      <c r="E508" s="58">
        <v>49</v>
      </c>
      <c r="F508" s="58"/>
      <c r="G508" s="33" t="s">
        <v>518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9" workbookViewId="0">
      <selection activeCell="F30" sqref="F3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25" t="str">
        <f>'2018'!A20</f>
        <v>Cártama Gastos</v>
      </c>
      <c r="C2" s="216"/>
      <c r="D2" s="216"/>
      <c r="E2" s="216"/>
      <c r="F2" s="216"/>
      <c r="G2" s="217"/>
      <c r="H2" s="1"/>
      <c r="I2" s="215" t="s">
        <v>4</v>
      </c>
      <c r="J2" s="216"/>
      <c r="K2" s="216"/>
      <c r="L2" s="217"/>
      <c r="M2" s="1"/>
      <c r="N2" s="1"/>
      <c r="R2" s="3"/>
    </row>
    <row r="3" spans="1:22" ht="16.5" thickBot="1">
      <c r="A3" s="1"/>
      <c r="B3" s="218"/>
      <c r="C3" s="219"/>
      <c r="D3" s="219"/>
      <c r="E3" s="219"/>
      <c r="F3" s="219"/>
      <c r="G3" s="220"/>
      <c r="H3" s="1"/>
      <c r="I3" s="218"/>
      <c r="J3" s="219"/>
      <c r="K3" s="219"/>
      <c r="L3" s="220"/>
      <c r="M3" s="1"/>
      <c r="N3" s="1"/>
      <c r="R3" s="3"/>
    </row>
    <row r="4" spans="1:22" ht="15.75">
      <c r="A4" s="1"/>
      <c r="B4" s="226" t="s">
        <v>10</v>
      </c>
      <c r="C4" s="227"/>
      <c r="D4" s="228" t="s">
        <v>11</v>
      </c>
      <c r="E4" s="228"/>
      <c r="F4" s="228"/>
      <c r="G4" s="227"/>
      <c r="H4" s="1"/>
      <c r="I4" s="88" t="s">
        <v>70</v>
      </c>
      <c r="J4" s="156" t="s">
        <v>71</v>
      </c>
      <c r="K4" s="221" t="s">
        <v>72</v>
      </c>
      <c r="L4" s="222"/>
      <c r="M4" s="1"/>
      <c r="N4" s="1"/>
      <c r="R4" s="3"/>
    </row>
    <row r="5" spans="1:22" ht="15.75">
      <c r="A5" s="1" t="s">
        <v>613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23">
        <f>2534.79-49</f>
        <v>2485.79</v>
      </c>
      <c r="L5" s="224"/>
      <c r="M5" s="1"/>
      <c r="N5" s="1"/>
      <c r="R5" s="3"/>
    </row>
    <row r="6" spans="1:22" ht="15.75">
      <c r="A6" s="163">
        <f t="shared" ref="A6:A15" si="0">12*B6</f>
        <v>4788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13">
        <v>550</v>
      </c>
      <c r="L6" s="214"/>
      <c r="M6" s="1" t="s">
        <v>394</v>
      </c>
      <c r="N6" s="1"/>
      <c r="R6" s="3"/>
    </row>
    <row r="7" spans="1:22" ht="15.75">
      <c r="A7" s="163">
        <f t="shared" si="0"/>
        <v>720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13">
        <v>6661.07</v>
      </c>
      <c r="L7" s="214"/>
      <c r="M7" s="1"/>
      <c r="N7" s="1"/>
      <c r="R7" s="3"/>
    </row>
    <row r="8" spans="1:22" ht="15.75">
      <c r="A8" s="163">
        <f t="shared" si="0"/>
        <v>0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13">
        <v>7000</v>
      </c>
      <c r="L8" s="214"/>
      <c r="M8" s="1"/>
      <c r="N8" s="1"/>
      <c r="R8" s="3"/>
    </row>
    <row r="9" spans="1:22" ht="15.75">
      <c r="A9" s="163">
        <f t="shared" si="0"/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13">
        <v>659.77</v>
      </c>
      <c r="L9" s="214"/>
      <c r="M9" s="1"/>
      <c r="N9" s="1"/>
      <c r="R9" s="3"/>
    </row>
    <row r="10" spans="1:22" ht="15.75">
      <c r="A10" s="163">
        <f t="shared" si="0"/>
        <v>144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13">
        <v>1800.04</v>
      </c>
      <c r="L10" s="214"/>
      <c r="M10" s="1" t="s">
        <v>265</v>
      </c>
      <c r="N10" s="1"/>
      <c r="R10" s="3"/>
    </row>
    <row r="11" spans="1:22" ht="15.75">
      <c r="A11" s="163">
        <f>12*B11</f>
        <v>372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13">
        <f>220+20</f>
        <v>240</v>
      </c>
      <c r="L11" s="214"/>
      <c r="M11" s="1"/>
      <c r="N11" s="1"/>
      <c r="R11" s="3"/>
    </row>
    <row r="12" spans="1:22" ht="15.75">
      <c r="A12" s="163"/>
      <c r="B12" s="55">
        <v>20</v>
      </c>
      <c r="C12" s="33" t="s">
        <v>465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13">
        <v>5092.08</v>
      </c>
      <c r="L12" s="214"/>
      <c r="M12" s="140"/>
      <c r="N12" s="1"/>
      <c r="R12" s="3"/>
    </row>
    <row r="13" spans="1:22" ht="15.75">
      <c r="A13" s="163"/>
      <c r="B13" s="55">
        <v>-285</v>
      </c>
      <c r="C13" s="33" t="s">
        <v>469</v>
      </c>
      <c r="D13" s="57"/>
      <c r="E13" s="58"/>
      <c r="F13" s="58"/>
      <c r="G13" s="33"/>
      <c r="H13" s="1"/>
      <c r="I13" s="159"/>
      <c r="J13" s="158"/>
      <c r="K13" s="213"/>
      <c r="L13" s="214"/>
      <c r="M13" s="1"/>
      <c r="N13" s="1"/>
      <c r="R13" s="3"/>
    </row>
    <row r="14" spans="1:22" ht="15.75">
      <c r="A14" s="163">
        <f t="shared" si="0"/>
        <v>300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13"/>
      <c r="L14" s="214"/>
      <c r="M14" s="1"/>
      <c r="N14" s="1"/>
      <c r="R14" s="3"/>
    </row>
    <row r="15" spans="1:22" ht="15.75">
      <c r="A15" s="163">
        <f t="shared" si="0"/>
        <v>84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13"/>
      <c r="L15" s="214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13"/>
      <c r="L16" s="214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13"/>
      <c r="L17" s="214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29"/>
      <c r="L18" s="23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29">
        <f>SUM(K5:K18)</f>
        <v>24488.75</v>
      </c>
      <c r="L19" s="230"/>
      <c r="M19" s="1"/>
      <c r="N19" s="1"/>
      <c r="R19" s="3"/>
    </row>
    <row r="20" spans="1:18" ht="16.5" thickBot="1">
      <c r="A20" s="163">
        <f>SUM(A6:A15)</f>
        <v>6408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25" t="str">
        <f>'2018'!A21</f>
        <v>Waterloo</v>
      </c>
      <c r="C22" s="216"/>
      <c r="D22" s="216"/>
      <c r="E22" s="216"/>
      <c r="F22" s="216"/>
      <c r="G22" s="217"/>
      <c r="H22" s="1"/>
      <c r="I22" s="215" t="s">
        <v>6</v>
      </c>
      <c r="J22" s="216"/>
      <c r="K22" s="216"/>
      <c r="L22" s="217"/>
      <c r="M22" s="1"/>
      <c r="R22" s="3"/>
    </row>
    <row r="23" spans="1:18" ht="16.149999999999999" customHeight="1" thickBot="1">
      <c r="A23" s="1"/>
      <c r="B23" s="218"/>
      <c r="C23" s="219"/>
      <c r="D23" s="219"/>
      <c r="E23" s="219"/>
      <c r="F23" s="219"/>
      <c r="G23" s="220"/>
      <c r="H23" s="1"/>
      <c r="I23" s="218"/>
      <c r="J23" s="219"/>
      <c r="K23" s="219"/>
      <c r="L23" s="220"/>
      <c r="M23" s="1"/>
      <c r="R23" s="3"/>
    </row>
    <row r="24" spans="1:18" ht="15.75">
      <c r="A24" s="1"/>
      <c r="B24" s="226" t="s">
        <v>10</v>
      </c>
      <c r="C24" s="227"/>
      <c r="D24" s="228" t="s">
        <v>11</v>
      </c>
      <c r="E24" s="228"/>
      <c r="F24" s="228"/>
      <c r="G24" s="227"/>
      <c r="H24" s="1"/>
      <c r="I24" s="88" t="s">
        <v>33</v>
      </c>
      <c r="J24" s="32" t="s">
        <v>133</v>
      </c>
      <c r="K24" s="221" t="s">
        <v>134</v>
      </c>
      <c r="L24" s="22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519</v>
      </c>
      <c r="K25" s="223">
        <v>269.88</v>
      </c>
      <c r="L25" s="22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528</v>
      </c>
      <c r="K26" s="213">
        <v>49</v>
      </c>
      <c r="L26" s="214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13"/>
      <c r="L27" s="214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13"/>
      <c r="L28" s="214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13"/>
      <c r="L29" s="214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13"/>
      <c r="L30" s="214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13"/>
      <c r="L31" s="214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13"/>
      <c r="L32" s="214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13"/>
      <c r="L33" s="214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13"/>
      <c r="L34" s="214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13"/>
      <c r="L35" s="214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13"/>
      <c r="L36" s="214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13"/>
      <c r="L37" s="214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29"/>
      <c r="L38" s="23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25" t="str">
        <f>'2018'!A22</f>
        <v>Comida+Limpieza</v>
      </c>
      <c r="C42" s="216"/>
      <c r="D42" s="216"/>
      <c r="E42" s="216"/>
      <c r="F42" s="216"/>
      <c r="G42" s="217"/>
      <c r="H42" s="1"/>
      <c r="M42" s="1"/>
      <c r="R42" s="3"/>
    </row>
    <row r="43" spans="1:18" ht="16.149999999999999" customHeight="1" thickBot="1">
      <c r="A43" s="1"/>
      <c r="B43" s="218"/>
      <c r="C43" s="219"/>
      <c r="D43" s="219"/>
      <c r="E43" s="219"/>
      <c r="F43" s="219"/>
      <c r="G43" s="220"/>
      <c r="H43" s="1"/>
      <c r="M43" s="1"/>
      <c r="R43" s="3"/>
    </row>
    <row r="44" spans="1:18" ht="15.75">
      <c r="A44" s="1"/>
      <c r="B44" s="226" t="s">
        <v>10</v>
      </c>
      <c r="C44" s="227"/>
      <c r="D44" s="228" t="s">
        <v>11</v>
      </c>
      <c r="E44" s="228"/>
      <c r="F44" s="228"/>
      <c r="G44" s="227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534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521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522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525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526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537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539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544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546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547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548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568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567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566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25" t="str">
        <f>'2018'!A23</f>
        <v>Ocio</v>
      </c>
      <c r="C62" s="216"/>
      <c r="D62" s="216"/>
      <c r="E62" s="216"/>
      <c r="F62" s="216"/>
      <c r="G62" s="217"/>
      <c r="H62" s="1"/>
      <c r="M62" s="1"/>
      <c r="R62" s="3"/>
    </row>
    <row r="63" spans="1:18" ht="16.149999999999999" customHeight="1" thickBot="1">
      <c r="A63" s="1"/>
      <c r="B63" s="218"/>
      <c r="C63" s="219"/>
      <c r="D63" s="219"/>
      <c r="E63" s="219"/>
      <c r="F63" s="219"/>
      <c r="G63" s="220"/>
      <c r="H63" s="1"/>
      <c r="M63" s="1"/>
      <c r="R63" s="3"/>
    </row>
    <row r="64" spans="1:18" ht="15.75">
      <c r="A64" s="1"/>
      <c r="B64" s="226" t="s">
        <v>10</v>
      </c>
      <c r="C64" s="227"/>
      <c r="D64" s="228" t="s">
        <v>11</v>
      </c>
      <c r="E64" s="228"/>
      <c r="F64" s="228"/>
      <c r="G64" s="227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520</v>
      </c>
      <c r="H66" s="1"/>
      <c r="M66" s="1"/>
      <c r="R66" s="3"/>
    </row>
    <row r="67" spans="1:18" ht="15.75">
      <c r="A67" s="1"/>
      <c r="B67" s="55">
        <v>106.3</v>
      </c>
      <c r="C67" s="33" t="s">
        <v>488</v>
      </c>
      <c r="D67" s="57">
        <f>22.8</f>
        <v>22.8</v>
      </c>
      <c r="E67" s="58"/>
      <c r="F67" s="58">
        <v>3</v>
      </c>
      <c r="G67" s="70" t="s">
        <v>531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530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542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554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549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558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25" t="str">
        <f>'2018'!A24</f>
        <v>Transportes</v>
      </c>
      <c r="C82" s="216"/>
      <c r="D82" s="216"/>
      <c r="E82" s="216"/>
      <c r="F82" s="216"/>
      <c r="G82" s="217"/>
      <c r="H82" s="1"/>
      <c r="M82" s="1"/>
      <c r="R82" s="3"/>
    </row>
    <row r="83" spans="1:18" ht="16.149999999999999" customHeight="1" thickBot="1">
      <c r="A83" s="1"/>
      <c r="B83" s="218"/>
      <c r="C83" s="219"/>
      <c r="D83" s="219"/>
      <c r="E83" s="219"/>
      <c r="F83" s="219"/>
      <c r="G83" s="220"/>
      <c r="H83" s="1"/>
      <c r="M83" s="1"/>
      <c r="R83" s="3"/>
    </row>
    <row r="84" spans="1:18" ht="15.75">
      <c r="A84" s="1"/>
      <c r="B84" s="226" t="s">
        <v>10</v>
      </c>
      <c r="C84" s="227"/>
      <c r="D84" s="228" t="s">
        <v>11</v>
      </c>
      <c r="E84" s="228"/>
      <c r="F84" s="228"/>
      <c r="G84" s="227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527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551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556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557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25" t="str">
        <f>'2018'!A25</f>
        <v>Coche</v>
      </c>
      <c r="C102" s="216"/>
      <c r="D102" s="216"/>
      <c r="E102" s="216"/>
      <c r="F102" s="216"/>
      <c r="G102" s="217"/>
      <c r="H102" s="1"/>
      <c r="M102" s="1"/>
      <c r="R102" s="3"/>
    </row>
    <row r="103" spans="1:18" ht="16.149999999999999" customHeight="1" thickBot="1">
      <c r="A103" s="1"/>
      <c r="B103" s="218"/>
      <c r="C103" s="219"/>
      <c r="D103" s="219"/>
      <c r="E103" s="219"/>
      <c r="F103" s="219"/>
      <c r="G103" s="220"/>
      <c r="H103" s="1"/>
      <c r="M103" s="1"/>
      <c r="R103" s="3"/>
    </row>
    <row r="104" spans="1:18" ht="15.75">
      <c r="A104" s="1"/>
      <c r="B104" s="226" t="s">
        <v>10</v>
      </c>
      <c r="C104" s="227"/>
      <c r="D104" s="228" t="s">
        <v>11</v>
      </c>
      <c r="E104" s="228"/>
      <c r="F104" s="228"/>
      <c r="G104" s="227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25" t="str">
        <f>'2018'!A26</f>
        <v>Teléfono</v>
      </c>
      <c r="C122" s="216"/>
      <c r="D122" s="216"/>
      <c r="E122" s="216"/>
      <c r="F122" s="216"/>
      <c r="G122" s="217"/>
      <c r="H122" s="1"/>
      <c r="M122" s="1"/>
      <c r="R122" s="3"/>
    </row>
    <row r="123" spans="1:18" ht="16.149999999999999" customHeight="1" thickBot="1">
      <c r="A123" s="1"/>
      <c r="B123" s="218"/>
      <c r="C123" s="219"/>
      <c r="D123" s="219"/>
      <c r="E123" s="219"/>
      <c r="F123" s="219"/>
      <c r="G123" s="220"/>
      <c r="H123" s="1"/>
      <c r="M123" s="1"/>
      <c r="R123" s="3"/>
    </row>
    <row r="124" spans="1:18" ht="15.75">
      <c r="A124" s="1"/>
      <c r="B124" s="226" t="s">
        <v>10</v>
      </c>
      <c r="C124" s="227"/>
      <c r="D124" s="228" t="s">
        <v>11</v>
      </c>
      <c r="E124" s="228"/>
      <c r="F124" s="228"/>
      <c r="G124" s="227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25" t="str">
        <f>'2018'!A27</f>
        <v>Gatos</v>
      </c>
      <c r="C142" s="216"/>
      <c r="D142" s="216"/>
      <c r="E142" s="216"/>
      <c r="F142" s="216"/>
      <c r="G142" s="217"/>
      <c r="H142" s="1"/>
      <c r="M142" s="1"/>
      <c r="R142" s="3"/>
    </row>
    <row r="143" spans="1:18" ht="16.149999999999999" customHeight="1" thickBot="1">
      <c r="A143" s="1"/>
      <c r="B143" s="218"/>
      <c r="C143" s="219"/>
      <c r="D143" s="219"/>
      <c r="E143" s="219"/>
      <c r="F143" s="219"/>
      <c r="G143" s="220"/>
      <c r="H143" s="1"/>
      <c r="M143" s="1"/>
      <c r="R143" s="3"/>
    </row>
    <row r="144" spans="1:18" ht="15.75">
      <c r="A144" s="1"/>
      <c r="B144" s="226" t="s">
        <v>10</v>
      </c>
      <c r="C144" s="227"/>
      <c r="D144" s="228" t="s">
        <v>11</v>
      </c>
      <c r="E144" s="228"/>
      <c r="F144" s="228"/>
      <c r="G144" s="227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>
        <v>31.56</v>
      </c>
      <c r="E146" s="58"/>
      <c r="F146" s="58"/>
      <c r="G146" s="33" t="s">
        <v>535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536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537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544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25" t="str">
        <f>'2018'!A28</f>
        <v>Vacaciones</v>
      </c>
      <c r="C162" s="216"/>
      <c r="D162" s="216"/>
      <c r="E162" s="216"/>
      <c r="F162" s="216"/>
      <c r="G162" s="2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18"/>
      <c r="C163" s="219"/>
      <c r="D163" s="219"/>
      <c r="E163" s="219"/>
      <c r="F163" s="219"/>
      <c r="G163" s="2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26" t="s">
        <v>10</v>
      </c>
      <c r="C164" s="227"/>
      <c r="D164" s="228" t="s">
        <v>11</v>
      </c>
      <c r="E164" s="228"/>
      <c r="F164" s="228"/>
      <c r="G164" s="22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570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25" t="str">
        <f>'2018'!A29</f>
        <v>Ropa</v>
      </c>
      <c r="C182" s="216"/>
      <c r="D182" s="216"/>
      <c r="E182" s="216"/>
      <c r="F182" s="216"/>
      <c r="G182" s="2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18"/>
      <c r="C183" s="219"/>
      <c r="D183" s="219"/>
      <c r="E183" s="219"/>
      <c r="F183" s="219"/>
      <c r="G183" s="2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26" t="s">
        <v>10</v>
      </c>
      <c r="C184" s="227"/>
      <c r="D184" s="228" t="s">
        <v>11</v>
      </c>
      <c r="E184" s="228"/>
      <c r="F184" s="228"/>
      <c r="G184" s="2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515</v>
      </c>
      <c r="D187" s="57">
        <v>19</v>
      </c>
      <c r="E187" s="58"/>
      <c r="F187" s="58"/>
      <c r="G187" s="33" t="s">
        <v>553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25" t="str">
        <f>'2018'!A30</f>
        <v>Belleza</v>
      </c>
      <c r="C202" s="216"/>
      <c r="D202" s="216"/>
      <c r="E202" s="216"/>
      <c r="F202" s="216"/>
      <c r="G202" s="217"/>
    </row>
    <row r="203" spans="2:7" ht="15" customHeight="1" thickBot="1">
      <c r="B203" s="218"/>
      <c r="C203" s="219"/>
      <c r="D203" s="219"/>
      <c r="E203" s="219"/>
      <c r="F203" s="219"/>
      <c r="G203" s="220"/>
    </row>
    <row r="204" spans="2:7">
      <c r="B204" s="226" t="s">
        <v>10</v>
      </c>
      <c r="C204" s="227"/>
      <c r="D204" s="228" t="s">
        <v>11</v>
      </c>
      <c r="E204" s="228"/>
      <c r="F204" s="228"/>
      <c r="G204" s="227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523</v>
      </c>
    </row>
    <row r="207" spans="2:7">
      <c r="B207" s="55"/>
      <c r="C207" s="33"/>
      <c r="D207" s="57">
        <v>40.15</v>
      </c>
      <c r="E207" s="58"/>
      <c r="F207" s="58"/>
      <c r="G207" s="33" t="s">
        <v>540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552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25" t="str">
        <f>'2018'!A31</f>
        <v>Deportes</v>
      </c>
      <c r="C222" s="216"/>
      <c r="D222" s="216"/>
      <c r="E222" s="216"/>
      <c r="F222" s="216"/>
      <c r="G222" s="217"/>
    </row>
    <row r="223" spans="2:7" ht="15" customHeight="1" thickBot="1">
      <c r="B223" s="218"/>
      <c r="C223" s="219"/>
      <c r="D223" s="219"/>
      <c r="E223" s="219"/>
      <c r="F223" s="219"/>
      <c r="G223" s="220"/>
    </row>
    <row r="224" spans="2:7">
      <c r="B224" s="226" t="s">
        <v>10</v>
      </c>
      <c r="C224" s="227"/>
      <c r="D224" s="228" t="s">
        <v>11</v>
      </c>
      <c r="E224" s="228"/>
      <c r="F224" s="228"/>
      <c r="G224" s="227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25" t="str">
        <f>'2018'!A32</f>
        <v>Hogar</v>
      </c>
      <c r="C242" s="216"/>
      <c r="D242" s="216"/>
      <c r="E242" s="216"/>
      <c r="F242" s="216"/>
      <c r="G242" s="217"/>
    </row>
    <row r="243" spans="2:7" ht="15" customHeight="1" thickBot="1">
      <c r="B243" s="218"/>
      <c r="C243" s="219"/>
      <c r="D243" s="219"/>
      <c r="E243" s="219"/>
      <c r="F243" s="219"/>
      <c r="G243" s="220"/>
    </row>
    <row r="244" spans="2:7" ht="15" customHeight="1">
      <c r="B244" s="226" t="s">
        <v>10</v>
      </c>
      <c r="C244" s="227"/>
      <c r="D244" s="228" t="s">
        <v>11</v>
      </c>
      <c r="E244" s="228"/>
      <c r="F244" s="228"/>
      <c r="G244" s="227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516</v>
      </c>
      <c r="D246" s="57">
        <v>12.46</v>
      </c>
      <c r="E246" s="58"/>
      <c r="F246" s="58"/>
      <c r="G246" s="33" t="s">
        <v>524</v>
      </c>
    </row>
    <row r="247" spans="2:7" ht="15" customHeight="1">
      <c r="B247" s="55">
        <v>566.59</v>
      </c>
      <c r="C247" s="33" t="s">
        <v>515</v>
      </c>
      <c r="D247" s="57">
        <f>34.65-D286-D147</f>
        <v>23.169999999999998</v>
      </c>
      <c r="E247" s="58"/>
      <c r="F247" s="58"/>
      <c r="G247" s="33" t="s">
        <v>536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25" t="str">
        <f>'2018'!A33</f>
        <v>Formación</v>
      </c>
      <c r="C262" s="216"/>
      <c r="D262" s="216"/>
      <c r="E262" s="216"/>
      <c r="F262" s="216"/>
      <c r="G262" s="217"/>
    </row>
    <row r="263" spans="2:7" ht="15" customHeight="1" thickBot="1">
      <c r="B263" s="218"/>
      <c r="C263" s="219"/>
      <c r="D263" s="219"/>
      <c r="E263" s="219"/>
      <c r="F263" s="219"/>
      <c r="G263" s="220"/>
    </row>
    <row r="264" spans="2:7">
      <c r="B264" s="226" t="s">
        <v>10</v>
      </c>
      <c r="C264" s="227"/>
      <c r="D264" s="228" t="s">
        <v>11</v>
      </c>
      <c r="E264" s="228"/>
      <c r="F264" s="228"/>
      <c r="G264" s="227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516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25" t="str">
        <f>'2018'!A34</f>
        <v>Regalos</v>
      </c>
      <c r="C282" s="216"/>
      <c r="D282" s="216"/>
      <c r="E282" s="216"/>
      <c r="F282" s="216"/>
      <c r="G282" s="217"/>
    </row>
    <row r="283" spans="2:7" ht="15" customHeight="1" thickBot="1">
      <c r="B283" s="218"/>
      <c r="C283" s="219"/>
      <c r="D283" s="219"/>
      <c r="E283" s="219"/>
      <c r="F283" s="219"/>
      <c r="G283" s="220"/>
    </row>
    <row r="284" spans="2:7">
      <c r="B284" s="226" t="s">
        <v>10</v>
      </c>
      <c r="C284" s="227"/>
      <c r="D284" s="228" t="s">
        <v>11</v>
      </c>
      <c r="E284" s="228"/>
      <c r="F284" s="228"/>
      <c r="G284" s="227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538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25" t="str">
        <f>'2018'!A35</f>
        <v>Salud</v>
      </c>
      <c r="C302" s="216"/>
      <c r="D302" s="216"/>
      <c r="E302" s="216"/>
      <c r="F302" s="216"/>
      <c r="G302" s="217"/>
    </row>
    <row r="303" spans="2:7" ht="15" customHeight="1" thickBot="1">
      <c r="B303" s="218"/>
      <c r="C303" s="219"/>
      <c r="D303" s="219"/>
      <c r="E303" s="219"/>
      <c r="F303" s="219"/>
      <c r="G303" s="220"/>
    </row>
    <row r="304" spans="2:7">
      <c r="B304" s="226" t="s">
        <v>10</v>
      </c>
      <c r="C304" s="227"/>
      <c r="D304" s="228" t="s">
        <v>11</v>
      </c>
      <c r="E304" s="228"/>
      <c r="F304" s="228"/>
      <c r="G304" s="227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474</v>
      </c>
      <c r="D306" s="57">
        <v>125</v>
      </c>
      <c r="E306" s="58"/>
      <c r="F306" s="58"/>
      <c r="G306" s="33" t="s">
        <v>564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25" t="str">
        <f>'2018'!A36</f>
        <v>Martina</v>
      </c>
      <c r="C322" s="216"/>
      <c r="D322" s="216"/>
      <c r="E322" s="216"/>
      <c r="F322" s="216"/>
      <c r="G322" s="217"/>
    </row>
    <row r="323" spans="2:7" ht="15" customHeight="1" thickBot="1">
      <c r="B323" s="218"/>
      <c r="C323" s="219"/>
      <c r="D323" s="219"/>
      <c r="E323" s="219"/>
      <c r="F323" s="219"/>
      <c r="G323" s="220"/>
    </row>
    <row r="324" spans="2:7">
      <c r="B324" s="226" t="s">
        <v>10</v>
      </c>
      <c r="C324" s="227"/>
      <c r="D324" s="228" t="s">
        <v>11</v>
      </c>
      <c r="E324" s="228"/>
      <c r="F324" s="228"/>
      <c r="G324" s="227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516</v>
      </c>
      <c r="D326" s="57">
        <v>4.3499999999999996</v>
      </c>
      <c r="E326" s="58"/>
      <c r="F326" s="58"/>
      <c r="G326" s="33" t="s">
        <v>559</v>
      </c>
    </row>
    <row r="327" spans="2:7">
      <c r="B327" s="55">
        <v>0.02</v>
      </c>
      <c r="C327" s="33" t="s">
        <v>517</v>
      </c>
      <c r="D327" s="57"/>
      <c r="E327" s="58"/>
      <c r="F327" s="58"/>
      <c r="G327" s="33"/>
    </row>
    <row r="328" spans="2:7">
      <c r="B328" s="55">
        <v>241.71</v>
      </c>
      <c r="C328" s="33" t="s">
        <v>515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25" t="str">
        <f>'2018'!A37</f>
        <v>Impuestos</v>
      </c>
      <c r="C342" s="216"/>
      <c r="D342" s="216"/>
      <c r="E342" s="216"/>
      <c r="F342" s="216"/>
      <c r="G342" s="217"/>
    </row>
    <row r="343" spans="2:7" ht="15" customHeight="1" thickBot="1">
      <c r="B343" s="218"/>
      <c r="C343" s="219"/>
      <c r="D343" s="219"/>
      <c r="E343" s="219"/>
      <c r="F343" s="219"/>
      <c r="G343" s="220"/>
    </row>
    <row r="344" spans="2:7">
      <c r="B344" s="226" t="s">
        <v>10</v>
      </c>
      <c r="C344" s="227"/>
      <c r="D344" s="228" t="s">
        <v>11</v>
      </c>
      <c r="E344" s="228"/>
      <c r="F344" s="228"/>
      <c r="G344" s="227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476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25" t="str">
        <f>'2018'!A38</f>
        <v>Gastos Curros</v>
      </c>
      <c r="C362" s="216"/>
      <c r="D362" s="216"/>
      <c r="E362" s="216"/>
      <c r="F362" s="216"/>
      <c r="G362" s="217"/>
    </row>
    <row r="363" spans="2:7" ht="15" customHeight="1" thickBot="1">
      <c r="B363" s="218"/>
      <c r="C363" s="219"/>
      <c r="D363" s="219"/>
      <c r="E363" s="219"/>
      <c r="F363" s="219"/>
      <c r="G363" s="220"/>
    </row>
    <row r="364" spans="2:7">
      <c r="B364" s="226" t="s">
        <v>10</v>
      </c>
      <c r="C364" s="227"/>
      <c r="D364" s="228" t="s">
        <v>11</v>
      </c>
      <c r="E364" s="228"/>
      <c r="F364" s="228"/>
      <c r="G364" s="227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513</v>
      </c>
      <c r="D367" s="57">
        <v>40.49</v>
      </c>
      <c r="E367" s="58"/>
      <c r="F367" s="58"/>
      <c r="G367" s="70" t="s">
        <v>541</v>
      </c>
    </row>
    <row r="368" spans="2:7">
      <c r="B368" s="55"/>
      <c r="C368" s="33"/>
      <c r="D368" s="57"/>
      <c r="E368" s="58">
        <v>57.65</v>
      </c>
      <c r="F368" s="58"/>
      <c r="G368" s="33" t="s">
        <v>543</v>
      </c>
    </row>
    <row r="369" spans="2:7">
      <c r="B369" s="55"/>
      <c r="C369" s="33"/>
      <c r="D369" s="57"/>
      <c r="E369" s="58"/>
      <c r="F369" s="58">
        <v>2.85</v>
      </c>
      <c r="G369" s="33" t="s">
        <v>555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25" t="str">
        <f>'2018'!A39</f>
        <v>Dreamed Holidays</v>
      </c>
      <c r="C382" s="216"/>
      <c r="D382" s="216"/>
      <c r="E382" s="216"/>
      <c r="F382" s="216"/>
      <c r="G382" s="217"/>
    </row>
    <row r="383" spans="2:7" ht="15" customHeight="1" thickBot="1">
      <c r="B383" s="218"/>
      <c r="C383" s="219"/>
      <c r="D383" s="219"/>
      <c r="E383" s="219"/>
      <c r="F383" s="219"/>
      <c r="G383" s="220"/>
    </row>
    <row r="384" spans="2:7">
      <c r="B384" s="226" t="s">
        <v>10</v>
      </c>
      <c r="C384" s="227"/>
      <c r="D384" s="228" t="s">
        <v>11</v>
      </c>
      <c r="E384" s="228"/>
      <c r="F384" s="228"/>
      <c r="G384" s="227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25" t="str">
        <f>'2018'!A40</f>
        <v>Financieros</v>
      </c>
      <c r="C402" s="216"/>
      <c r="D402" s="216"/>
      <c r="E402" s="216"/>
      <c r="F402" s="216"/>
      <c r="G402" s="217"/>
    </row>
    <row r="403" spans="2:7" ht="15" customHeight="1" thickBot="1">
      <c r="B403" s="218"/>
      <c r="C403" s="219"/>
      <c r="D403" s="219"/>
      <c r="E403" s="219"/>
      <c r="F403" s="219"/>
      <c r="G403" s="220"/>
    </row>
    <row r="404" spans="2:7">
      <c r="B404" s="226" t="s">
        <v>10</v>
      </c>
      <c r="C404" s="227"/>
      <c r="D404" s="228" t="s">
        <v>11</v>
      </c>
      <c r="E404" s="228"/>
      <c r="F404" s="228"/>
      <c r="G404" s="227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25" t="str">
        <f>'2018'!A41</f>
        <v>Ahorros Colchón</v>
      </c>
      <c r="C422" s="231"/>
      <c r="D422" s="231"/>
      <c r="E422" s="231"/>
      <c r="F422" s="231"/>
      <c r="G422" s="232"/>
    </row>
    <row r="423" spans="2:7" ht="15" customHeight="1" thickBot="1">
      <c r="B423" s="233"/>
      <c r="C423" s="234"/>
      <c r="D423" s="234"/>
      <c r="E423" s="234"/>
      <c r="F423" s="234"/>
      <c r="G423" s="235"/>
    </row>
    <row r="424" spans="2:7">
      <c r="B424" s="226" t="s">
        <v>10</v>
      </c>
      <c r="C424" s="227"/>
      <c r="D424" s="228" t="s">
        <v>11</v>
      </c>
      <c r="E424" s="228"/>
      <c r="F424" s="228"/>
      <c r="G424" s="227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25" t="str">
        <f>'2018'!A42</f>
        <v>Dinero Bloqueado</v>
      </c>
      <c r="C442" s="231"/>
      <c r="D442" s="231"/>
      <c r="E442" s="231"/>
      <c r="F442" s="231"/>
      <c r="G442" s="232"/>
    </row>
    <row r="443" spans="2:7" ht="15" customHeight="1" thickBot="1">
      <c r="B443" s="233"/>
      <c r="C443" s="234"/>
      <c r="D443" s="234"/>
      <c r="E443" s="234"/>
      <c r="F443" s="234"/>
      <c r="G443" s="235"/>
    </row>
    <row r="444" spans="2:7">
      <c r="B444" s="226" t="s">
        <v>10</v>
      </c>
      <c r="C444" s="227"/>
      <c r="D444" s="228" t="s">
        <v>11</v>
      </c>
      <c r="E444" s="228"/>
      <c r="F444" s="228"/>
      <c r="G444" s="227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25" t="str">
        <f>'2018'!A43</f>
        <v>Cartama Finanazas</v>
      </c>
      <c r="C462" s="231"/>
      <c r="D462" s="231"/>
      <c r="E462" s="231"/>
      <c r="F462" s="231"/>
      <c r="G462" s="232"/>
    </row>
    <row r="463" spans="2:7" ht="15" customHeight="1" thickBot="1">
      <c r="B463" s="233"/>
      <c r="C463" s="234"/>
      <c r="D463" s="234"/>
      <c r="E463" s="234"/>
      <c r="F463" s="234"/>
      <c r="G463" s="235"/>
    </row>
    <row r="464" spans="2:7">
      <c r="B464" s="226" t="s">
        <v>10</v>
      </c>
      <c r="C464" s="227"/>
      <c r="D464" s="228" t="s">
        <v>11</v>
      </c>
      <c r="E464" s="228"/>
      <c r="F464" s="228"/>
      <c r="G464" s="227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486</v>
      </c>
      <c r="D466" s="57"/>
      <c r="E466" s="58"/>
      <c r="F466" s="58"/>
      <c r="G466" s="33"/>
    </row>
    <row r="467" spans="2:7">
      <c r="B467" s="55">
        <v>285</v>
      </c>
      <c r="C467" s="33" t="s">
        <v>469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25" t="str">
        <f>'2018'!A44</f>
        <v>NULO</v>
      </c>
      <c r="C482" s="231"/>
      <c r="D482" s="231"/>
      <c r="E482" s="231"/>
      <c r="F482" s="231"/>
      <c r="G482" s="232"/>
    </row>
    <row r="483" spans="2:7" ht="15" customHeight="1" thickBot="1">
      <c r="B483" s="233"/>
      <c r="C483" s="234"/>
      <c r="D483" s="234"/>
      <c r="E483" s="234"/>
      <c r="F483" s="234"/>
      <c r="G483" s="235"/>
    </row>
    <row r="484" spans="2:7">
      <c r="B484" s="226" t="s">
        <v>10</v>
      </c>
      <c r="C484" s="227"/>
      <c r="D484" s="228" t="s">
        <v>11</v>
      </c>
      <c r="E484" s="228"/>
      <c r="F484" s="228"/>
      <c r="G484" s="227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25" t="str">
        <f>'2018'!A45</f>
        <v>OTROS</v>
      </c>
      <c r="C502" s="231"/>
      <c r="D502" s="231"/>
      <c r="E502" s="231"/>
      <c r="F502" s="231"/>
      <c r="G502" s="232"/>
    </row>
    <row r="503" spans="2:7" ht="15" customHeight="1" thickBot="1">
      <c r="B503" s="233"/>
      <c r="C503" s="234"/>
      <c r="D503" s="234"/>
      <c r="E503" s="234"/>
      <c r="F503" s="234"/>
      <c r="G503" s="235"/>
    </row>
    <row r="504" spans="2:7">
      <c r="B504" s="226" t="s">
        <v>10</v>
      </c>
      <c r="C504" s="227"/>
      <c r="D504" s="228" t="s">
        <v>11</v>
      </c>
      <c r="E504" s="228"/>
      <c r="F504" s="228"/>
      <c r="G504" s="227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2018-09-21T15:53:19Z</dcterms:modified>
</cp:coreProperties>
</file>