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defaultThemeVersion="124226"/>
  <xr:revisionPtr revIDLastSave="0" documentId="13_ncr:1_{858A4D8B-6D64-4644-B121-F19207A7331F}" xr6:coauthVersionLast="36" xr6:coauthVersionMax="36" xr10:uidLastSave="{00000000-0000-0000-0000-000000000000}"/>
  <bookViews>
    <workbookView xWindow="0" yWindow="0" windowWidth="27330" windowHeight="5790" firstSheet="1" activeTab="1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79" i="1" l="1"/>
  <c r="Z80" i="1"/>
  <c r="Z81" i="1"/>
  <c r="Z78" i="1"/>
  <c r="F366" i="7"/>
  <c r="E268" i="7"/>
  <c r="D248" i="7"/>
  <c r="D368" i="7"/>
  <c r="A258" i="8"/>
  <c r="A257" i="8"/>
  <c r="A256" i="8"/>
  <c r="F267" i="7" l="1"/>
  <c r="D51" i="7" l="1"/>
  <c r="D367" i="7"/>
  <c r="D366" i="7"/>
  <c r="D89" i="7"/>
  <c r="H289" i="7" l="1"/>
  <c r="E287" i="7"/>
  <c r="A258" i="7" l="1"/>
  <c r="A260" i="6"/>
  <c r="A256" i="7"/>
  <c r="A257" i="7"/>
  <c r="A257" i="6" l="1"/>
  <c r="E257" i="6"/>
  <c r="P32" i="18"/>
  <c r="A66" i="7"/>
  <c r="D87" i="7"/>
  <c r="A468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8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46" i="8"/>
  <c r="B60" i="8" s="1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5" i="8"/>
  <c r="K19" i="8" s="1"/>
  <c r="L20" i="8" s="1"/>
  <c r="B409" i="6"/>
  <c r="B109" i="6"/>
  <c r="A430" i="6"/>
  <c r="K12" i="7"/>
  <c r="K5" i="7"/>
  <c r="D226" i="6"/>
  <c r="M5" i="7"/>
  <c r="S19" i="18" l="1"/>
  <c r="S13" i="18"/>
  <c r="D308" i="6"/>
  <c r="B3" i="19" l="1"/>
  <c r="B7" i="19" s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27" i="18" l="1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36" i="18"/>
  <c r="X36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H13" i="18"/>
  <c r="I13" i="18" s="1"/>
  <c r="J13" i="18" s="1"/>
  <c r="H5" i="18"/>
  <c r="M5" i="18" s="1"/>
  <c r="H4" i="18"/>
  <c r="M4" i="18" s="1"/>
  <c r="H3" i="18"/>
  <c r="I3" i="18" s="1"/>
  <c r="J3" i="18" s="1"/>
  <c r="O3" i="18" l="1"/>
  <c r="I4" i="18"/>
  <c r="J4" i="18" s="1"/>
  <c r="I25" i="18"/>
  <c r="J25" i="18" s="1"/>
  <c r="M3" i="18"/>
  <c r="N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P25" i="18"/>
  <c r="Q25" i="18" s="1"/>
  <c r="E3" i="18"/>
  <c r="E25" i="18"/>
  <c r="X25" i="18" s="1"/>
  <c r="B46" i="7"/>
  <c r="E33" i="18" l="1"/>
  <c r="X33" i="18" s="1"/>
  <c r="J33" i="18"/>
  <c r="O33" i="18" s="1"/>
  <c r="X35" i="18"/>
  <c r="Q3" i="18"/>
  <c r="O28" i="18"/>
  <c r="O42" i="18" s="1"/>
  <c r="W42" i="18"/>
  <c r="D42" i="18"/>
  <c r="J42" i="18"/>
  <c r="N42" i="18"/>
  <c r="E35" i="18"/>
  <c r="E19" i="18"/>
  <c r="X19" i="18" s="1"/>
  <c r="O4" i="18"/>
  <c r="E4" i="18"/>
  <c r="E28" i="18"/>
  <c r="X28" i="18" s="1"/>
  <c r="J5" i="18"/>
  <c r="O5" i="18" s="1"/>
  <c r="P33" i="18"/>
  <c r="Q33" i="18" s="1"/>
  <c r="P35" i="18"/>
  <c r="A109" i="6"/>
  <c r="D51" i="6"/>
  <c r="Q35" i="18" l="1"/>
  <c r="D7" i="19"/>
  <c r="X42" i="18"/>
  <c r="E42" i="18"/>
  <c r="P4" i="18"/>
  <c r="Q4" i="18" s="1"/>
  <c r="E5" i="18"/>
  <c r="P28" i="18"/>
  <c r="A429" i="6"/>
  <c r="D6" i="19" l="1"/>
  <c r="D5" i="19"/>
  <c r="D4" i="19"/>
  <c r="D3" i="19"/>
  <c r="Q28" i="18"/>
  <c r="S28" i="18" s="1"/>
  <c r="P42" i="18"/>
  <c r="P5" i="18"/>
  <c r="Q5" i="18" s="1"/>
  <c r="A256" i="6"/>
  <c r="A258" i="6"/>
  <c r="A259" i="6"/>
  <c r="Q42" i="18" l="1"/>
  <c r="Y42" i="18"/>
  <c r="Z42" i="18" s="1"/>
  <c r="G22" i="17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46" i="6" l="1"/>
  <c r="A246" i="7" s="1"/>
  <c r="A260" i="7" l="1"/>
  <c r="A246" i="8"/>
  <c r="A260" i="8" s="1"/>
  <c r="A468" i="5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l="1"/>
  <c r="A140" i="6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80" i="7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C25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5" l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60" i="5" l="1"/>
</calcChain>
</file>

<file path=xl/sharedStrings.xml><?xml version="1.0" encoding="utf-8"?>
<sst xmlns="http://schemas.openxmlformats.org/spreadsheetml/2006/main" count="5431" uniqueCount="677">
  <si>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</si>
  <si>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</si>
  <si>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</si>
  <si>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</si>
  <si>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</si>
  <si>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</si>
  <si>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</si>
  <si>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</si>
  <si>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</si>
  <si>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</si>
  <si>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</si>
  <si>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</si>
  <si>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</si>
  <si>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</si>
  <si>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</si>
  <si>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</si>
  <si>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</si>
  <si>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</si>
  <si>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</si>
  <si>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</si>
  <si>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</si>
  <si>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</si>
  <si>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</si>
  <si>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</si>
  <si>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</si>
  <si>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</si>
  <si>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</si>
  <si>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</si>
  <si>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</si>
  <si>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</si>
  <si>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</si>
  <si>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</si>
  <si>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</si>
  <si>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</si>
  <si>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</si>
  <si>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</si>
  <si>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</si>
  <si>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</si>
  <si>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</si>
  <si>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</si>
  <si>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</si>
  <si>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</si>
  <si>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</si>
  <si>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</si>
  <si>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</si>
  <si>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</si>
  <si>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</si>
  <si>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</si>
  <si>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</si>
  <si>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</si>
  <si>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</si>
  <si>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</si>
  <si>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</si>
  <si>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</si>
  <si>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</si>
  <si>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</si>
  <si>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</si>
  <si>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</si>
  <si>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</si>
  <si>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</si>
  <si>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</si>
  <si>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</si>
  <si>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</si>
  <si>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</si>
  <si>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</si>
  <si>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</si>
  <si>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</si>
  <si>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</si>
  <si>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</si>
  <si>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</si>
  <si>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</si>
  <si>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</si>
  <si>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</si>
  <si>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</si>
  <si>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</si>
  <si>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</si>
  <si>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</si>
  <si>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</si>
  <si>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</si>
  <si>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</si>
  <si>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</si>
  <si>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</si>
  <si>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</si>
  <si>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</si>
  <si>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</si>
  <si>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</si>
  <si>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</si>
  <si>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</si>
  <si>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</si>
  <si>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</si>
  <si>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</si>
  <si>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</si>
  <si>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</si>
  <si>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</si>
  <si>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</si>
  <si>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</si>
  <si>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</si>
  <si>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</si>
  <si>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</si>
  <si>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</si>
  <si>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</si>
  <si>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</si>
  <si>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</si>
  <si>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</si>
  <si>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</si>
  <si>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</si>
  <si>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</si>
  <si>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</si>
  <si>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</si>
  <si>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</si>
  <si>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</si>
  <si>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</si>
  <si>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</si>
  <si>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</si>
  <si>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</si>
  <si>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</si>
  <si>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</si>
  <si>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</si>
  <si>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</si>
  <si>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</si>
  <si>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</si>
  <si>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</si>
  <si>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</si>
  <si>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</si>
  <si>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</si>
  <si>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</si>
  <si>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</si>
  <si>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</si>
  <si>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</si>
  <si>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</si>
  <si>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</si>
  <si>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</si>
  <si>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</si>
  <si>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</si>
  <si>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</si>
  <si>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</si>
  <si>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</si>
  <si>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</si>
  <si>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</si>
  <si>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</si>
  <si>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</si>
  <si>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</si>
  <si>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</si>
  <si>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</si>
  <si>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</si>
  <si>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</si>
  <si>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</si>
  <si>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</si>
  <si>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</si>
  <si>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</si>
  <si>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</si>
  <si>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</si>
  <si>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</si>
  <si>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</si>
  <si>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</si>
  <si>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</si>
  <si>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</si>
  <si>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</si>
  <si>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</si>
  <si>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</si>
  <si>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</si>
  <si>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</si>
  <si>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</si>
  <si>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</si>
  <si>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</si>
  <si>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</si>
  <si>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</si>
  <si>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</si>
  <si>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</si>
  <si>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</si>
  <si>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</si>
  <si>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</si>
  <si>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</si>
  <si>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</si>
  <si>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</si>
  <si>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</si>
  <si>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</si>
  <si>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</si>
  <si>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</si>
  <si>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</si>
  <si>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</si>
  <si>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</si>
  <si>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</si>
  <si>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</si>
  <si>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</si>
  <si>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</si>
  <si>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</si>
  <si>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</si>
  <si>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</si>
  <si>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</si>
  <si>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</si>
  <si>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</si>
  <si>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</si>
  <si>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</si>
  <si>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</si>
  <si>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</si>
  <si>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</si>
  <si>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</si>
  <si>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</si>
  <si>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</si>
  <si>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</si>
  <si>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</si>
  <si>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</si>
  <si>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</si>
  <si>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</si>
  <si>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</si>
  <si>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</si>
  <si>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</si>
  <si>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</si>
  <si>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</si>
  <si>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</si>
  <si>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</si>
  <si>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</si>
  <si>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</si>
  <si>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</si>
  <si>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</si>
  <si>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</si>
  <si>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</si>
  <si>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</si>
  <si>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</si>
  <si>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</si>
  <si>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</si>
  <si>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</si>
  <si>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</si>
  <si>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</si>
  <si>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</si>
  <si>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</si>
  <si>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</si>
  <si>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</si>
  <si>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</si>
  <si>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</si>
  <si>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</si>
  <si>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</si>
  <si>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</si>
  <si>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</si>
  <si>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</si>
  <si>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</si>
  <si>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</si>
  <si>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</si>
  <si>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</si>
  <si>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</si>
  <si>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</si>
  <si>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</si>
  <si>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</si>
  <si>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</si>
  <si>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</si>
  <si>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</si>
  <si>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</si>
  <si>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</si>
  <si>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</si>
  <si>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</si>
  <si>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</si>
  <si>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</si>
  <si>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</si>
  <si>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</si>
  <si>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</si>
  <si>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</si>
  <si>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</si>
  <si>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</si>
  <si>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</si>
  <si>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</si>
  <si>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</si>
  <si>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</si>
  <si>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</si>
  <si>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</si>
  <si>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</si>
  <si>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</si>
  <si>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</si>
  <si>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</si>
  <si>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</si>
  <si>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</si>
  <si>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</si>
  <si>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</si>
  <si>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</si>
  <si>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</si>
  <si>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</si>
  <si>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</si>
  <si>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</si>
  <si>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</si>
  <si>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</si>
  <si>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</si>
  <si>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</si>
  <si>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</si>
  <si>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</si>
  <si>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</si>
  <si>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</si>
  <si>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</si>
  <si>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</si>
  <si>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</si>
  <si>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</si>
  <si>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</si>
  <si>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</si>
  <si>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</si>
  <si>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</si>
  <si>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</si>
  <si>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</si>
  <si>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</si>
  <si>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</si>
  <si>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</si>
  <si>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</si>
  <si>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</si>
  <si>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</si>
  <si>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</si>
  <si>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</si>
  <si>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</si>
  <si>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</si>
  <si>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</si>
  <si>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</si>
  <si>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</si>
  <si>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</si>
  <si>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</si>
  <si>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</si>
  <si>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</si>
  <si>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</si>
  <si>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</si>
  <si>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</si>
  <si>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</si>
  <si>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</si>
  <si>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</si>
  <si>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</si>
  <si>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</si>
  <si>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</si>
  <si>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</si>
  <si>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</si>
  <si>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</si>
  <si>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</si>
  <si>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</si>
  <si>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</si>
  <si>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</si>
  <si>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</si>
  <si>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</si>
  <si>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</si>
  <si>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</si>
  <si>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</si>
  <si>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</si>
  <si>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</si>
  <si>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</si>
  <si>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</si>
  <si>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</si>
  <si>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</si>
  <si>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</si>
  <si>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</si>
  <si>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</si>
  <si>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</si>
  <si>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</si>
  <si>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</si>
  <si>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</si>
  <si>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</si>
  <si>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</si>
  <si>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</si>
  <si>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</si>
  <si>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</si>
  <si>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</si>
  <si>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</si>
  <si>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</si>
  <si>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</si>
  <si>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</si>
  <si>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</si>
  <si>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</si>
  <si>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</si>
  <si>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</si>
  <si>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</si>
  <si>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</si>
  <si>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</si>
  <si>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</si>
  <si>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</si>
  <si>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</si>
  <si>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</si>
  <si>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</si>
  <si>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</si>
  <si>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</si>
  <si>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</si>
  <si>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</si>
  <si>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</si>
  <si>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</si>
  <si>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</si>
  <si>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</si>
  <si>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</si>
  <si>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</si>
  <si>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</si>
  <si>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</si>
  <si>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</si>
  <si>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</si>
  <si>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</si>
  <si>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</si>
  <si>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</si>
  <si>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</si>
  <si>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</si>
  <si>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</si>
  <si>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</si>
  <si>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</si>
  <si>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</si>
  <si>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</si>
  <si>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</si>
  <si>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</si>
  <si>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</si>
  <si>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</si>
  <si>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</si>
  <si>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</si>
  <si>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</si>
  <si>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</si>
  <si>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</si>
  <si>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</si>
  <si>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</si>
  <si>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</si>
  <si>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</si>
  <si>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</si>
  <si>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</si>
  <si>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</si>
  <si>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</si>
  <si>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</si>
  <si>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</si>
  <si>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</si>
  <si>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</si>
  <si>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</si>
  <si>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</si>
  <si>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</si>
  <si>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</si>
  <si>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</si>
  <si>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</si>
  <si>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</si>
  <si>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</si>
  <si>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</si>
  <si>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</si>
  <si>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</si>
  <si>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</si>
  <si>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</si>
  <si>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</si>
  <si>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</si>
  <si>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</si>
  <si>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</si>
  <si>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</si>
  <si>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</si>
  <si>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</si>
  <si>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</si>
  <si>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</si>
  <si>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</si>
  <si>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</si>
  <si>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</si>
  <si>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</si>
  <si>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</si>
  <si>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</si>
  <si>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</si>
  <si>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</si>
  <si>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</si>
  <si>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</si>
  <si>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</si>
  <si>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</si>
  <si>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</si>
  <si>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</si>
  <si>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</si>
  <si>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</si>
  <si>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</si>
  <si>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</si>
  <si>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</si>
  <si>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</si>
  <si>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</si>
  <si>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</si>
  <si>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</si>
  <si>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</si>
  <si>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</si>
  <si>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</si>
  <si>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</si>
  <si>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</si>
  <si>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</si>
  <si>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</si>
  <si>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</si>
  <si>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</si>
  <si>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</si>
  <si>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</si>
  <si>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</si>
  <si>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</si>
  <si>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</si>
  <si>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</si>
  <si>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</si>
  <si>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</si>
  <si>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</si>
  <si>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</si>
  <si>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</si>
  <si>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</si>
  <si>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</si>
  <si>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</si>
  <si>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</si>
  <si>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</si>
  <si>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</si>
  <si>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</si>
  <si>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184€ Cheques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</si>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</sst>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  <xf numFmtId="49" fontId="4" fillId="0" borderId="29" xfId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  <xf numFmtId="49" fontId="4" fillId="0" borderId="29" xfId="1" quotePrefix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9" zoomScaleNormal="100" workbookViewId="0">
      <pane xSplit="1" topLeftCell="T1" activePane="topRight" state="frozen"/>
      <selection pane="topRight" activeCell="Y31" sqref="Y3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71</v>
      </c>
      <c r="T4" s="354"/>
      <c r="U4" s="354"/>
      <c r="V4" s="355"/>
      <c r="W4" s="353" t="s">
        <v>70</v>
      </c>
      <c r="X4" s="354"/>
      <c r="Y4" s="354"/>
      <c r="Z4" s="355"/>
      <c r="AA4" s="353" t="s">
        <v>72</v>
      </c>
      <c r="AB4" s="354"/>
      <c r="AC4" s="354"/>
      <c r="AD4" s="355"/>
      <c r="AE4" s="353" t="s">
        <v>73</v>
      </c>
      <c r="AF4" s="354"/>
      <c r="AG4" s="354"/>
      <c r="AH4" s="355"/>
      <c r="AI4" s="353" t="s">
        <v>75</v>
      </c>
      <c r="AJ4" s="354"/>
      <c r="AK4" s="354"/>
      <c r="AL4" s="355"/>
      <c r="AM4" s="353" t="s">
        <v>77</v>
      </c>
      <c r="AN4" s="354"/>
      <c r="AO4" s="354"/>
      <c r="AP4" s="355"/>
      <c r="AQ4" s="353" t="s">
        <v>79</v>
      </c>
      <c r="AR4" s="354"/>
      <c r="AS4" s="354"/>
      <c r="AT4" s="355"/>
      <c r="AU4" s="353" t="s">
        <v>84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26383.54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29615.1</v>
      </c>
      <c r="AB5" s="357"/>
      <c r="AC5" s="357"/>
      <c r="AD5" s="358"/>
      <c r="AE5" s="363">
        <f>'08'!K19</f>
        <v>15101.890000000001</v>
      </c>
      <c r="AF5" s="357"/>
      <c r="AG5" s="357"/>
      <c r="AH5" s="358"/>
      <c r="AI5" s="363">
        <f>'09'!K19</f>
        <v>15101.890000000001</v>
      </c>
      <c r="AJ5" s="357"/>
      <c r="AK5" s="357"/>
      <c r="AL5" s="358"/>
      <c r="AM5" s="363">
        <f>'10'!K19</f>
        <v>15101.890000000001</v>
      </c>
      <c r="AN5" s="357"/>
      <c r="AO5" s="357"/>
      <c r="AP5" s="358"/>
      <c r="AQ5" s="363">
        <f>'11'!K19</f>
        <v>15101.890000000001</v>
      </c>
      <c r="AR5" s="357"/>
      <c r="AS5" s="357"/>
      <c r="AT5" s="358"/>
      <c r="AU5" s="363">
        <f>'12'!K19</f>
        <v>15101.890000000001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59" t="s">
        <v>230</v>
      </c>
      <c r="D7" s="360"/>
      <c r="E7" s="360"/>
      <c r="F7" s="361"/>
      <c r="G7" s="359" t="s">
        <v>230</v>
      </c>
      <c r="H7" s="360"/>
      <c r="I7" s="360"/>
      <c r="J7" s="361"/>
      <c r="K7" s="359" t="s">
        <v>230</v>
      </c>
      <c r="L7" s="360"/>
      <c r="M7" s="360"/>
      <c r="N7" s="361"/>
      <c r="O7" s="359" t="s">
        <v>230</v>
      </c>
      <c r="P7" s="360"/>
      <c r="Q7" s="360"/>
      <c r="R7" s="361"/>
      <c r="S7" s="359" t="s">
        <v>230</v>
      </c>
      <c r="T7" s="360"/>
      <c r="U7" s="360"/>
      <c r="V7" s="361"/>
      <c r="W7" s="359" t="s">
        <v>230</v>
      </c>
      <c r="X7" s="360"/>
      <c r="Y7" s="360"/>
      <c r="Z7" s="361"/>
      <c r="AA7" s="359" t="s">
        <v>230</v>
      </c>
      <c r="AB7" s="360"/>
      <c r="AC7" s="360"/>
      <c r="AD7" s="361"/>
      <c r="AE7" s="359" t="s">
        <v>230</v>
      </c>
      <c r="AF7" s="360"/>
      <c r="AG7" s="360"/>
      <c r="AH7" s="361"/>
      <c r="AI7" s="359" t="s">
        <v>230</v>
      </c>
      <c r="AJ7" s="360"/>
      <c r="AK7" s="360"/>
      <c r="AL7" s="361"/>
      <c r="AM7" s="359" t="s">
        <v>230</v>
      </c>
      <c r="AN7" s="360"/>
      <c r="AO7" s="360"/>
      <c r="AP7" s="361"/>
      <c r="AQ7" s="359" t="s">
        <v>230</v>
      </c>
      <c r="AR7" s="360"/>
      <c r="AS7" s="360"/>
      <c r="AT7" s="361"/>
      <c r="AU7" s="359" t="s">
        <v>230</v>
      </c>
      <c r="AV7" s="360"/>
      <c r="AW7" s="360"/>
      <c r="AX7" s="361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1">
        <f>SUM('01'!L25:'01'!L29)</f>
        <v>2593.46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0</v>
      </c>
      <c r="AB8" s="342"/>
      <c r="AC8" s="342"/>
      <c r="AD8" s="343"/>
      <c r="AE8" s="341">
        <f>SUM('08'!L25:'08'!L29)</f>
        <v>0</v>
      </c>
      <c r="AF8" s="342"/>
      <c r="AG8" s="342"/>
      <c r="AH8" s="343"/>
      <c r="AI8" s="341">
        <f>SUM('09'!L25:'09'!L29)</f>
        <v>0</v>
      </c>
      <c r="AJ8" s="342"/>
      <c r="AK8" s="342"/>
      <c r="AL8" s="343"/>
      <c r="AM8" s="341">
        <f>SUM('10'!L25:'10'!L29)</f>
        <v>0</v>
      </c>
      <c r="AN8" s="342"/>
      <c r="AO8" s="342"/>
      <c r="AP8" s="343"/>
      <c r="AQ8" s="341">
        <f>SUM('11'!L25:'11'!L29)</f>
        <v>0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17306.77</v>
      </c>
      <c r="BA8" s="112">
        <f t="shared" ref="BA8:BA16" ca="1" si="0">AZ8/BC$17</f>
        <v>2884.4616666666666</v>
      </c>
      <c r="BB8" s="1"/>
      <c r="BC8" s="1"/>
    </row>
    <row r="9" spans="1:55" ht="15.75">
      <c r="A9" s="189" t="s">
        <v>213</v>
      </c>
      <c r="B9" s="193">
        <v>5835.74</v>
      </c>
      <c r="C9" s="344">
        <f>SUM('01'!L30:'01'!L34)</f>
        <v>655.59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0</v>
      </c>
      <c r="AB9" s="345"/>
      <c r="AC9" s="345"/>
      <c r="AD9" s="346"/>
      <c r="AE9" s="344">
        <f>SUM('08'!L30:'08'!L34)</f>
        <v>0</v>
      </c>
      <c r="AF9" s="345"/>
      <c r="AG9" s="345"/>
      <c r="AH9" s="346"/>
      <c r="AI9" s="344">
        <f>SUM('09'!L30:'09'!L34)</f>
        <v>0</v>
      </c>
      <c r="AJ9" s="345"/>
      <c r="AK9" s="345"/>
      <c r="AL9" s="346"/>
      <c r="AM9" s="344">
        <f>SUM('10'!L30:'10'!L34)</f>
        <v>0</v>
      </c>
      <c r="AN9" s="345"/>
      <c r="AO9" s="345"/>
      <c r="AP9" s="346"/>
      <c r="AQ9" s="344">
        <f>SUM('11'!L30:'11'!L34)</f>
        <v>0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3631.67</v>
      </c>
      <c r="BA9" s="112">
        <f t="shared" ca="1" si="0"/>
        <v>605.27833333333331</v>
      </c>
      <c r="BB9" s="1"/>
      <c r="BC9" s="1"/>
    </row>
    <row r="10" spans="1:55" ht="15.75">
      <c r="A10" s="190" t="s">
        <v>218</v>
      </c>
      <c r="B10" s="194">
        <v>2731.18</v>
      </c>
      <c r="C10" s="344">
        <f>SUM('01'!L35:'01'!L39)</f>
        <v>120.85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0</v>
      </c>
      <c r="X10" s="348"/>
      <c r="Y10" s="348"/>
      <c r="Z10" s="349"/>
      <c r="AA10" s="347">
        <f>SUM('07'!L35:'07'!L39)</f>
        <v>0</v>
      </c>
      <c r="AB10" s="348"/>
      <c r="AC10" s="348"/>
      <c r="AD10" s="349"/>
      <c r="AE10" s="347">
        <f>SUM('08'!L35:'08'!L39)</f>
        <v>0</v>
      </c>
      <c r="AF10" s="348"/>
      <c r="AG10" s="348"/>
      <c r="AH10" s="349"/>
      <c r="AI10" s="347">
        <f>SUM('09'!L35:'09'!L39)</f>
        <v>0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644.04</v>
      </c>
      <c r="BA10" s="112">
        <f t="shared" ca="1" si="0"/>
        <v>107.33999999999999</v>
      </c>
      <c r="BB10" s="1"/>
      <c r="BC10" s="1"/>
    </row>
    <row r="11" spans="1:55" ht="15.75">
      <c r="A11" s="189" t="s">
        <v>214</v>
      </c>
      <c r="B11" s="193">
        <v>2906.88</v>
      </c>
      <c r="C11" s="344">
        <f>SUM('01'!L40:'01'!L44)</f>
        <v>3.87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0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0</v>
      </c>
      <c r="AN11" s="345"/>
      <c r="AO11" s="345"/>
      <c r="AP11" s="346"/>
      <c r="AQ11" s="344">
        <f>SUM('11'!L40:'11'!L44)</f>
        <v>0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406.32</v>
      </c>
      <c r="BA11" s="112">
        <f t="shared" ca="1" si="0"/>
        <v>67.72</v>
      </c>
      <c r="BB11" s="1"/>
      <c r="BC11" s="1"/>
    </row>
    <row r="12" spans="1:55" ht="15.75">
      <c r="A12" s="190" t="s">
        <v>23</v>
      </c>
      <c r="B12" s="194">
        <v>3325.31</v>
      </c>
      <c r="C12" s="344">
        <f>SUM('01'!L45:'01'!L49)</f>
        <v>137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0</v>
      </c>
      <c r="AF12" s="348"/>
      <c r="AG12" s="348"/>
      <c r="AH12" s="349"/>
      <c r="AI12" s="347">
        <f>SUM('09'!L45:'09'!L49)</f>
        <v>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1359.45</v>
      </c>
      <c r="BA12" s="112">
        <f t="shared" ca="1" si="0"/>
        <v>226.57500000000002</v>
      </c>
      <c r="BB12" s="1"/>
      <c r="BC12" s="1"/>
    </row>
    <row r="13" spans="1:55" ht="15.75">
      <c r="A13" s="189" t="s">
        <v>215</v>
      </c>
      <c r="B13" s="195">
        <v>3443.8099999999995</v>
      </c>
      <c r="C13" s="344">
        <f>SUM('01'!L50:'01'!L54)</f>
        <v>95.8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0</v>
      </c>
      <c r="AB13" s="345"/>
      <c r="AC13" s="345"/>
      <c r="AD13" s="346"/>
      <c r="AE13" s="344">
        <f>SUM('08'!L50:'08'!L54)</f>
        <v>0</v>
      </c>
      <c r="AF13" s="345"/>
      <c r="AG13" s="345"/>
      <c r="AH13" s="346"/>
      <c r="AI13" s="344">
        <f>SUM('09'!L50:'09'!L54)</f>
        <v>0</v>
      </c>
      <c r="AJ13" s="345"/>
      <c r="AK13" s="345"/>
      <c r="AL13" s="346"/>
      <c r="AM13" s="344">
        <f>SUM('10'!L50:'10'!L54)</f>
        <v>0</v>
      </c>
      <c r="AN13" s="345"/>
      <c r="AO13" s="345"/>
      <c r="AP13" s="346"/>
      <c r="AQ13" s="344">
        <f>SUM('11'!L50:'11'!L54)</f>
        <v>0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4996.7400000000007</v>
      </c>
      <c r="BA13" s="112">
        <f t="shared" ca="1" si="0"/>
        <v>832.79000000000008</v>
      </c>
      <c r="BB13" s="1"/>
      <c r="BC13" s="1"/>
    </row>
    <row r="14" spans="1:55" ht="15.75">
      <c r="A14" s="190" t="s">
        <v>216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0</v>
      </c>
      <c r="AB14" s="348"/>
      <c r="AC14" s="348"/>
      <c r="AD14" s="349"/>
      <c r="AE14" s="347">
        <f>SUM('08'!L55:'08'!L59)</f>
        <v>0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0</v>
      </c>
      <c r="AN14" s="348"/>
      <c r="AO14" s="348"/>
      <c r="AP14" s="349"/>
      <c r="AQ14" s="347">
        <f>SUM('11'!L55:'11'!L59)</f>
        <v>0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64.77000000000001</v>
      </c>
      <c r="BA14" s="112">
        <f t="shared" ca="1" si="0"/>
        <v>10.795000000000002</v>
      </c>
      <c r="BB14" s="3"/>
      <c r="BC14" s="3"/>
    </row>
    <row r="15" spans="1:55" ht="15.75">
      <c r="A15" s="189" t="s">
        <v>217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0</v>
      </c>
      <c r="AB15" s="345"/>
      <c r="AC15" s="345"/>
      <c r="AD15" s="346"/>
      <c r="AE15" s="344">
        <f>SUM('08'!L60:'08'!L64)</f>
        <v>0</v>
      </c>
      <c r="AF15" s="345"/>
      <c r="AG15" s="345"/>
      <c r="AH15" s="346"/>
      <c r="AI15" s="344">
        <f>SUM('09'!L60:'09'!L64)</f>
        <v>0</v>
      </c>
      <c r="AJ15" s="345"/>
      <c r="AK15" s="345"/>
      <c r="AL15" s="346"/>
      <c r="AM15" s="344">
        <f>SUM('10'!L60:'10'!L64)</f>
        <v>0</v>
      </c>
      <c r="AN15" s="345"/>
      <c r="AO15" s="345"/>
      <c r="AP15" s="346"/>
      <c r="AQ15" s="344">
        <f>SUM('11'!L60:'11'!L64)</f>
        <v>0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3062.34</v>
      </c>
      <c r="BA15" s="112">
        <f t="shared" ca="1" si="0"/>
        <v>510.39000000000004</v>
      </c>
      <c r="BB15" s="1"/>
      <c r="BC15" s="1"/>
    </row>
    <row r="16" spans="1:55" ht="16.5" thickBot="1">
      <c r="A16" s="191" t="s">
        <v>42</v>
      </c>
      <c r="B16" s="196">
        <v>2018.96</v>
      </c>
      <c r="C16" s="344">
        <f>SUM('01'!L65:'01'!L69)</f>
        <v>85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85</v>
      </c>
      <c r="BA16" s="112">
        <f t="shared" ca="1" si="0"/>
        <v>14.166666666666666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3691.57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4038.2300000000005</v>
      </c>
      <c r="X17" s="365"/>
      <c r="Y17" s="365"/>
      <c r="Z17" s="366"/>
      <c r="AA17" s="364">
        <f>SUM(AA8:AA16)</f>
        <v>0</v>
      </c>
      <c r="AB17" s="365"/>
      <c r="AC17" s="365"/>
      <c r="AD17" s="366"/>
      <c r="AE17" s="364">
        <f>SUM(AE8:AE16)</f>
        <v>0</v>
      </c>
      <c r="AF17" s="365"/>
      <c r="AG17" s="365"/>
      <c r="AH17" s="366"/>
      <c r="AI17" s="364">
        <f>SUM(AI8:AI16)</f>
        <v>0</v>
      </c>
      <c r="AJ17" s="365"/>
      <c r="AK17" s="365"/>
      <c r="AL17" s="366"/>
      <c r="AM17" s="364">
        <f>SUM(AM8:AM16)</f>
        <v>0</v>
      </c>
      <c r="AN17" s="365"/>
      <c r="AO17" s="365"/>
      <c r="AP17" s="366"/>
      <c r="AQ17" s="364">
        <f>SUM(AQ8:AQ16)</f>
        <v>0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31557.100000000006</v>
      </c>
      <c r="BA17" s="112">
        <f ca="1">AZ17/BC$17</f>
        <v>5259.5166666666673</v>
      </c>
      <c r="BB17" s="1" t="s">
        <v>83</v>
      </c>
      <c r="BC17" s="1">
        <f ca="1">MONTH(TODAY())</f>
        <v>6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173</v>
      </c>
      <c r="AV18" s="367"/>
      <c r="AW18" s="367"/>
      <c r="AX18" s="367"/>
      <c r="AZ18" s="131">
        <f>(2500*13)+(600*12)+(550*12)+(95*12)</f>
        <v>47440</v>
      </c>
      <c r="BA18" s="131">
        <f ca="1">12*BA17</f>
        <v>63114.200000000012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157.99</v>
      </c>
      <c r="Z20" s="145">
        <f t="shared" ref="Z20:Z45" si="7">V20+X20-Y20</f>
        <v>625.42999999999984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1169.4299999999998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1713.4299999999998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2257.4299999999998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2801.43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3345.43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3889.43</v>
      </c>
      <c r="AZ20" s="123">
        <f t="shared" ref="AZ20:AZ27" si="14">E20+I20+M20+Q20+U20+Y20+AC20+AG20+AK20+AO20+AS20+AW20</f>
        <v>3287.2700000000004</v>
      </c>
      <c r="BA20" s="21">
        <f t="shared" ref="BA20:BA45" si="15">AZ20/AZ$46</f>
        <v>0.11706681091968779</v>
      </c>
      <c r="BB20" s="22">
        <f>_xlfn.RANK.EQ(BA20,$BA$20:$BA$45,)</f>
        <v>3</v>
      </c>
      <c r="BC20" s="22">
        <f t="shared" ref="BC20:BC45" ca="1" si="16">AZ20/BC$17</f>
        <v>547.87833333333344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3463.92</v>
      </c>
      <c r="BF20" s="21">
        <f t="shared" ref="BF20:BF45" ca="1" si="18">BE20/BE$46</f>
        <v>0.10976674028982382</v>
      </c>
      <c r="BG20" s="22">
        <f ca="1">_xlfn.RANK.EQ(BF20,$BF$20:$BF$45,)</f>
        <v>4</v>
      </c>
      <c r="BH20" s="22">
        <f t="shared" ref="BH20:BH45" ca="1" si="19">BE20/BC$17</f>
        <v>577.32000000000005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176.6500000000002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0</v>
      </c>
      <c r="AD21" s="151">
        <f t="shared" si="8"/>
        <v>1484.0899999999995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2612.0899999999992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3740.0899999999992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4868.0899999999992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5996.0899999999992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7124.0899999999992</v>
      </c>
      <c r="AZ21" s="152">
        <f t="shared" si="14"/>
        <v>7229.77</v>
      </c>
      <c r="BA21" s="21">
        <f t="shared" si="15"/>
        <v>0.25746778256207464</v>
      </c>
      <c r="BB21" s="22">
        <f t="shared" ref="BB21:BB45" si="20">_xlfn.RANK.EQ(BA21,$BA$20:$BA$45,)</f>
        <v>1</v>
      </c>
      <c r="BC21" s="22">
        <f t="shared" ca="1" si="16"/>
        <v>1204.9616666666668</v>
      </c>
      <c r="BE21" s="224">
        <f t="shared" ca="1" si="17"/>
        <v>6913</v>
      </c>
      <c r="BF21" s="21">
        <f t="shared" ca="1" si="18"/>
        <v>0.21906322190568839</v>
      </c>
      <c r="BG21" s="22">
        <f t="shared" ref="BG21:BG45" ca="1" si="21">_xlfn.RANK.EQ(BF21,$BF$20:$BF$45,)</f>
        <v>1</v>
      </c>
      <c r="BH21" s="22">
        <f t="shared" ca="1" si="19"/>
        <v>1152.1666666666667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-316.77000000000021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360</v>
      </c>
      <c r="Y22" s="155">
        <f>SUM('06'!D60:F60)</f>
        <v>280.23</v>
      </c>
      <c r="Z22" s="156">
        <f t="shared" si="7"/>
        <v>562.67000000000019</v>
      </c>
      <c r="AA22" s="143" t="s">
        <v>72</v>
      </c>
      <c r="AB22" s="155">
        <f>'07'!B60</f>
        <v>300</v>
      </c>
      <c r="AC22" s="155">
        <f>SUM('07'!D60:F60)</f>
        <v>0</v>
      </c>
      <c r="AD22" s="156">
        <f t="shared" si="8"/>
        <v>862.67000000000019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1352.67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1842.67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2332.67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2822.67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3312.67</v>
      </c>
      <c r="AZ22" s="157">
        <f t="shared" si="14"/>
        <v>1897.4</v>
      </c>
      <c r="BA22" s="21">
        <f t="shared" si="15"/>
        <v>6.7570527227460958E-2</v>
      </c>
      <c r="BB22" s="22">
        <f t="shared" si="20"/>
        <v>6</v>
      </c>
      <c r="BC22" s="22">
        <f t="shared" ca="1" si="16"/>
        <v>316.23333333333335</v>
      </c>
      <c r="BE22" s="225">
        <f t="shared" ca="1" si="17"/>
        <v>2214</v>
      </c>
      <c r="BF22" s="21">
        <f t="shared" ca="1" si="18"/>
        <v>7.0158538015216848E-2</v>
      </c>
      <c r="BG22" s="22">
        <f t="shared" ca="1" si="21"/>
        <v>6</v>
      </c>
      <c r="BH22" s="22">
        <f t="shared" ca="1" si="19"/>
        <v>369</v>
      </c>
      <c r="BJ22" s="225">
        <f t="shared" ca="1" si="22"/>
        <v>316.60000000000002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135</v>
      </c>
      <c r="Y23" s="150">
        <f>SUM('06'!D80:F80)</f>
        <v>142.65</v>
      </c>
      <c r="Z23" s="151">
        <f t="shared" si="7"/>
        <v>91.680000000000064</v>
      </c>
      <c r="AA23" s="148" t="s">
        <v>72</v>
      </c>
      <c r="AB23" s="149">
        <f>'07'!B80</f>
        <v>170</v>
      </c>
      <c r="AC23" s="150">
        <f>SUM('07'!D80:F80)</f>
        <v>0</v>
      </c>
      <c r="AD23" s="151">
        <f t="shared" si="8"/>
        <v>261.68000000000006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411.68000000000006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561.68000000000006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711.68000000000006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861.68000000000006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1011.6800000000001</v>
      </c>
      <c r="AZ23" s="152">
        <f t="shared" si="14"/>
        <v>1005.4499999999999</v>
      </c>
      <c r="BA23" s="21">
        <f t="shared" si="15"/>
        <v>3.5806254137688738E-2</v>
      </c>
      <c r="BB23" s="22">
        <f t="shared" si="20"/>
        <v>7</v>
      </c>
      <c r="BC23" s="22">
        <f t="shared" ca="1" si="16"/>
        <v>167.57499999999999</v>
      </c>
      <c r="BE23" s="224">
        <f t="shared" ca="1" si="17"/>
        <v>1055</v>
      </c>
      <c r="BF23" s="21">
        <f t="shared" ca="1" si="18"/>
        <v>3.3431462333357621E-2</v>
      </c>
      <c r="BG23" s="22">
        <f t="shared" ca="1" si="21"/>
        <v>10</v>
      </c>
      <c r="BH23" s="22">
        <f t="shared" ca="1" si="19"/>
        <v>175.83333333333334</v>
      </c>
      <c r="BJ23" s="224">
        <f t="shared" ca="1" si="22"/>
        <v>49.55000000000004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160</v>
      </c>
      <c r="Y24" s="155">
        <f>SUM('06'!D100:F100)</f>
        <v>161.96</v>
      </c>
      <c r="Z24" s="156">
        <f t="shared" si="7"/>
        <v>120.91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280.90999999999997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440.90999999999997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600.91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760.91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920.91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1080.9099999999999</v>
      </c>
      <c r="AZ24" s="157">
        <f t="shared" si="14"/>
        <v>849.09</v>
      </c>
      <c r="BA24" s="21">
        <f t="shared" si="15"/>
        <v>3.0237935576876162E-2</v>
      </c>
      <c r="BB24" s="22">
        <f t="shared" si="20"/>
        <v>9</v>
      </c>
      <c r="BC24" s="22">
        <f t="shared" ca="1" si="16"/>
        <v>141.51500000000001</v>
      </c>
      <c r="BE24" s="225">
        <f t="shared" ca="1" si="17"/>
        <v>970</v>
      </c>
      <c r="BF24" s="21">
        <f t="shared" ca="1" si="18"/>
        <v>3.0737932192755349E-2</v>
      </c>
      <c r="BG24" s="22">
        <f t="shared" ca="1" si="21"/>
        <v>11</v>
      </c>
      <c r="BH24" s="22">
        <f t="shared" ca="1" si="19"/>
        <v>161.66666666666666</v>
      </c>
      <c r="BJ24" s="225">
        <f t="shared" ca="1" si="22"/>
        <v>120.91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445</v>
      </c>
      <c r="AC25" s="150">
        <f>SUM('07'!D120:F120)</f>
        <v>0</v>
      </c>
      <c r="AD25" s="151">
        <f t="shared" si="8"/>
        <v>3417.6199999999976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3822.6199999999976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4227.6199999999972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4632.6199999999972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5037.6199999999972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5442.6199999999972</v>
      </c>
      <c r="AZ25" s="152">
        <f t="shared" si="14"/>
        <v>2028.2800000000002</v>
      </c>
      <c r="BA25" s="21">
        <f t="shared" si="15"/>
        <v>7.2231447752142158E-2</v>
      </c>
      <c r="BB25" s="22">
        <f t="shared" si="20"/>
        <v>4</v>
      </c>
      <c r="BC25" s="22">
        <f t="shared" ca="1" si="16"/>
        <v>338.04666666666668</v>
      </c>
      <c r="BE25" s="224">
        <f t="shared" ca="1" si="17"/>
        <v>1838.35</v>
      </c>
      <c r="BF25" s="21">
        <f t="shared" ca="1" si="18"/>
        <v>5.825471922324927E-2</v>
      </c>
      <c r="BG25" s="22">
        <f t="shared" ca="1" si="21"/>
        <v>7</v>
      </c>
      <c r="BH25" s="22">
        <f t="shared" ca="1" si="19"/>
        <v>306.39166666666665</v>
      </c>
      <c r="BJ25" s="224">
        <f t="shared" ca="1" si="22"/>
        <v>-189.93000000000075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0</v>
      </c>
      <c r="AD26" s="156">
        <f t="shared" si="8"/>
        <v>73.03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121.03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169.03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217.03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265.02999999999997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313.02999999999997</v>
      </c>
      <c r="AZ26" s="157">
        <f t="shared" si="14"/>
        <v>312.96000000000004</v>
      </c>
      <c r="BA26" s="21">
        <f t="shared" si="15"/>
        <v>1.1145184041902701E-2</v>
      </c>
      <c r="BB26" s="22">
        <f t="shared" si="20"/>
        <v>16</v>
      </c>
      <c r="BC26" s="22">
        <f t="shared" ca="1" si="16"/>
        <v>52.160000000000004</v>
      </c>
      <c r="BE26" s="225">
        <f t="shared" ca="1" si="17"/>
        <v>313.45</v>
      </c>
      <c r="BF26" s="21">
        <f t="shared" ca="1" si="18"/>
        <v>9.9327885008444992E-3</v>
      </c>
      <c r="BG26" s="22">
        <f t="shared" ca="1" si="21"/>
        <v>17</v>
      </c>
      <c r="BH26" s="22">
        <f t="shared" ca="1" si="19"/>
        <v>52.241666666666667</v>
      </c>
      <c r="BJ26" s="225">
        <f t="shared" ca="1" si="22"/>
        <v>0.49000000000004462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0</v>
      </c>
      <c r="Z27" s="187">
        <f t="shared" si="7"/>
        <v>262.7000000000001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312.7000000000001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362.7000000000001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412.7000000000001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462.7000000000001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512.70000000000005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562.70000000000005</v>
      </c>
      <c r="AZ27" s="188">
        <f t="shared" si="14"/>
        <v>281.25</v>
      </c>
      <c r="BA27" s="21">
        <f t="shared" si="15"/>
        <v>1.0015922200233686E-2</v>
      </c>
      <c r="BB27" s="22">
        <f t="shared" si="20"/>
        <v>18</v>
      </c>
      <c r="BC27" s="22">
        <f t="shared" ca="1" si="16"/>
        <v>46.875</v>
      </c>
      <c r="BE27" s="224">
        <f t="shared" ca="1" si="17"/>
        <v>240</v>
      </c>
      <c r="BF27" s="21">
        <f t="shared" ca="1" si="18"/>
        <v>7.6052615734652409E-3</v>
      </c>
      <c r="BG27" s="22">
        <f t="shared" ca="1" si="21"/>
        <v>19</v>
      </c>
      <c r="BH27" s="22">
        <f t="shared" ca="1" si="19"/>
        <v>40</v>
      </c>
      <c r="BJ27" s="224">
        <f t="shared" ca="1" si="22"/>
        <v>-41.249999999999943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1696.2800000000002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1896.2800000000002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2096.2800000000002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2296.2800000000002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2496.2800000000002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2696.28</v>
      </c>
      <c r="AZ28" s="182">
        <f t="shared" ref="AZ28:AZ45" si="23">E28+I28+M28+Q28+U28+Y28+AC28+AG28+AK28+AO28+AS28+AW28</f>
        <v>1992.81</v>
      </c>
      <c r="BA28" s="21">
        <f t="shared" si="15"/>
        <v>7.0968284159458453E-2</v>
      </c>
      <c r="BB28" s="22">
        <f t="shared" si="20"/>
        <v>5</v>
      </c>
      <c r="BC28" s="22">
        <f t="shared" ca="1" si="16"/>
        <v>332.13499999999999</v>
      </c>
      <c r="BE28" s="223">
        <f t="shared" ca="1" si="17"/>
        <v>2880.04</v>
      </c>
      <c r="BF28" s="21">
        <f t="shared" ca="1" si="18"/>
        <v>9.1264406425178468E-2</v>
      </c>
      <c r="BG28" s="22">
        <f t="shared" ca="1" si="21"/>
        <v>5</v>
      </c>
      <c r="BH28" s="22">
        <f t="shared" ca="1" si="19"/>
        <v>480.00666666666666</v>
      </c>
      <c r="BJ28" s="223">
        <f t="shared" ca="1" si="22"/>
        <v>887.23000000000013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70</v>
      </c>
      <c r="Y29" s="150">
        <f>SUM('06'!D200:F200)</f>
        <v>110.8</v>
      </c>
      <c r="Z29" s="160">
        <f t="shared" si="7"/>
        <v>62.000000000000071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132.00000000000006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202.00000000000006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272.00000000000006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342.00000000000006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412.00000000000006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482.00000000000006</v>
      </c>
      <c r="AZ29" s="152">
        <f t="shared" si="23"/>
        <v>285.33</v>
      </c>
      <c r="BA29" s="21">
        <f t="shared" si="15"/>
        <v>1.0161219844951741E-2</v>
      </c>
      <c r="BB29" s="22">
        <f t="shared" si="20"/>
        <v>17</v>
      </c>
      <c r="BC29" s="22">
        <f t="shared" ca="1" si="16"/>
        <v>47.555</v>
      </c>
      <c r="BE29" s="224">
        <f t="shared" ca="1" si="17"/>
        <v>394</v>
      </c>
      <c r="BF29" s="21">
        <f t="shared" ca="1" si="18"/>
        <v>1.248530441643877E-2</v>
      </c>
      <c r="BG29" s="22">
        <f t="shared" ca="1" si="21"/>
        <v>15</v>
      </c>
      <c r="BH29" s="22">
        <f t="shared" ca="1" si="19"/>
        <v>65.666666666666671</v>
      </c>
      <c r="BJ29" s="224">
        <f t="shared" ca="1" si="22"/>
        <v>108.67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127.08999999999997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162.08999999999997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197.08999999999997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232.08999999999997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267.08999999999997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302.08999999999997</v>
      </c>
      <c r="AZ30" s="157">
        <f t="shared" si="23"/>
        <v>131.07999999999998</v>
      </c>
      <c r="BA30" s="21">
        <f t="shared" si="15"/>
        <v>4.6680429582458003E-3</v>
      </c>
      <c r="BB30" s="22">
        <f t="shared" si="20"/>
        <v>21</v>
      </c>
      <c r="BC30" s="22">
        <f t="shared" ca="1" si="16"/>
        <v>21.846666666666664</v>
      </c>
      <c r="BE30" s="225">
        <f t="shared" ca="1" si="17"/>
        <v>250</v>
      </c>
      <c r="BF30" s="21">
        <f t="shared" ca="1" si="18"/>
        <v>7.9221474723596263E-3</v>
      </c>
      <c r="BG30" s="22">
        <f t="shared" ca="1" si="21"/>
        <v>18</v>
      </c>
      <c r="BH30" s="22">
        <f t="shared" ca="1" si="19"/>
        <v>41.666666666666664</v>
      </c>
      <c r="BJ30" s="225">
        <f t="shared" ca="1" si="22"/>
        <v>118.92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79.659999999999982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99.659999999999982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119.65999999999998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139.65999999999997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159.65999999999997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179.65999999999997</v>
      </c>
      <c r="AZ31" s="152">
        <f t="shared" si="23"/>
        <v>136.38</v>
      </c>
      <c r="BA31" s="21">
        <f t="shared" si="15"/>
        <v>4.8567874477079822E-3</v>
      </c>
      <c r="BB31" s="22">
        <f t="shared" si="20"/>
        <v>20</v>
      </c>
      <c r="BC31" s="22">
        <f t="shared" ca="1" si="16"/>
        <v>22.73</v>
      </c>
      <c r="BE31" s="224">
        <f t="shared" ca="1" si="17"/>
        <v>120</v>
      </c>
      <c r="BF31" s="21">
        <f t="shared" ca="1" si="18"/>
        <v>3.8026307867326204E-3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-16.380000000000024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100</v>
      </c>
      <c r="Y32" s="155">
        <f>SUM('06'!D260:F260)</f>
        <v>94.65</v>
      </c>
      <c r="Z32" s="161">
        <f t="shared" si="7"/>
        <v>923.95999999999992</v>
      </c>
      <c r="AA32" s="143" t="s">
        <v>72</v>
      </c>
      <c r="AB32" s="155">
        <f>'07'!B260</f>
        <v>100</v>
      </c>
      <c r="AC32" s="155">
        <f>SUM('07'!D260:F260)</f>
        <v>0</v>
      </c>
      <c r="AD32" s="161">
        <f t="shared" si="8"/>
        <v>1023.9599999999999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1073.96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1123.96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1173.96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1223.96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1273.96</v>
      </c>
      <c r="AZ32" s="157">
        <f t="shared" si="23"/>
        <v>384.91999999999996</v>
      </c>
      <c r="BA32" s="21">
        <f t="shared" si="15"/>
        <v>1.3707835638449599E-2</v>
      </c>
      <c r="BB32" s="22">
        <f t="shared" si="20"/>
        <v>14</v>
      </c>
      <c r="BC32" s="22">
        <f t="shared" ca="1" si="16"/>
        <v>64.153333333333322</v>
      </c>
      <c r="BE32" s="225">
        <f t="shared" ca="1" si="17"/>
        <v>1323.13</v>
      </c>
      <c r="BF32" s="21">
        <f t="shared" ca="1" si="18"/>
        <v>4.1928123940412773E-2</v>
      </c>
      <c r="BG32" s="22">
        <f t="shared" ca="1" si="21"/>
        <v>8</v>
      </c>
      <c r="BH32" s="22">
        <f t="shared" ca="1" si="19"/>
        <v>220.52166666666668</v>
      </c>
      <c r="BJ32" s="225">
        <f t="shared" ca="1" si="22"/>
        <v>938.20999999999992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446.09000000000026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496.09000000000026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546.09000000000026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596.09000000000026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646.09000000000026</v>
      </c>
      <c r="AZ33" s="152">
        <f t="shared" si="23"/>
        <v>4395.8500000000004</v>
      </c>
      <c r="BA33" s="21">
        <f t="shared" si="15"/>
        <v>0.156545747924968</v>
      </c>
      <c r="BB33" s="22">
        <f t="shared" si="20"/>
        <v>2</v>
      </c>
      <c r="BC33" s="22">
        <f t="shared" ca="1" si="16"/>
        <v>732.64166666666677</v>
      </c>
      <c r="BE33" s="224">
        <f t="shared" ca="1" si="17"/>
        <v>4321.9400000000005</v>
      </c>
      <c r="BF33" s="21">
        <f t="shared" ca="1" si="18"/>
        <v>0.13695618418675987</v>
      </c>
      <c r="BG33" s="22">
        <f t="shared" ca="1" si="21"/>
        <v>2</v>
      </c>
      <c r="BH33" s="22">
        <f t="shared" ca="1" si="19"/>
        <v>720.32333333333338</v>
      </c>
      <c r="BJ33" s="224">
        <f t="shared" ca="1" si="22"/>
        <v>-73.909999999999741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332.40999999999997</v>
      </c>
      <c r="Y34" s="155">
        <f>SUM('06'!D300:F300)</f>
        <v>242.41000000000003</v>
      </c>
      <c r="Z34" s="161">
        <f t="shared" si="7"/>
        <v>72.909999999999798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162.9099999999998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252.9099999999998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342.9099999999998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432.9099999999998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522.90999999999985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612.90999999999985</v>
      </c>
      <c r="AZ34" s="152">
        <f t="shared" si="23"/>
        <v>983.10000000000014</v>
      </c>
      <c r="BA34" s="21">
        <f t="shared" si="15"/>
        <v>3.5010322186843509E-2</v>
      </c>
      <c r="BB34" s="22">
        <f t="shared" si="20"/>
        <v>8</v>
      </c>
      <c r="BC34" s="22">
        <f t="shared" ca="1" si="16"/>
        <v>163.85000000000002</v>
      </c>
      <c r="BE34" s="225">
        <f t="shared" ca="1" si="17"/>
        <v>954.41</v>
      </c>
      <c r="BF34" s="21">
        <f t="shared" ca="1" si="18"/>
        <v>3.0243907076379001E-2</v>
      </c>
      <c r="BG34" s="22">
        <f t="shared" ca="1" si="21"/>
        <v>12</v>
      </c>
      <c r="BH34" s="22">
        <f t="shared" ca="1" si="19"/>
        <v>159.06833333333333</v>
      </c>
      <c r="BJ34" s="225">
        <f t="shared" ca="1" si="22"/>
        <v>-28.690000000000111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130</v>
      </c>
      <c r="AC35" s="186">
        <f>SUM('07'!D320:F320)</f>
        <v>0</v>
      </c>
      <c r="AD35" s="187">
        <f t="shared" si="8"/>
        <v>1860.4800000000005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1975.4800000000005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2090.4800000000005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2205.4800000000005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2320.4800000000005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2435.4800000000005</v>
      </c>
      <c r="AZ35" s="188">
        <f t="shared" si="23"/>
        <v>815.1</v>
      </c>
      <c r="BA35" s="21">
        <f t="shared" si="15"/>
        <v>2.9027477992570584E-2</v>
      </c>
      <c r="BB35" s="22">
        <f t="shared" si="20"/>
        <v>10</v>
      </c>
      <c r="BC35" s="22">
        <f t="shared" ca="1" si="16"/>
        <v>135.85</v>
      </c>
      <c r="BE35" s="224">
        <f t="shared" ca="1" si="17"/>
        <v>1055.98</v>
      </c>
      <c r="BF35" s="21">
        <f t="shared" ca="1" si="18"/>
        <v>3.3462517151449274E-2</v>
      </c>
      <c r="BG35" s="22">
        <f t="shared" ca="1" si="21"/>
        <v>9</v>
      </c>
      <c r="BH35" s="22">
        <f t="shared" ca="1" si="19"/>
        <v>175.99666666666667</v>
      </c>
      <c r="BJ35" s="224">
        <f t="shared" ca="1" si="22"/>
        <v>240.88000000000011</v>
      </c>
    </row>
    <row r="36" spans="1:62" ht="15.75">
      <c r="A36" s="163" t="s">
        <v>571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309.92000000000007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399.92000000000007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489.92000000000007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579.92000000000007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669.92000000000007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759.92000000000007</v>
      </c>
      <c r="AZ36" s="182">
        <f t="shared" si="23"/>
        <v>531.08999999999992</v>
      </c>
      <c r="BA36" s="21">
        <f t="shared" si="15"/>
        <v>1.8913266209145269E-2</v>
      </c>
      <c r="BB36" s="22">
        <f t="shared" si="20"/>
        <v>11</v>
      </c>
      <c r="BC36" s="22">
        <f t="shared" ca="1" si="16"/>
        <v>88.514999999999986</v>
      </c>
      <c r="BE36" s="223">
        <f t="shared" ca="1" si="17"/>
        <v>650.02</v>
      </c>
      <c r="BF36" s="21">
        <f t="shared" ca="1" si="18"/>
        <v>2.0598217199932815E-2</v>
      </c>
      <c r="BG36" s="22">
        <f t="shared" ca="1" si="21"/>
        <v>13</v>
      </c>
      <c r="BH36" s="22">
        <f t="shared" ca="1" si="19"/>
        <v>108.33666666666666</v>
      </c>
      <c r="BJ36" s="223">
        <f t="shared" ca="1" si="22"/>
        <v>118.93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50</v>
      </c>
      <c r="AC37" s="165">
        <f>SUM('07'!D360:F360)</f>
        <v>0</v>
      </c>
      <c r="AD37" s="151">
        <f t="shared" si="8"/>
        <v>275.73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320.73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365.73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410.73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455.73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500.73</v>
      </c>
      <c r="AZ37" s="152">
        <f t="shared" si="23"/>
        <v>367.65</v>
      </c>
      <c r="BA37" s="21">
        <f t="shared" si="15"/>
        <v>1.3092813500145472E-2</v>
      </c>
      <c r="BB37" s="22">
        <f t="shared" si="20"/>
        <v>15</v>
      </c>
      <c r="BC37" s="22">
        <f t="shared" ca="1" si="16"/>
        <v>61.274999999999999</v>
      </c>
      <c r="BE37" s="224">
        <f t="shared" ca="1" si="17"/>
        <v>320</v>
      </c>
      <c r="BF37" s="21">
        <f t="shared" ca="1" si="18"/>
        <v>1.0140348764620321E-2</v>
      </c>
      <c r="BG37" s="22">
        <f t="shared" ca="1" si="21"/>
        <v>16</v>
      </c>
      <c r="BH37" s="22">
        <f t="shared" ca="1" si="19"/>
        <v>53.333333333333336</v>
      </c>
      <c r="BJ37" s="224">
        <f t="shared" ca="1" si="22"/>
        <v>-47.649999999999977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64.400000000000006</v>
      </c>
      <c r="Z38" s="156">
        <f t="shared" si="7"/>
        <v>46.330000000000041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116.33000000000004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186.33000000000004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256.33000000000004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326.33000000000004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396.33000000000004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466.33000000000004</v>
      </c>
      <c r="AZ38" s="157">
        <f t="shared" si="23"/>
        <v>442.87</v>
      </c>
      <c r="BA38" s="21">
        <f t="shared" si="15"/>
        <v>1.5771560763795527E-2</v>
      </c>
      <c r="BB38" s="22">
        <f t="shared" si="20"/>
        <v>13</v>
      </c>
      <c r="BC38" s="22">
        <f t="shared" ca="1" si="16"/>
        <v>73.811666666666667</v>
      </c>
      <c r="BE38" s="225">
        <f t="shared" ca="1" si="17"/>
        <v>450</v>
      </c>
      <c r="BF38" s="21">
        <f t="shared" ca="1" si="18"/>
        <v>1.4259865450247327E-2</v>
      </c>
      <c r="BG38" s="22">
        <f t="shared" ca="1" si="21"/>
        <v>14</v>
      </c>
      <c r="BH38" s="22">
        <f t="shared" ca="1" si="19"/>
        <v>75</v>
      </c>
      <c r="BJ38" s="225">
        <f t="shared" ca="1" si="22"/>
        <v>7.1300000000000097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10</v>
      </c>
      <c r="Y39" s="165">
        <f>SUM('06'!D400:F400)</f>
        <v>0</v>
      </c>
      <c r="Z39" s="151">
        <f t="shared" si="7"/>
        <v>26.259999999999991</v>
      </c>
      <c r="AA39" s="148" t="s">
        <v>72</v>
      </c>
      <c r="AB39" s="165">
        <f>'07'!B400</f>
        <v>10</v>
      </c>
      <c r="AC39" s="165">
        <f>SUM('07'!D400:F400)</f>
        <v>0</v>
      </c>
      <c r="AD39" s="151">
        <f t="shared" si="8"/>
        <v>36.259999999999991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56.259999999999991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76.259999999999991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96.259999999999991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116.25999999999999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136.26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-1153.74</v>
      </c>
      <c r="BF39" s="21">
        <f t="shared" ca="1" si="18"/>
        <v>-3.656039369904078E-2</v>
      </c>
      <c r="BG39" s="22">
        <f t="shared" ca="1" si="21"/>
        <v>26</v>
      </c>
      <c r="BH39" s="22">
        <f t="shared" ca="1" si="19"/>
        <v>-192.29</v>
      </c>
      <c r="BJ39" s="224">
        <f t="shared" ca="1" si="22"/>
        <v>-1153.74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50</v>
      </c>
      <c r="AC40" s="166">
        <f>SUM('07'!D420:F420)</f>
        <v>0</v>
      </c>
      <c r="AD40" s="156">
        <f t="shared" si="8"/>
        <v>132.98000000000059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152.98000000000059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172.98000000000059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192.98000000000059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212.98000000000059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232.98000000000059</v>
      </c>
      <c r="AZ40" s="157">
        <f t="shared" si="23"/>
        <v>158.06</v>
      </c>
      <c r="BA40" s="21">
        <f t="shared" si="15"/>
        <v>5.6288592461117733E-3</v>
      </c>
      <c r="BB40" s="22">
        <f t="shared" si="20"/>
        <v>19</v>
      </c>
      <c r="BC40" s="22">
        <f t="shared" ca="1" si="16"/>
        <v>26.343333333333334</v>
      </c>
      <c r="BE40" s="225">
        <f t="shared" ca="1" si="17"/>
        <v>-563.47</v>
      </c>
      <c r="BF40" s="21">
        <f t="shared" ca="1" si="18"/>
        <v>-1.7855569745001916E-2</v>
      </c>
      <c r="BG40" s="22">
        <f t="shared" ca="1" si="21"/>
        <v>24</v>
      </c>
      <c r="BH40" s="22">
        <f t="shared" ca="1" si="19"/>
        <v>-93.911666666666676</v>
      </c>
      <c r="BJ40" s="225">
        <f t="shared" ca="1" si="22"/>
        <v>-721.52999999999986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-65.919999999999163</v>
      </c>
      <c r="Y41" s="165">
        <f>SUM('06'!D440:F440)</f>
        <v>0</v>
      </c>
      <c r="Z41" s="151">
        <f t="shared" si="7"/>
        <v>7935.2000000000007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4035.2000000000007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135.20000000000073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-3764.7999999999993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-7664.7999999999993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-11564.8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-15464.8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-614.79999999999734</v>
      </c>
      <c r="BF41" s="21">
        <f t="shared" ca="1" si="18"/>
        <v>-1.9482145064026707E-2</v>
      </c>
      <c r="BG41" s="22">
        <f t="shared" ca="1" si="21"/>
        <v>25</v>
      </c>
      <c r="BH41" s="22">
        <f t="shared" ca="1" si="19"/>
        <v>-102.46666666666623</v>
      </c>
      <c r="BJ41" s="224">
        <f t="shared" ca="1" si="22"/>
        <v>-614.79999999999745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0.12821963995424165</v>
      </c>
      <c r="BG42" s="22">
        <f t="shared" ca="1" si="21"/>
        <v>3</v>
      </c>
      <c r="BH42" s="22">
        <f t="shared" ca="1" si="19"/>
        <v>674.37333333333333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693.63000000000011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743.63000000000011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793.63000000000011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843.63000000000011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893.63000000000011</v>
      </c>
      <c r="AZ43" s="152">
        <f t="shared" si="23"/>
        <v>500</v>
      </c>
      <c r="BA43" s="21">
        <f t="shared" si="15"/>
        <v>1.7806083911526552E-2</v>
      </c>
      <c r="BB43" s="22">
        <f t="shared" si="20"/>
        <v>12</v>
      </c>
      <c r="BC43" s="22">
        <f t="shared" ca="1" si="16"/>
        <v>83.333333333333329</v>
      </c>
      <c r="BE43" s="224">
        <f t="shared" ca="1" si="17"/>
        <v>115.63000000000005</v>
      </c>
      <c r="BF43" s="21">
        <f t="shared" ca="1" si="18"/>
        <v>3.6641516489157758E-3</v>
      </c>
      <c r="BG43" s="22">
        <f t="shared" ca="1" si="21"/>
        <v>21</v>
      </c>
      <c r="BH43" s="22">
        <f t="shared" ca="1" si="19"/>
        <v>19.271666666666675</v>
      </c>
      <c r="BJ43" s="224">
        <f t="shared" ca="1" si="22"/>
        <v>-384.36999999999989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2.2998337980127694E-3</v>
      </c>
      <c r="BB45" s="22">
        <f t="shared" si="20"/>
        <v>22</v>
      </c>
      <c r="BC45" s="22">
        <f t="shared" ca="1" si="16"/>
        <v>10.763333333333334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22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4038.2300000000005</v>
      </c>
      <c r="Y46" s="219">
        <f>SUM(Y20:Y45)</f>
        <v>3191.96</v>
      </c>
      <c r="Z46" s="220">
        <f>SUM(Z20:Z45)</f>
        <v>29860.350000000002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29860.350000000002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29860.35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29860.35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29860.35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29860.349999999991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29860.349999999995</v>
      </c>
      <c r="AZ46" s="227">
        <f>SUM(AZ20:AZ45)</f>
        <v>28080.290000000005</v>
      </c>
      <c r="BA46" s="1"/>
      <c r="BB46" s="1"/>
      <c r="BC46" s="124">
        <f ca="1">SUM(BC20:BC45)</f>
        <v>4680.0483333333332</v>
      </c>
      <c r="BE46" s="227">
        <f ca="1">SUM(BE20:BE45)</f>
        <v>31557.100000000006</v>
      </c>
      <c r="BF46" s="1"/>
      <c r="BG46" s="1"/>
      <c r="BH46" s="124">
        <f ca="1">SUM(BH20:BH45)</f>
        <v>5259.5166666666664</v>
      </c>
      <c r="BJ46" s="227">
        <f ca="1">SUM(BJ20:BJ45)</f>
        <v>3476.8100000000031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846.27000000000044</v>
      </c>
      <c r="Z47" s="125"/>
      <c r="AA47" s="125">
        <f>AA5-Z46</f>
        <v>-245.25000000000364</v>
      </c>
      <c r="AB47" s="125">
        <f>AA17-AB46</f>
        <v>0</v>
      </c>
      <c r="AC47" s="125">
        <f>AA17-AC46</f>
        <v>0</v>
      </c>
      <c r="AD47" s="125"/>
      <c r="AE47" s="125">
        <f>AE5-AD46</f>
        <v>-14758.460000000001</v>
      </c>
      <c r="AF47" s="125">
        <f>AE17-AF46</f>
        <v>0</v>
      </c>
      <c r="AG47" s="125">
        <f>AE17-AG46</f>
        <v>0</v>
      </c>
      <c r="AH47" s="125"/>
      <c r="AI47" s="125">
        <f>AI5-AH46</f>
        <v>-14758.459999999997</v>
      </c>
      <c r="AJ47" s="125">
        <f>AI17-AJ46</f>
        <v>0</v>
      </c>
      <c r="AK47" s="125">
        <f>AI17-AK46</f>
        <v>0</v>
      </c>
      <c r="AL47" s="125"/>
      <c r="AM47" s="125">
        <f>AM5-AL46</f>
        <v>-14758.459999999997</v>
      </c>
      <c r="AN47" s="125">
        <f>AM17-AN46</f>
        <v>0</v>
      </c>
      <c r="AO47" s="125">
        <f>AM17-AO46</f>
        <v>0</v>
      </c>
      <c r="AP47" s="125"/>
      <c r="AQ47" s="125">
        <f>AQ5-AP46</f>
        <v>-14758.459999999997</v>
      </c>
      <c r="AR47" s="125">
        <f>AQ17-AR46</f>
        <v>0</v>
      </c>
      <c r="AS47" s="125">
        <f>AQ17-AS46</f>
        <v>0</v>
      </c>
      <c r="AT47" s="140"/>
      <c r="AU47" s="125">
        <f>AU5-AT46</f>
        <v>-14758.45999999999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56160.58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612</v>
      </c>
      <c r="W50" s="119"/>
      <c r="X50" s="119"/>
      <c r="Y50" s="119">
        <f>Y22+(N59/2)</f>
        <v>287.03000000000003</v>
      </c>
      <c r="Z50" s="119" t="s">
        <v>654</v>
      </c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149</v>
      </c>
      <c r="D52" s="369"/>
      <c r="E52" s="369"/>
      <c r="F52" s="370"/>
      <c r="G52" s="368" t="s">
        <v>149</v>
      </c>
      <c r="H52" s="369"/>
      <c r="I52" s="369"/>
      <c r="J52" s="370"/>
      <c r="K52" s="368" t="s">
        <v>149</v>
      </c>
      <c r="L52" s="369"/>
      <c r="M52" s="369"/>
      <c r="N52" s="370"/>
      <c r="O52" s="368" t="s">
        <v>149</v>
      </c>
      <c r="P52" s="369"/>
      <c r="Q52" s="369"/>
      <c r="R52" s="370"/>
      <c r="S52" s="368" t="s">
        <v>149</v>
      </c>
      <c r="T52" s="369"/>
      <c r="U52" s="369"/>
      <c r="V52" s="370"/>
      <c r="W52" s="368" t="s">
        <v>149</v>
      </c>
      <c r="X52" s="369"/>
      <c r="Y52" s="369"/>
      <c r="Z52" s="370"/>
      <c r="AA52" s="368" t="s">
        <v>149</v>
      </c>
      <c r="AB52" s="369"/>
      <c r="AC52" s="369"/>
      <c r="AD52" s="370"/>
      <c r="AE52" s="368" t="s">
        <v>149</v>
      </c>
      <c r="AF52" s="369"/>
      <c r="AG52" s="369"/>
      <c r="AH52" s="370"/>
      <c r="AI52" s="368" t="s">
        <v>149</v>
      </c>
      <c r="AJ52" s="369"/>
      <c r="AK52" s="369"/>
      <c r="AL52" s="370"/>
      <c r="AM52" s="368" t="s">
        <v>149</v>
      </c>
      <c r="AN52" s="369"/>
      <c r="AO52" s="369"/>
      <c r="AP52" s="370"/>
      <c r="AQ52" s="368" t="s">
        <v>149</v>
      </c>
      <c r="AR52" s="369"/>
      <c r="AS52" s="369"/>
      <c r="AT52" s="370"/>
      <c r="AU52" s="368" t="s">
        <v>149</v>
      </c>
      <c r="AV52" s="369"/>
      <c r="AW52" s="369"/>
      <c r="AX52" s="370"/>
    </row>
    <row r="53" spans="1:62" ht="15.75" thickBot="1">
      <c r="C53" s="93" t="s">
        <v>150</v>
      </c>
      <c r="D53" s="371" t="s">
        <v>31</v>
      </c>
      <c r="E53" s="372"/>
      <c r="F53" s="94" t="s">
        <v>88</v>
      </c>
      <c r="G53" s="93" t="s">
        <v>150</v>
      </c>
      <c r="H53" s="371" t="s">
        <v>31</v>
      </c>
      <c r="I53" s="372"/>
      <c r="J53" s="94" t="s">
        <v>88</v>
      </c>
      <c r="K53" s="93" t="s">
        <v>150</v>
      </c>
      <c r="L53" s="371" t="s">
        <v>31</v>
      </c>
      <c r="M53" s="372"/>
      <c r="N53" s="94" t="s">
        <v>88</v>
      </c>
      <c r="O53" s="93" t="s">
        <v>150</v>
      </c>
      <c r="P53" s="371" t="s">
        <v>31</v>
      </c>
      <c r="Q53" s="372"/>
      <c r="R53" s="94" t="s">
        <v>88</v>
      </c>
      <c r="S53" s="93" t="s">
        <v>150</v>
      </c>
      <c r="T53" s="371" t="s">
        <v>31</v>
      </c>
      <c r="U53" s="372"/>
      <c r="V53" s="94" t="s">
        <v>88</v>
      </c>
      <c r="W53" s="93" t="s">
        <v>150</v>
      </c>
      <c r="X53" s="371" t="s">
        <v>31</v>
      </c>
      <c r="Y53" s="372"/>
      <c r="Z53" s="94" t="s">
        <v>88</v>
      </c>
      <c r="AA53" s="93" t="s">
        <v>150</v>
      </c>
      <c r="AB53" s="371" t="s">
        <v>31</v>
      </c>
      <c r="AC53" s="372"/>
      <c r="AD53" s="94" t="s">
        <v>88</v>
      </c>
      <c r="AE53" s="93" t="s">
        <v>150</v>
      </c>
      <c r="AF53" s="371" t="s">
        <v>31</v>
      </c>
      <c r="AG53" s="372"/>
      <c r="AH53" s="94" t="s">
        <v>88</v>
      </c>
      <c r="AI53" s="93" t="s">
        <v>150</v>
      </c>
      <c r="AJ53" s="371" t="s">
        <v>31</v>
      </c>
      <c r="AK53" s="372"/>
      <c r="AL53" s="94" t="s">
        <v>88</v>
      </c>
      <c r="AM53" s="93" t="s">
        <v>150</v>
      </c>
      <c r="AN53" s="371" t="s">
        <v>31</v>
      </c>
      <c r="AO53" s="372"/>
      <c r="AP53" s="94" t="s">
        <v>88</v>
      </c>
      <c r="AQ53" s="93" t="s">
        <v>150</v>
      </c>
      <c r="AR53" s="371" t="s">
        <v>31</v>
      </c>
      <c r="AS53" s="372"/>
      <c r="AT53" s="94" t="s">
        <v>88</v>
      </c>
      <c r="AU53" s="93" t="s">
        <v>150</v>
      </c>
      <c r="AV53" s="371" t="s">
        <v>31</v>
      </c>
      <c r="AW53" s="372"/>
      <c r="AX53" s="94" t="s">
        <v>88</v>
      </c>
    </row>
    <row r="54" spans="1:62">
      <c r="C54" s="95">
        <v>43495</v>
      </c>
      <c r="D54" s="373" t="s">
        <v>235</v>
      </c>
      <c r="E54" s="374"/>
      <c r="F54" s="98"/>
      <c r="G54" s="95">
        <v>43497</v>
      </c>
      <c r="H54" s="373" t="s">
        <v>270</v>
      </c>
      <c r="I54" s="374"/>
      <c r="J54" s="100">
        <v>500</v>
      </c>
      <c r="K54" s="95">
        <v>43539</v>
      </c>
      <c r="L54" s="379" t="s">
        <v>257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243</v>
      </c>
      <c r="U54" s="380"/>
      <c r="V54" s="103"/>
      <c r="W54" s="95">
        <v>43624</v>
      </c>
      <c r="X54" s="379" t="s">
        <v>153</v>
      </c>
      <c r="Y54" s="380"/>
      <c r="Z54" s="104">
        <v>10</v>
      </c>
      <c r="AA54" s="95"/>
      <c r="AB54" s="386" t="s">
        <v>477</v>
      </c>
      <c r="AC54" s="387"/>
      <c r="AD54" s="239">
        <v>16</v>
      </c>
      <c r="AE54" s="95"/>
      <c r="AF54" s="398"/>
      <c r="AG54" s="399"/>
      <c r="AH54" s="100"/>
      <c r="AI54" s="95"/>
      <c r="AJ54" s="400"/>
      <c r="AK54" s="401"/>
      <c r="AL54" s="100"/>
      <c r="AM54" s="95"/>
      <c r="AN54" s="400"/>
      <c r="AO54" s="401"/>
      <c r="AP54" s="100"/>
      <c r="AQ54" s="95"/>
      <c r="AR54" s="384"/>
      <c r="AS54" s="385"/>
      <c r="AT54" s="100"/>
      <c r="AU54" s="95"/>
      <c r="AV54" s="373"/>
      <c r="AW54" s="374"/>
      <c r="AX54" s="100"/>
    </row>
    <row r="55" spans="1:62">
      <c r="C55" s="96"/>
      <c r="D55" s="377" t="s">
        <v>236</v>
      </c>
      <c r="E55" s="378"/>
      <c r="F55" s="98">
        <v>121.4</v>
      </c>
      <c r="G55" s="96">
        <v>43516</v>
      </c>
      <c r="H55" s="377" t="s">
        <v>311</v>
      </c>
      <c r="I55" s="378"/>
      <c r="J55" s="100"/>
      <c r="K55" s="96">
        <v>43553</v>
      </c>
      <c r="L55" s="377" t="s">
        <v>297</v>
      </c>
      <c r="M55" s="378"/>
      <c r="N55" s="100">
        <v>4421.9399999999996</v>
      </c>
      <c r="O55" s="96">
        <v>43565</v>
      </c>
      <c r="P55" s="377" t="s">
        <v>323</v>
      </c>
      <c r="Q55" s="378"/>
      <c r="R55" s="100">
        <v>10</v>
      </c>
      <c r="S55" s="96">
        <v>43607</v>
      </c>
      <c r="T55" s="377" t="s">
        <v>311</v>
      </c>
      <c r="U55" s="378"/>
      <c r="V55" s="100"/>
      <c r="W55" s="96">
        <v>43637</v>
      </c>
      <c r="X55" s="377" t="s">
        <v>151</v>
      </c>
      <c r="Y55" s="378"/>
      <c r="Z55" s="100">
        <v>10</v>
      </c>
      <c r="AA55" s="96"/>
      <c r="AB55" s="377"/>
      <c r="AC55" s="378"/>
      <c r="AD55" s="100"/>
      <c r="AE55" s="96"/>
      <c r="AF55" s="394"/>
      <c r="AG55" s="395"/>
      <c r="AH55" s="100"/>
      <c r="AI55" s="96"/>
      <c r="AJ55" s="394"/>
      <c r="AK55" s="395"/>
      <c r="AL55" s="100"/>
      <c r="AM55" s="96"/>
      <c r="AN55" s="394"/>
      <c r="AO55" s="395"/>
      <c r="AP55" s="100"/>
      <c r="AQ55" s="96"/>
      <c r="AR55" s="377"/>
      <c r="AS55" s="378"/>
      <c r="AT55" s="100"/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151</v>
      </c>
      <c r="E56" s="378"/>
      <c r="F56" s="98">
        <v>15</v>
      </c>
      <c r="G56" s="96">
        <v>43507</v>
      </c>
      <c r="H56" s="377" t="s">
        <v>323</v>
      </c>
      <c r="I56" s="378"/>
      <c r="J56" s="100">
        <v>10</v>
      </c>
      <c r="K56" s="96">
        <v>43529</v>
      </c>
      <c r="L56" s="377" t="s">
        <v>325</v>
      </c>
      <c r="M56" s="378"/>
      <c r="N56" s="100">
        <v>3362.6</v>
      </c>
      <c r="O56" s="96">
        <v>43576</v>
      </c>
      <c r="P56" s="386" t="s">
        <v>235</v>
      </c>
      <c r="Q56" s="387"/>
      <c r="R56" s="102"/>
      <c r="S56" s="96">
        <v>43615</v>
      </c>
      <c r="T56" s="377" t="s">
        <v>235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/>
      <c r="AF56" s="394"/>
      <c r="AG56" s="395"/>
      <c r="AH56" s="100"/>
      <c r="AI56" s="96"/>
      <c r="AJ56" s="388"/>
      <c r="AK56" s="389"/>
      <c r="AL56" s="100"/>
      <c r="AM56" s="96"/>
      <c r="AN56" s="388"/>
      <c r="AO56" s="389"/>
      <c r="AP56" s="100"/>
      <c r="AQ56" s="96"/>
      <c r="AR56" s="394"/>
      <c r="AS56" s="395"/>
      <c r="AT56" s="100"/>
      <c r="AU56" s="96"/>
      <c r="AV56" s="377"/>
      <c r="AW56" s="378"/>
      <c r="AX56" s="100"/>
    </row>
    <row r="57" spans="1:62">
      <c r="C57" s="96">
        <v>43476</v>
      </c>
      <c r="D57" s="377" t="s">
        <v>153</v>
      </c>
      <c r="E57" s="378"/>
      <c r="F57" s="98">
        <v>10</v>
      </c>
      <c r="G57" s="96">
        <v>43516</v>
      </c>
      <c r="H57" s="377" t="s">
        <v>352</v>
      </c>
      <c r="I57" s="378"/>
      <c r="J57" s="100"/>
      <c r="K57" s="96">
        <v>43533</v>
      </c>
      <c r="L57" s="377" t="s">
        <v>235</v>
      </c>
      <c r="M57" s="378"/>
      <c r="N57" s="100"/>
      <c r="O57" s="96">
        <v>43578</v>
      </c>
      <c r="P57" s="381" t="s">
        <v>390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/>
      <c r="AJ57" s="390"/>
      <c r="AK57" s="391"/>
      <c r="AL57" s="100"/>
      <c r="AM57" s="96"/>
      <c r="AN57" s="388"/>
      <c r="AO57" s="389"/>
      <c r="AP57" s="100"/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243</v>
      </c>
      <c r="E58" s="378"/>
      <c r="F58" s="98"/>
      <c r="G58" s="96"/>
      <c r="H58" s="377"/>
      <c r="I58" s="378"/>
      <c r="J58" s="100"/>
      <c r="K58" s="96">
        <v>43536</v>
      </c>
      <c r="L58" s="377" t="s">
        <v>243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/>
      <c r="AN58" s="390"/>
      <c r="AO58" s="391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271</v>
      </c>
      <c r="E59" s="378"/>
      <c r="F59" s="98">
        <v>50</v>
      </c>
      <c r="G59" s="96"/>
      <c r="H59" s="377"/>
      <c r="I59" s="378"/>
      <c r="J59" s="100"/>
      <c r="K59" s="96"/>
      <c r="L59" s="377" t="s">
        <v>386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0"/>
      <c r="AO59" s="391"/>
      <c r="AP59" s="100"/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290</v>
      </c>
      <c r="E60" s="378"/>
      <c r="F60" s="98"/>
      <c r="G60" s="96"/>
      <c r="H60" s="377"/>
      <c r="I60" s="378"/>
      <c r="J60" s="100"/>
      <c r="K60" s="235">
        <v>43549</v>
      </c>
      <c r="L60" s="381" t="s">
        <v>390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292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567</v>
      </c>
      <c r="U70" s="378"/>
      <c r="V70" s="100">
        <v>3742.92</v>
      </c>
      <c r="W70" s="96"/>
      <c r="X70" s="377" t="s">
        <v>565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568</v>
      </c>
      <c r="U71" s="393"/>
      <c r="V71" s="101">
        <v>1872.17</v>
      </c>
      <c r="W71" s="97"/>
      <c r="X71" s="392" t="s">
        <v>566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78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25</v>
      </c>
      <c r="D75">
        <f>C75*D74</f>
        <v>83.333333333333343</v>
      </c>
      <c r="Z75" s="111"/>
    </row>
    <row r="76" spans="1:50">
      <c r="D76">
        <f>D75-D73</f>
        <v>5.3333333333333428</v>
      </c>
    </row>
    <row r="78" spans="1:50">
      <c r="W78" t="s">
        <v>673</v>
      </c>
      <c r="X78">
        <v>4</v>
      </c>
      <c r="Y78">
        <v>10</v>
      </c>
      <c r="Z78">
        <f>SUM(X78:Y78)</f>
        <v>14</v>
      </c>
    </row>
    <row r="79" spans="1:50">
      <c r="W79" t="s">
        <v>674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675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676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'08'!A6+(B6-SUM(D6:F6))</f>
        <v>1611.34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'08'!A7+(B7-SUM(D7:F7))</f>
        <v>310.39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'08'!A8+(B8-SUM(D8:F8))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'08'!A10+(B10-SUM(D10:F10))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'08'!A11+(B11-SUM(D11:F11))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'08'!A13+(B13-SUM(D13:F13))</f>
        <v>45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2269.4300000000003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'08'!A26+(B26-SUM(D26:F26))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'08'!A27+(B27-SUM(D27:F27))</f>
        <v>560.03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'08'!A29+(B29-SUM(D29:F29))</f>
        <v>55.480000000000004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3740.09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212.93000000000004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2656.1800000000012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1571.44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'08'!A467+(B467-SUM(D467:F467))</f>
        <v>515.23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'08'!A468+(B468-SUM(D468:F468))</f>
        <v>178.4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2010.9299999999998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'09'!A7+(B7-SUM(D7:F7))</f>
        <v>380.57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'09'!A8+(B8-SUM(D8:F8))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'09'!A10+(B10-SUM(D10:F10))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'09'!A11+(B11-SUM(D11:F11))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'09'!A13+(B13-SUM(D13:F13))</f>
        <v>52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2813.43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'09'!A26+(B26-SUM(D26:F26))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'09'!A27+(B27-SUM(D27:F27))</f>
        <v>730.03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'09'!A29+(B29-SUM(D29:F29))</f>
        <v>73.48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4868.0899999999992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283.93000000000006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2681.7100000000014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1950.91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535.23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'10'!A6+(B6-SUM(D6:F6))</f>
        <v>2410.52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'10'!A7+(B7-SUM(D7:F7))</f>
        <v>450.75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'10'!A8+(B8-SUM(D8:F8))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'10'!A10+(B10-SUM(D10:F10))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'10'!A11+(B11-SUM(D11:F11))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'10'!A13+(B13-SUM(D13:F13))</f>
        <v>59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3357.43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'10'!A26+(B26-SUM(D26:F26))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'10'!A27+(B27-SUM(D27:F27))</f>
        <v>900.03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'10'!A29+(B29-SUM(D29:F29))</f>
        <v>91.48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5996.0899999999992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354.93000000000006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2707.2400000000016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2330.38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100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555.23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188.4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843.63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'11'!A6+(B6-SUM(D6:F6))</f>
        <v>2810.11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'11'!A7+(B7-SUM(D7:F7))</f>
        <v>520.93000000000006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'11'!A8+(B8-SUM(D8:F8))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'11'!A10+(B10-SUM(D10:F10))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'11'!A11+(B11-SUM(D11:F11))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'11'!A13+(B13-SUM(D13:F13))</f>
        <v>66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3901.43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'11'!A26+(B26-SUM(D26:F26))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'11'!A27+(B27-SUM(D27:F27))</f>
        <v>1070.03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'11'!A29+(B29-SUM(D29:F29))</f>
        <v>109.48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7124.0899999999992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425.93000000000006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2732.7700000000018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2709.8500000000004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125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575.23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193.4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0" workbookViewId="0">
      <selection activeCell="I25" sqref="I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180</v>
      </c>
      <c r="B3" s="114">
        <f>Historico!I25</f>
        <v>43739</v>
      </c>
      <c r="D3" s="44"/>
      <c r="E3" s="45"/>
    </row>
    <row r="4" spans="1:13" ht="12.75" customHeight="1">
      <c r="A4" t="s">
        <v>179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-0.21199999999999999</v>
      </c>
      <c r="C6" s="44" t="s">
        <v>95</v>
      </c>
      <c r="D6" s="43" t="s">
        <v>96</v>
      </c>
      <c r="E6" s="42"/>
      <c r="J6" t="s">
        <v>97</v>
      </c>
      <c r="K6" s="49">
        <f>B4-B15</f>
        <v>129682.81238562995</v>
      </c>
      <c r="L6" s="39">
        <f>B4*(E8/100)</f>
        <v>31.211721600000004</v>
      </c>
      <c r="M6" s="49">
        <f>B13-L6</f>
        <v>366.0276143700421</v>
      </c>
    </row>
    <row r="7" spans="1:13" ht="12.75" customHeight="1">
      <c r="E7" s="42"/>
      <c r="J7" t="s">
        <v>98</v>
      </c>
      <c r="K7" s="49">
        <f>K6-(B13-L7)</f>
        <v>129316.69692463246</v>
      </c>
      <c r="L7" s="39">
        <f>(K6*(E8/100))</f>
        <v>31.123874972551192</v>
      </c>
      <c r="M7" s="49">
        <f>B13-L7</f>
        <v>366.11546099749091</v>
      </c>
    </row>
    <row r="8" spans="1:13" ht="12.75" customHeight="1">
      <c r="B8" s="42"/>
      <c r="D8" t="s">
        <v>183</v>
      </c>
      <c r="E8" s="50">
        <f>(B6+0.5)/12</f>
        <v>2.4000000000000004E-2</v>
      </c>
      <c r="J8" t="s">
        <v>99</v>
      </c>
      <c r="K8" s="49">
        <f>K7-(B13-L8)</f>
        <v>128950.49359592433</v>
      </c>
      <c r="L8" s="39">
        <f>(K7*(E8/100))</f>
        <v>31.036007261911795</v>
      </c>
      <c r="M8" s="49">
        <f>B13-L8</f>
        <v>366.2033287081303</v>
      </c>
    </row>
    <row r="9" spans="1:13" ht="12.75" customHeight="1">
      <c r="A9" t="s">
        <v>310</v>
      </c>
      <c r="B9" s="114">
        <v>54117</v>
      </c>
      <c r="D9" t="s">
        <v>100</v>
      </c>
      <c r="E9" s="50">
        <f>1+(E8/100)</f>
        <v>1.00024</v>
      </c>
      <c r="J9" t="s">
        <v>101</v>
      </c>
      <c r="K9" s="49">
        <f>K8-(B13-L9)</f>
        <v>128584.20237841731</v>
      </c>
      <c r="L9" s="39">
        <f>(K8*(E8/100))</f>
        <v>30.948118463021842</v>
      </c>
      <c r="M9" s="49">
        <f>B13-L9</f>
        <v>366.29121750702024</v>
      </c>
    </row>
    <row r="10" spans="1:13" ht="12.75" customHeight="1">
      <c r="B10" s="42"/>
      <c r="D10" t="s">
        <v>102</v>
      </c>
      <c r="E10" s="50">
        <f>E9^-B5</f>
        <v>0.92142842167485184</v>
      </c>
      <c r="J10" t="s">
        <v>103</v>
      </c>
      <c r="K10" s="49">
        <f>K9-(B13-L10)</f>
        <v>128217.82325101808</v>
      </c>
      <c r="L10" s="39">
        <f>(K9*(E8/100))</f>
        <v>30.860208570820159</v>
      </c>
      <c r="M10" s="49">
        <f>B13-L10</f>
        <v>366.37912739922194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7.8571578325148161</v>
      </c>
      <c r="J11" t="s">
        <v>106</v>
      </c>
      <c r="K11" s="51">
        <f>K10-(B13-L11)</f>
        <v>127851.35619262829</v>
      </c>
      <c r="L11" s="39">
        <f>(K10*(E8/100))</f>
        <v>30.772277580244346</v>
      </c>
      <c r="M11" s="49">
        <f>B13-L11</f>
        <v>366.46705838979773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397.23933597004208</v>
      </c>
      <c r="E13" s="42"/>
      <c r="F13" s="44"/>
      <c r="G13" s="53"/>
      <c r="L13" s="54">
        <f>SUM(L6:L11)</f>
        <v>185.95220844854933</v>
      </c>
      <c r="M13" s="54">
        <f>SUM(M6:M11)</f>
        <v>2197.4838073717033</v>
      </c>
    </row>
    <row r="14" spans="1:13" ht="12.75" customHeight="1">
      <c r="A14" t="s">
        <v>108</v>
      </c>
      <c r="B14" s="55">
        <f>B4*(E8/100)</f>
        <v>31.211721600000004</v>
      </c>
      <c r="E14" s="42"/>
    </row>
    <row r="15" spans="1:13" ht="12.75" customHeight="1">
      <c r="A15" t="s">
        <v>109</v>
      </c>
      <c r="B15" s="55">
        <f>B13-B14</f>
        <v>366.0276143700421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397.24089597004206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-0.21199999999999999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-0.21199999999999999</v>
      </c>
    </row>
    <row r="21" spans="1:9" ht="12.75" customHeight="1">
      <c r="E21" s="42"/>
      <c r="F21">
        <v>1</v>
      </c>
      <c r="G21" s="57">
        <v>0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2197.4838073717033</v>
      </c>
      <c r="C22" s="58">
        <f>B22/170000</f>
        <v>1.2926375337480608E-2</v>
      </c>
      <c r="E22" s="42"/>
      <c r="F22">
        <v>4</v>
      </c>
      <c r="G22" s="57">
        <v>0</v>
      </c>
    </row>
    <row r="23" spans="1:9" ht="12.75" customHeight="1">
      <c r="A23" t="s">
        <v>115</v>
      </c>
      <c r="B23" s="53">
        <f>K11</f>
        <v>127851.35619262829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11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18</v>
      </c>
      <c r="G32" s="57">
        <v>0</v>
      </c>
    </row>
    <row r="33" spans="2:10" ht="12.75" customHeight="1">
      <c r="C33" s="59"/>
      <c r="E33" s="42"/>
      <c r="F33">
        <v>19</v>
      </c>
      <c r="G33" s="57">
        <v>0</v>
      </c>
    </row>
    <row r="34" spans="2:10" ht="12.75" customHeight="1">
      <c r="C34" s="58"/>
      <c r="E34" s="42"/>
      <c r="F34">
        <v>20</v>
      </c>
      <c r="G34" s="57">
        <v>0</v>
      </c>
    </row>
    <row r="35" spans="2:10" ht="12.75" customHeight="1">
      <c r="C35" s="58"/>
      <c r="E35" s="42"/>
      <c r="F35">
        <v>21</v>
      </c>
      <c r="G35" s="57">
        <v>0</v>
      </c>
      <c r="J35" t="s">
        <v>362</v>
      </c>
    </row>
    <row r="36" spans="2:10" ht="12.75" customHeight="1">
      <c r="E36" s="42"/>
      <c r="F36">
        <v>22</v>
      </c>
      <c r="G36" s="57">
        <v>0</v>
      </c>
    </row>
    <row r="37" spans="2:10" ht="12.75" customHeight="1">
      <c r="E37" s="42"/>
      <c r="F37">
        <v>25</v>
      </c>
      <c r="G37" s="57">
        <v>0</v>
      </c>
    </row>
    <row r="38" spans="2:10" ht="12.75" customHeight="1">
      <c r="E38" s="42"/>
      <c r="F38">
        <v>26</v>
      </c>
      <c r="G38" s="57">
        <v>0</v>
      </c>
    </row>
    <row r="39" spans="2:10" ht="12.75" customHeight="1">
      <c r="E39" s="42"/>
      <c r="F39">
        <v>27</v>
      </c>
      <c r="G39" s="57">
        <v>0</v>
      </c>
    </row>
    <row r="40" spans="2:10" ht="12.75" customHeight="1">
      <c r="E40" s="42">
        <v>-0.21199999999999999</v>
      </c>
      <c r="F40">
        <v>28</v>
      </c>
      <c r="G40" s="57">
        <f t="shared" ref="G22:G40" si="0">IF(E40="",0,1)</f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1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E21" sqref="E2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G24" sqref="G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-2.1199999999999999E-3</v>
      </c>
      <c r="D25" s="73">
        <f>Hipoteca!B$13</f>
        <v>397.23933597004208</v>
      </c>
      <c r="E25" s="72">
        <f t="shared" ref="E25" si="10">D25-D24</f>
        <v>-5.8406640299579067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8.4244047619047597E-3</v>
      </c>
      <c r="D83" s="85">
        <f>AVERAGE(D2:D82)</f>
        <v>492.57271577367345</v>
      </c>
      <c r="E83" s="86">
        <f>AVERAGE(E3:E82)</f>
        <v>-19.600463653476432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abSelected="1" topLeftCell="A16" workbookViewId="0">
      <selection activeCell="L36" sqref="L3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17.7109375" customWidth="1"/>
    <col min="20" max="20" width="12.710937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503</v>
      </c>
      <c r="B1" s="240"/>
      <c r="C1" s="241"/>
      <c r="D1" s="320"/>
      <c r="E1" s="242"/>
      <c r="F1" s="243" t="s">
        <v>504</v>
      </c>
      <c r="G1" s="244"/>
      <c r="H1" s="244"/>
      <c r="I1" s="244"/>
      <c r="J1" s="244"/>
      <c r="K1" s="245" t="s">
        <v>505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506</v>
      </c>
      <c r="B2" s="252" t="s">
        <v>507</v>
      </c>
      <c r="C2" s="252" t="s">
        <v>508</v>
      </c>
      <c r="D2" s="321" t="s">
        <v>563</v>
      </c>
      <c r="E2" s="252" t="s">
        <v>509</v>
      </c>
      <c r="F2" s="253" t="s">
        <v>510</v>
      </c>
      <c r="G2" s="254" t="s">
        <v>511</v>
      </c>
      <c r="H2" s="254" t="s">
        <v>512</v>
      </c>
      <c r="I2" s="254" t="s">
        <v>513</v>
      </c>
      <c r="J2" s="254" t="s">
        <v>7</v>
      </c>
      <c r="K2" s="255" t="s">
        <v>510</v>
      </c>
      <c r="L2" s="256" t="s">
        <v>511</v>
      </c>
      <c r="M2" s="256" t="s">
        <v>513</v>
      </c>
      <c r="N2" s="257" t="s">
        <v>7</v>
      </c>
      <c r="O2" s="258" t="s">
        <v>7</v>
      </c>
      <c r="P2" s="259" t="s">
        <v>514</v>
      </c>
      <c r="Q2" s="259" t="s">
        <v>95</v>
      </c>
      <c r="R2" s="260" t="s">
        <v>515</v>
      </c>
      <c r="S2" s="261"/>
    </row>
    <row r="3" spans="1:26">
      <c r="A3" s="262" t="s">
        <v>516</v>
      </c>
      <c r="B3" s="262" t="s">
        <v>517</v>
      </c>
      <c r="C3" s="263">
        <v>5600</v>
      </c>
      <c r="D3" s="322">
        <f ca="1">_xlfn.DAYS(K3,F3)</f>
        <v>1433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43642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537</v>
      </c>
    </row>
    <row r="4" spans="1:26">
      <c r="A4" s="262" t="s">
        <v>518</v>
      </c>
      <c r="B4" s="262" t="s">
        <v>413</v>
      </c>
      <c r="C4" s="263">
        <v>4090</v>
      </c>
      <c r="D4" s="322">
        <f ca="1">_xlfn.DAYS(K4,F4)</f>
        <v>37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43642</v>
      </c>
      <c r="L4" s="302">
        <v>73.97</v>
      </c>
      <c r="M4" s="264">
        <f>(H4*L4)</f>
        <v>4586.1400000000003</v>
      </c>
      <c r="N4" s="264">
        <f>-(IF((M4*0.0075)&lt;30,30,(M4*0.0075)) + (M4*0.0035))</f>
        <v>-50.447540000000004</v>
      </c>
      <c r="O4" s="272">
        <f>J4+N4</f>
        <v>-94.934400000000011</v>
      </c>
      <c r="P4" s="273">
        <f>M4-E4+N4</f>
        <v>446.94560000000013</v>
      </c>
      <c r="Q4" s="274">
        <f>P4/E4</f>
        <v>0.109311144784346</v>
      </c>
      <c r="R4" s="275" t="s">
        <v>537</v>
      </c>
    </row>
    <row r="5" spans="1:26">
      <c r="A5" s="262" t="s">
        <v>518</v>
      </c>
      <c r="B5" s="262" t="s">
        <v>519</v>
      </c>
      <c r="C5" s="263">
        <v>5100</v>
      </c>
      <c r="D5" s="322">
        <f ca="1">_xlfn.DAYS(K5,F5)</f>
        <v>488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43642</v>
      </c>
      <c r="L5" s="302">
        <v>29.57</v>
      </c>
      <c r="M5" s="264">
        <f>(H5*L5)</f>
        <v>5795.72</v>
      </c>
      <c r="N5" s="264">
        <f>-(IF((M5*0.0075)&lt;30,30,(M5*0.0075)) + (M5*0.0035))</f>
        <v>-63.752920000000003</v>
      </c>
      <c r="O5" s="272">
        <f>J5+N5</f>
        <v>-119.7658</v>
      </c>
      <c r="P5" s="273">
        <f>M5-E5+N5</f>
        <v>583.87420000000009</v>
      </c>
      <c r="Q5" s="274">
        <f>P5/E5</f>
        <v>0.1134156305276295</v>
      </c>
      <c r="R5" s="275" t="s">
        <v>537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</row>
    <row r="11" spans="1:26">
      <c r="A11" s="446" t="s">
        <v>520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</row>
    <row r="12" spans="1:26">
      <c r="A12" s="290" t="s">
        <v>506</v>
      </c>
      <c r="B12" s="290" t="s">
        <v>507</v>
      </c>
      <c r="C12" s="290" t="s">
        <v>508</v>
      </c>
      <c r="D12" s="324" t="s">
        <v>563</v>
      </c>
      <c r="E12" s="290" t="s">
        <v>509</v>
      </c>
      <c r="F12" s="291" t="s">
        <v>510</v>
      </c>
      <c r="G12" s="292" t="s">
        <v>511</v>
      </c>
      <c r="H12" s="292" t="s">
        <v>512</v>
      </c>
      <c r="I12" s="292" t="s">
        <v>513</v>
      </c>
      <c r="J12" s="292" t="s">
        <v>7</v>
      </c>
      <c r="K12" s="293" t="s">
        <v>510</v>
      </c>
      <c r="L12" s="294" t="s">
        <v>511</v>
      </c>
      <c r="M12" s="294" t="s">
        <v>513</v>
      </c>
      <c r="N12" s="295" t="s">
        <v>7</v>
      </c>
      <c r="O12" s="296" t="s">
        <v>7</v>
      </c>
      <c r="P12" s="297" t="s">
        <v>514</v>
      </c>
      <c r="Q12" s="297" t="s">
        <v>95</v>
      </c>
      <c r="R12" s="298" t="s">
        <v>515</v>
      </c>
      <c r="S12" s="340" t="s">
        <v>606</v>
      </c>
      <c r="W12" s="330" t="s">
        <v>533</v>
      </c>
      <c r="X12" s="330" t="s">
        <v>534</v>
      </c>
      <c r="Y12" s="330" t="s">
        <v>535</v>
      </c>
      <c r="Z12" s="330" t="s">
        <v>536</v>
      </c>
    </row>
    <row r="13" spans="1:26">
      <c r="A13" s="262" t="s">
        <v>516</v>
      </c>
      <c r="B13" s="262" t="s">
        <v>521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521</v>
      </c>
      <c r="S13" s="59">
        <f>Q13+Q14</f>
        <v>-4.7120556421087471E-2</v>
      </c>
      <c r="W13" s="39">
        <f ca="1">D13/D$43</f>
        <v>3.9540816326530615E-2</v>
      </c>
      <c r="X13" s="119">
        <f ca="1">W13*E13</f>
        <v>158.92517531887756</v>
      </c>
      <c r="Y13" s="38"/>
    </row>
    <row r="14" spans="1:26">
      <c r="A14" s="262" t="s">
        <v>516</v>
      </c>
      <c r="B14" s="262" t="s">
        <v>521</v>
      </c>
      <c r="C14" s="263"/>
      <c r="D14" s="322">
        <f t="shared" ref="D14:D35" si="0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522</v>
      </c>
      <c r="W14" s="39">
        <f t="shared" ref="W14:W41" ca="1" si="1">D14/D$43</f>
        <v>0</v>
      </c>
      <c r="X14" s="119">
        <f t="shared" ref="X14:X41" ca="1" si="2">W14*E14</f>
        <v>0</v>
      </c>
    </row>
    <row r="15" spans="1:26">
      <c r="A15" s="262" t="s">
        <v>516</v>
      </c>
      <c r="B15" s="262" t="s">
        <v>523</v>
      </c>
      <c r="C15" s="263"/>
      <c r="D15" s="322">
        <f t="shared" si="0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523</v>
      </c>
      <c r="W15" s="39">
        <f t="shared" ca="1" si="1"/>
        <v>3.5076530612244895E-2</v>
      </c>
      <c r="X15" s="119">
        <f t="shared" ca="1" si="2"/>
        <v>0</v>
      </c>
    </row>
    <row r="16" spans="1:26">
      <c r="A16" s="262" t="s">
        <v>516</v>
      </c>
      <c r="B16" s="262" t="s">
        <v>524</v>
      </c>
      <c r="C16" s="263"/>
      <c r="D16" s="322">
        <f t="shared" si="0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524</v>
      </c>
      <c r="W16" s="39">
        <f t="shared" ca="1" si="1"/>
        <v>8.9285714285714281E-3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0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525</v>
      </c>
      <c r="W17" s="39">
        <f t="shared" ca="1" si="1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0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526</v>
      </c>
      <c r="W18" s="39">
        <f t="shared" ca="1" si="1"/>
        <v>0</v>
      </c>
      <c r="X18" s="119">
        <f t="shared" ca="1" si="2"/>
        <v>0</v>
      </c>
    </row>
    <row r="19" spans="1:24">
      <c r="A19" s="262" t="s">
        <v>516</v>
      </c>
      <c r="B19" s="262" t="s">
        <v>524</v>
      </c>
      <c r="C19" s="263">
        <v>4400</v>
      </c>
      <c r="D19" s="322">
        <f t="shared" si="0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524</v>
      </c>
      <c r="S19" s="59">
        <f>Q19+Q21+Q24</f>
        <v>0.24013324659263452</v>
      </c>
      <c r="W19" s="39">
        <f t="shared" ca="1" si="1"/>
        <v>0.55420918367346939</v>
      </c>
      <c r="X19" s="119">
        <f t="shared" ca="1" si="2"/>
        <v>2451.48885872449</v>
      </c>
    </row>
    <row r="20" spans="1:24">
      <c r="A20" s="262" t="s">
        <v>516</v>
      </c>
      <c r="B20" s="262" t="s">
        <v>524</v>
      </c>
      <c r="C20" s="263">
        <v>605</v>
      </c>
      <c r="D20" s="322">
        <f t="shared" si="0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564</v>
      </c>
      <c r="W20" s="39">
        <f t="shared" ca="1" si="1"/>
        <v>0.40306122448979592</v>
      </c>
      <c r="X20" s="119">
        <f t="shared" ca="1" si="2"/>
        <v>242.07857142857145</v>
      </c>
    </row>
    <row r="21" spans="1:24">
      <c r="A21" s="262" t="s">
        <v>516</v>
      </c>
      <c r="B21" s="262" t="s">
        <v>524</v>
      </c>
      <c r="C21" s="263"/>
      <c r="D21" s="322">
        <f t="shared" si="0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527</v>
      </c>
      <c r="W21" s="39">
        <f t="shared" ca="1" si="1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0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525</v>
      </c>
      <c r="W22" s="39">
        <f t="shared" ca="1" si="1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0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528</v>
      </c>
      <c r="W23" s="39">
        <f t="shared" ca="1" si="1"/>
        <v>0</v>
      </c>
      <c r="X23" s="119">
        <f t="shared" ca="1" si="2"/>
        <v>0</v>
      </c>
    </row>
    <row r="24" spans="1:24">
      <c r="A24" s="262" t="s">
        <v>516</v>
      </c>
      <c r="B24" s="262" t="s">
        <v>524</v>
      </c>
      <c r="C24" s="263"/>
      <c r="D24" s="322">
        <f t="shared" si="0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529</v>
      </c>
      <c r="W24" s="39">
        <f t="shared" ca="1" si="1"/>
        <v>0</v>
      </c>
      <c r="X24" s="119">
        <f t="shared" ca="1" si="2"/>
        <v>0</v>
      </c>
    </row>
    <row r="25" spans="1:24">
      <c r="A25" s="262" t="s">
        <v>516</v>
      </c>
      <c r="B25" s="262" t="s">
        <v>524</v>
      </c>
      <c r="C25" s="263">
        <v>600</v>
      </c>
      <c r="D25" s="322">
        <f t="shared" si="0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524</v>
      </c>
      <c r="W25" s="39">
        <f t="shared" ca="1" si="1"/>
        <v>0.18367346938775511</v>
      </c>
      <c r="X25" s="119">
        <f t="shared" ca="1" si="2"/>
        <v>111.66671497959183</v>
      </c>
    </row>
    <row r="26" spans="1:24">
      <c r="A26" s="262"/>
      <c r="B26" s="262"/>
      <c r="C26" s="263"/>
      <c r="D26" s="322">
        <f t="shared" si="0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530</v>
      </c>
      <c r="W26" s="39">
        <f t="shared" ca="1" si="1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0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530</v>
      </c>
      <c r="W27" s="39">
        <f t="shared" ca="1" si="1"/>
        <v>0</v>
      </c>
      <c r="X27" s="119">
        <f t="shared" ca="1" si="2"/>
        <v>0</v>
      </c>
    </row>
    <row r="28" spans="1:24">
      <c r="A28" s="262" t="s">
        <v>518</v>
      </c>
      <c r="B28" s="262" t="s">
        <v>519</v>
      </c>
      <c r="C28" s="263">
        <v>5100</v>
      </c>
      <c r="D28" s="322">
        <f t="shared" ca="1" si="0"/>
        <v>488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43642</v>
      </c>
      <c r="L28" s="302">
        <v>25.5</v>
      </c>
      <c r="M28" s="264">
        <f>(H28*L28)</f>
        <v>4998</v>
      </c>
      <c r="N28" s="264">
        <f>-(IF((M28*0.0075)&lt;30,30,(M28*0.0075)) + (M28*0.0035))</f>
        <v>-54.978000000000002</v>
      </c>
      <c r="O28" s="272">
        <f>J28+N28</f>
        <v>-110.99088</v>
      </c>
      <c r="P28" s="273">
        <f ca="1">IF(K28=0,0,M28-E28+N28)</f>
        <v>-205.07088000000016</v>
      </c>
      <c r="Q28" s="274">
        <f ca="1">P28/E28</f>
        <v>-3.983433958557487E-2</v>
      </c>
      <c r="R28" s="275" t="s">
        <v>519</v>
      </c>
      <c r="S28" s="59">
        <f ca="1">Q28+Q29+Q30+Q34</f>
        <v>-1.5429185496746543E-2</v>
      </c>
      <c r="W28" s="39">
        <f t="shared" ca="1" si="1"/>
        <v>0.31122448979591838</v>
      </c>
      <c r="X28" s="119">
        <f t="shared" ca="1" si="2"/>
        <v>1602.2125800000001</v>
      </c>
    </row>
    <row r="29" spans="1:24">
      <c r="A29" s="262" t="s">
        <v>518</v>
      </c>
      <c r="B29" s="262" t="s">
        <v>519</v>
      </c>
      <c r="C29" s="263"/>
      <c r="D29" s="322">
        <f t="shared" si="0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473</v>
      </c>
      <c r="W29" s="39">
        <f t="shared" ca="1" si="1"/>
        <v>0</v>
      </c>
      <c r="X29" s="119">
        <f t="shared" ca="1" si="2"/>
        <v>0</v>
      </c>
    </row>
    <row r="30" spans="1:24">
      <c r="A30" s="262" t="s">
        <v>518</v>
      </c>
      <c r="B30" s="262" t="s">
        <v>519</v>
      </c>
      <c r="C30" s="263"/>
      <c r="D30" s="322">
        <f t="shared" si="0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473</v>
      </c>
      <c r="W30" s="39">
        <f t="shared" ca="1" si="1"/>
        <v>0</v>
      </c>
      <c r="X30" s="119">
        <f t="shared" ca="1" si="2"/>
        <v>0</v>
      </c>
    </row>
    <row r="31" spans="1:24">
      <c r="A31" s="262" t="s">
        <v>518</v>
      </c>
      <c r="B31" s="262"/>
      <c r="C31" s="263"/>
      <c r="D31" s="322">
        <f t="shared" si="0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531</v>
      </c>
      <c r="W31" s="39">
        <f t="shared" ca="1" si="1"/>
        <v>0</v>
      </c>
      <c r="X31" s="119">
        <f t="shared" ca="1" si="2"/>
        <v>0</v>
      </c>
    </row>
    <row r="32" spans="1:24">
      <c r="A32" s="262" t="s">
        <v>518</v>
      </c>
      <c r="B32" s="262"/>
      <c r="C32" s="263"/>
      <c r="D32" s="322">
        <f t="shared" si="0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</f>
        <v>-12.78</v>
      </c>
      <c r="Q32" s="274"/>
      <c r="R32" s="275" t="s">
        <v>532</v>
      </c>
      <c r="W32" s="39">
        <f t="shared" ca="1" si="1"/>
        <v>0</v>
      </c>
      <c r="X32" s="119">
        <f t="shared" ca="1" si="2"/>
        <v>0</v>
      </c>
    </row>
    <row r="33" spans="1:26">
      <c r="A33" s="262" t="s">
        <v>518</v>
      </c>
      <c r="B33" s="262" t="s">
        <v>413</v>
      </c>
      <c r="C33" s="263">
        <v>4090</v>
      </c>
      <c r="D33" s="322">
        <f t="shared" si="0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413</v>
      </c>
      <c r="W33" s="39">
        <f t="shared" ca="1" si="1"/>
        <v>1.4030612244897959E-2</v>
      </c>
      <c r="X33" s="119">
        <f t="shared" ca="1" si="2"/>
        <v>57.934168622448972</v>
      </c>
    </row>
    <row r="34" spans="1:26">
      <c r="A34" s="262" t="s">
        <v>518</v>
      </c>
      <c r="B34" s="262" t="s">
        <v>519</v>
      </c>
      <c r="C34" s="263"/>
      <c r="D34" s="322">
        <f t="shared" si="0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473</v>
      </c>
      <c r="W34" s="39">
        <f t="shared" ca="1" si="1"/>
        <v>0</v>
      </c>
      <c r="X34" s="119">
        <f t="shared" ca="1" si="2"/>
        <v>0</v>
      </c>
    </row>
    <row r="35" spans="1:26">
      <c r="A35" s="262" t="s">
        <v>518</v>
      </c>
      <c r="B35" s="262" t="s">
        <v>413</v>
      </c>
      <c r="C35" s="263">
        <v>4090</v>
      </c>
      <c r="D35" s="322">
        <f t="shared" ca="1" si="0"/>
        <v>37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43642</v>
      </c>
      <c r="L35" s="302">
        <v>64.5</v>
      </c>
      <c r="M35" s="264">
        <f>(H35*L35)</f>
        <v>3999</v>
      </c>
      <c r="N35" s="264">
        <f>-(IF((M35*0.0075)&lt;30,30,(M35*0.0075)) + (M35*0.0035))</f>
        <v>-43.996499999999997</v>
      </c>
      <c r="O35" s="272">
        <f>J35+N35</f>
        <v>-88.483360000000005</v>
      </c>
      <c r="P35" s="273">
        <f ca="1">IF(K35=0,0,M35-E35+N35)</f>
        <v>-133.74336000000019</v>
      </c>
      <c r="Q35" s="274">
        <f ca="1">P35/E35</f>
        <v>-3.2710110109384516E-2</v>
      </c>
      <c r="R35" s="275" t="s">
        <v>413</v>
      </c>
      <c r="W35" s="39">
        <f t="shared" ca="1" si="1"/>
        <v>2.3596938775510203E-2</v>
      </c>
      <c r="X35" s="119">
        <f t="shared" ca="1" si="2"/>
        <v>96.481909323979593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1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1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1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1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1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1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2467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-369.55575900000008</v>
      </c>
      <c r="O42" s="315">
        <f>SUM(O13:O41)</f>
        <v>-555.75389700000005</v>
      </c>
      <c r="P42" s="315">
        <f ca="1">SUM(P13:P41)</f>
        <v>3319.0644829999997</v>
      </c>
      <c r="Q42" s="326">
        <f ca="1">SUM(Q13:Q41)</f>
        <v>3.8508212564661108</v>
      </c>
      <c r="R42" s="317"/>
      <c r="W42" s="327">
        <f ca="1">SUM(W13:W41)</f>
        <v>1.5733418367346939</v>
      </c>
      <c r="X42" s="328">
        <f ca="1">SUM(X13:X41)</f>
        <v>4720.7879783979597</v>
      </c>
      <c r="Y42" s="329">
        <f ca="1">P42/X42</f>
        <v>0.70307425332123319</v>
      </c>
      <c r="Z42" s="329">
        <f ca="1">Y42/(D$43/365)</f>
        <v>0.16366205514174115</v>
      </c>
    </row>
    <row r="43" spans="1:26">
      <c r="C43" s="119" t="s">
        <v>570</v>
      </c>
      <c r="D43" s="46">
        <f ca="1">_xlfn.DAYS(TODAY(),F13)</f>
        <v>1568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</row>
    <row r="46" spans="1:26">
      <c r="C46" s="119"/>
      <c r="E46" s="119"/>
      <c r="F46" s="300"/>
      <c r="G46" s="119"/>
      <c r="H46" s="303"/>
      <c r="I46" s="119"/>
      <c r="J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538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539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540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541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542</v>
      </c>
      <c r="T62" s="41" t="s">
        <v>543</v>
      </c>
      <c r="U62" s="38"/>
    </row>
    <row r="63" spans="3:28" ht="15.75">
      <c r="G63" s="38"/>
      <c r="R63" t="s">
        <v>544</v>
      </c>
      <c r="S63" s="309" t="s">
        <v>545</v>
      </c>
      <c r="T63" s="310"/>
      <c r="U63" s="38"/>
    </row>
    <row r="64" spans="3:28">
      <c r="F64" s="38"/>
      <c r="G64" s="38"/>
      <c r="R64" t="s">
        <v>546</v>
      </c>
      <c r="S64" s="309" t="s">
        <v>547</v>
      </c>
      <c r="T64" t="s">
        <v>548</v>
      </c>
    </row>
    <row r="65" spans="6:21">
      <c r="F65" s="38"/>
      <c r="G65" s="38"/>
      <c r="H65" s="38"/>
      <c r="K65" t="s">
        <v>549</v>
      </c>
      <c r="S65" s="38"/>
      <c r="T65" t="s">
        <v>550</v>
      </c>
      <c r="U65" s="38"/>
    </row>
    <row r="66" spans="6:21">
      <c r="K66" s="311">
        <v>43587</v>
      </c>
      <c r="S66" s="306"/>
    </row>
    <row r="67" spans="6:21">
      <c r="K67" t="s">
        <v>551</v>
      </c>
      <c r="S67" s="312"/>
    </row>
    <row r="68" spans="6:21">
      <c r="K68" t="s">
        <v>552</v>
      </c>
      <c r="M68" t="s">
        <v>148</v>
      </c>
      <c r="S68" s="309"/>
      <c r="T68">
        <f>5000/12</f>
        <v>416.66666666666669</v>
      </c>
    </row>
    <row r="69" spans="6:21">
      <c r="K69" t="s">
        <v>553</v>
      </c>
      <c r="T69">
        <f>2.2/T68</f>
        <v>5.28E-3</v>
      </c>
    </row>
    <row r="70" spans="6:21">
      <c r="K70" t="s">
        <v>554</v>
      </c>
      <c r="T70">
        <f>100*T69</f>
        <v>0.52800000000000002</v>
      </c>
    </row>
    <row r="71" spans="6:21">
      <c r="K71" t="s">
        <v>555</v>
      </c>
      <c r="T71">
        <f>2.2*12</f>
        <v>26.400000000000002</v>
      </c>
    </row>
    <row r="72" spans="6:21">
      <c r="K72" t="s">
        <v>556</v>
      </c>
    </row>
    <row r="73" spans="6:21">
      <c r="K73" t="s">
        <v>557</v>
      </c>
    </row>
    <row r="74" spans="6:21">
      <c r="K74" t="s">
        <v>558</v>
      </c>
    </row>
    <row r="75" spans="6:21">
      <c r="K75" t="s">
        <v>559</v>
      </c>
    </row>
    <row r="76" spans="6:21">
      <c r="K76" t="s">
        <v>560</v>
      </c>
    </row>
    <row r="77" spans="6:21">
      <c r="K77" t="s">
        <v>561</v>
      </c>
    </row>
    <row r="78" spans="6:21">
      <c r="K78" t="s">
        <v>562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F15" sqref="F15"/>
    </sheetView>
  </sheetViews>
  <sheetFormatPr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576</v>
      </c>
      <c r="B1" s="448"/>
      <c r="C1" s="448"/>
      <c r="D1" s="448"/>
      <c r="E1" s="448"/>
    </row>
    <row r="2" spans="1:5">
      <c r="A2" s="332" t="s">
        <v>572</v>
      </c>
      <c r="B2" s="333" t="s">
        <v>88</v>
      </c>
      <c r="C2" s="333" t="s">
        <v>573</v>
      </c>
      <c r="D2" s="333" t="s">
        <v>574</v>
      </c>
      <c r="E2" s="270"/>
    </row>
    <row r="3" spans="1:5">
      <c r="A3" s="334" t="s">
        <v>52</v>
      </c>
      <c r="B3" s="335">
        <f>1094.26</f>
        <v>1094.26</v>
      </c>
      <c r="C3" s="305">
        <f>B3/B$7</f>
        <v>0.27057113044166298</v>
      </c>
      <c r="D3" s="335">
        <f ca="1">D$7*C3</f>
        <v>-36.187092104266341</v>
      </c>
      <c r="E3" s="275"/>
    </row>
    <row r="4" spans="1:5">
      <c r="A4" s="334" t="s">
        <v>26</v>
      </c>
      <c r="B4" s="335">
        <v>1350</v>
      </c>
      <c r="C4" s="305">
        <f t="shared" ref="C4:C6" si="0">B4/B$7</f>
        <v>0.33380643183178133</v>
      </c>
      <c r="D4" s="335">
        <f t="shared" ref="D4:D6" ca="1" si="1">D$7*C4</f>
        <v>-44.644393782793458</v>
      </c>
      <c r="E4" s="275"/>
    </row>
    <row r="5" spans="1:5">
      <c r="A5" s="334" t="s">
        <v>171</v>
      </c>
      <c r="B5" s="335">
        <v>550</v>
      </c>
      <c r="C5" s="305">
        <f t="shared" si="0"/>
        <v>0.1359952129685035</v>
      </c>
      <c r="D5" s="335">
        <f t="shared" ca="1" si="1"/>
        <v>-18.18845672632326</v>
      </c>
      <c r="E5" s="275"/>
    </row>
    <row r="6" spans="1:5">
      <c r="A6" s="334" t="s">
        <v>50</v>
      </c>
      <c r="B6" s="335">
        <v>1050</v>
      </c>
      <c r="C6" s="305">
        <f t="shared" si="0"/>
        <v>0.25962722475805217</v>
      </c>
      <c r="D6" s="335">
        <f t="shared" ca="1" si="1"/>
        <v>-34.723417386617136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1</v>
      </c>
      <c r="D7" s="336">
        <f ca="1">Bolsa1!P35</f>
        <v>-133.74336000000019</v>
      </c>
      <c r="E7" s="275" t="s">
        <v>575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6" t="s">
        <v>605</v>
      </c>
      <c r="B15" s="446"/>
      <c r="C15" s="446"/>
      <c r="D15" s="446"/>
      <c r="E15" s="446"/>
    </row>
    <row r="17" spans="1:4">
      <c r="A17" s="331" t="s">
        <v>577</v>
      </c>
    </row>
    <row r="19" spans="1:4">
      <c r="A19" t="s">
        <v>578</v>
      </c>
    </row>
    <row r="20" spans="1:4">
      <c r="A20" t="s">
        <v>579</v>
      </c>
    </row>
    <row r="21" spans="1:4">
      <c r="A21" t="s">
        <v>580</v>
      </c>
    </row>
    <row r="22" spans="1:4">
      <c r="A22" t="s">
        <v>581</v>
      </c>
    </row>
    <row r="23" spans="1:4">
      <c r="A23" t="s">
        <v>582</v>
      </c>
    </row>
    <row r="24" spans="1:4">
      <c r="A24" t="s">
        <v>583</v>
      </c>
    </row>
    <row r="25" spans="1:4">
      <c r="A25" t="s">
        <v>584</v>
      </c>
    </row>
    <row r="30" spans="1:4">
      <c r="A30" s="331" t="s">
        <v>585</v>
      </c>
      <c r="B30" s="331" t="s">
        <v>586</v>
      </c>
      <c r="C30" s="331" t="s">
        <v>587</v>
      </c>
      <c r="D30" s="331" t="s">
        <v>588</v>
      </c>
    </row>
    <row r="32" spans="1:4">
      <c r="A32" t="s">
        <v>589</v>
      </c>
      <c r="B32" t="s">
        <v>590</v>
      </c>
      <c r="C32" t="s">
        <v>591</v>
      </c>
      <c r="D32" t="s">
        <v>592</v>
      </c>
    </row>
    <row r="33" spans="1:4">
      <c r="A33" t="s">
        <v>593</v>
      </c>
      <c r="B33" t="s">
        <v>594</v>
      </c>
      <c r="C33" t="s">
        <v>595</v>
      </c>
      <c r="D33" t="s">
        <v>590</v>
      </c>
    </row>
    <row r="34" spans="1:4">
      <c r="A34" t="s">
        <v>596</v>
      </c>
      <c r="B34" t="s">
        <v>597</v>
      </c>
      <c r="C34" t="s">
        <v>598</v>
      </c>
      <c r="D34" t="s">
        <v>592</v>
      </c>
    </row>
    <row r="35" spans="1:4">
      <c r="A35" t="s">
        <v>599</v>
      </c>
      <c r="B35" t="s">
        <v>590</v>
      </c>
      <c r="C35" t="s">
        <v>595</v>
      </c>
      <c r="D35" t="s">
        <v>600</v>
      </c>
    </row>
    <row r="36" spans="1:4">
      <c r="A36" t="s">
        <v>425</v>
      </c>
      <c r="B36" t="s">
        <v>590</v>
      </c>
      <c r="C36" t="s">
        <v>591</v>
      </c>
      <c r="D36" t="s">
        <v>600</v>
      </c>
    </row>
    <row r="37" spans="1:4">
      <c r="A37" t="s">
        <v>601</v>
      </c>
      <c r="B37" t="s">
        <v>592</v>
      </c>
      <c r="C37" t="s">
        <v>598</v>
      </c>
      <c r="D37" t="s">
        <v>597</v>
      </c>
    </row>
    <row r="38" spans="1:4">
      <c r="A38" t="s">
        <v>602</v>
      </c>
      <c r="B38" t="s">
        <v>590</v>
      </c>
      <c r="C38" t="s">
        <v>598</v>
      </c>
      <c r="D38" t="s">
        <v>590</v>
      </c>
    </row>
    <row r="39" spans="1:4">
      <c r="A39" t="s">
        <v>603</v>
      </c>
      <c r="B39" t="s">
        <v>592</v>
      </c>
      <c r="C39" t="s">
        <v>591</v>
      </c>
      <c r="D39" t="s">
        <v>590</v>
      </c>
    </row>
    <row r="40" spans="1:4">
      <c r="A40" t="s">
        <v>604</v>
      </c>
      <c r="B40" t="s">
        <v>592</v>
      </c>
      <c r="C40" t="s">
        <v>591</v>
      </c>
      <c r="D40" t="s">
        <v>597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>
        <v>2018</v>
      </c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2">
        <v>2901.68</v>
      </c>
      <c r="L5" s="43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6">
        <v>620.05999999999995</v>
      </c>
      <c r="L6" s="417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6">
        <v>8035.29</v>
      </c>
      <c r="L7" s="41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6">
        <v>659.39</v>
      </c>
      <c r="L9" s="41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6">
        <f>240+35</f>
        <v>275</v>
      </c>
      <c r="L11" s="41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8">
        <f>SUM(K5:K18)</f>
        <v>26383.54</v>
      </c>
      <c r="L19" s="419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12"/>
      <c r="I22" s="420" t="s">
        <v>6</v>
      </c>
      <c r="J22" s="411"/>
      <c r="K22" s="411"/>
      <c r="L22" s="412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12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12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1" t="str">
        <f>AÑO!A8</f>
        <v>Manolo Salario</v>
      </c>
      <c r="J25" s="424" t="s">
        <v>291</v>
      </c>
      <c r="K25" s="42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2"/>
      <c r="J26" s="426"/>
      <c r="K26" s="42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2"/>
      <c r="J27" s="426"/>
      <c r="K27" s="42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2"/>
      <c r="J28" s="426"/>
      <c r="K28" s="42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3"/>
      <c r="J29" s="428"/>
      <c r="K29" s="429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1" t="str">
        <f>AÑO!A9</f>
        <v>Rocío Salario</v>
      </c>
      <c r="J30" s="424" t="s">
        <v>238</v>
      </c>
      <c r="K30" s="42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2"/>
      <c r="J31" s="426" t="s">
        <v>256</v>
      </c>
      <c r="K31" s="42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2"/>
      <c r="J32" s="434" t="s">
        <v>267</v>
      </c>
      <c r="K32" s="42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1" t="s">
        <v>218</v>
      </c>
      <c r="J35" s="424" t="s">
        <v>306</v>
      </c>
      <c r="K35" s="42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1" t="str">
        <f>AÑO!A11</f>
        <v>Finanazas</v>
      </c>
      <c r="J40" s="424" t="s">
        <v>239</v>
      </c>
      <c r="K40" s="42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2"/>
      <c r="J41" s="426" t="s">
        <v>240</v>
      </c>
      <c r="K41" s="427"/>
      <c r="L41" s="229">
        <v>1.87</v>
      </c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12"/>
      <c r="I42" s="422"/>
      <c r="J42" s="426" t="s">
        <v>269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12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12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1" t="str">
        <f>AÑO!A12</f>
        <v>Regalos</v>
      </c>
      <c r="J45" s="424" t="s">
        <v>299</v>
      </c>
      <c r="K45" s="42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3"/>
      <c r="J49" s="428"/>
      <c r="K49" s="429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1" t="str">
        <f>AÑO!A13</f>
        <v>Gubernamental</v>
      </c>
      <c r="J50" s="424" t="s">
        <v>259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3"/>
      <c r="J54" s="428"/>
      <c r="K54" s="429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3"/>
      <c r="J59" s="428"/>
      <c r="K59" s="429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12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12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12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1" t="str">
        <f>AÑO!A16</f>
        <v>Otros</v>
      </c>
      <c r="J65" s="424" t="s">
        <v>296</v>
      </c>
      <c r="K65" s="42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2"/>
      <c r="J66" s="426"/>
      <c r="K66" s="42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2"/>
      <c r="J67" s="426"/>
      <c r="K67" s="42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2"/>
      <c r="J68" s="426"/>
      <c r="K68" s="42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7"/>
      <c r="J69" s="438"/>
      <c r="K69" s="43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12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12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12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12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12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12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12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12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  <c r="H202" s="112"/>
    </row>
    <row r="203" spans="2:12" ht="15" customHeight="1" thickBot="1">
      <c r="B203" s="413"/>
      <c r="C203" s="414"/>
      <c r="D203" s="414"/>
      <c r="E203" s="414"/>
      <c r="F203" s="414"/>
      <c r="G203" s="415"/>
      <c r="H203" s="112"/>
    </row>
    <row r="204" spans="2:12" ht="15.75">
      <c r="B204" s="402" t="s">
        <v>8</v>
      </c>
      <c r="C204" s="403"/>
      <c r="D204" s="410" t="s">
        <v>9</v>
      </c>
      <c r="E204" s="410"/>
      <c r="F204" s="410"/>
      <c r="G204" s="403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4" t="str">
        <f>AÑO!A31</f>
        <v>Deportes</v>
      </c>
      <c r="C222" s="411"/>
      <c r="D222" s="411"/>
      <c r="E222" s="411"/>
      <c r="F222" s="411"/>
      <c r="G222" s="412"/>
      <c r="H222" s="112"/>
    </row>
    <row r="223" spans="2:8" ht="15" customHeight="1" thickBot="1">
      <c r="B223" s="413"/>
      <c r="C223" s="414"/>
      <c r="D223" s="414"/>
      <c r="E223" s="414"/>
      <c r="F223" s="414"/>
      <c r="G223" s="415"/>
      <c r="H223" s="112"/>
    </row>
    <row r="224" spans="2:8" ht="15.75">
      <c r="B224" s="402" t="s">
        <v>8</v>
      </c>
      <c r="C224" s="403"/>
      <c r="D224" s="410" t="s">
        <v>9</v>
      </c>
      <c r="E224" s="410"/>
      <c r="F224" s="410"/>
      <c r="G224" s="403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4" t="str">
        <f>AÑO!A32</f>
        <v>Hogar</v>
      </c>
      <c r="C242" s="411"/>
      <c r="D242" s="411"/>
      <c r="E242" s="411"/>
      <c r="F242" s="411"/>
      <c r="G242" s="412"/>
      <c r="H242" s="112"/>
    </row>
    <row r="243" spans="2:8" ht="15" customHeight="1" thickBot="1">
      <c r="B243" s="413"/>
      <c r="C243" s="414"/>
      <c r="D243" s="414"/>
      <c r="E243" s="414"/>
      <c r="F243" s="414"/>
      <c r="G243" s="415"/>
      <c r="H243" s="112"/>
    </row>
    <row r="244" spans="2:8" ht="15" customHeight="1">
      <c r="B244" s="402" t="s">
        <v>8</v>
      </c>
      <c r="C244" s="403"/>
      <c r="D244" s="410" t="s">
        <v>9</v>
      </c>
      <c r="E244" s="410"/>
      <c r="F244" s="410"/>
      <c r="G244" s="403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4" t="str">
        <f>AÑO!A33</f>
        <v>Formación</v>
      </c>
      <c r="C262" s="411"/>
      <c r="D262" s="411"/>
      <c r="E262" s="411"/>
      <c r="F262" s="411"/>
      <c r="G262" s="412"/>
      <c r="H262" s="112"/>
    </row>
    <row r="263" spans="2:8" ht="15" customHeight="1" thickBot="1">
      <c r="B263" s="413"/>
      <c r="C263" s="414"/>
      <c r="D263" s="414"/>
      <c r="E263" s="414"/>
      <c r="F263" s="414"/>
      <c r="G263" s="415"/>
      <c r="H263" s="112"/>
    </row>
    <row r="264" spans="2:8" ht="15.75">
      <c r="B264" s="402" t="s">
        <v>8</v>
      </c>
      <c r="C264" s="403"/>
      <c r="D264" s="410" t="s">
        <v>9</v>
      </c>
      <c r="E264" s="410"/>
      <c r="F264" s="410"/>
      <c r="G264" s="403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  <c r="H282" s="112"/>
    </row>
    <row r="283" spans="2:8" ht="15" customHeight="1" thickBot="1">
      <c r="B283" s="413"/>
      <c r="C283" s="414"/>
      <c r="D283" s="414"/>
      <c r="E283" s="414"/>
      <c r="F283" s="414"/>
      <c r="G283" s="415"/>
      <c r="H283" s="112"/>
    </row>
    <row r="284" spans="2:8" ht="15.75">
      <c r="B284" s="402" t="s">
        <v>8</v>
      </c>
      <c r="C284" s="403"/>
      <c r="D284" s="410" t="s">
        <v>9</v>
      </c>
      <c r="E284" s="410"/>
      <c r="F284" s="410"/>
      <c r="G284" s="403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  <c r="H302" s="112"/>
    </row>
    <row r="303" spans="2:8" ht="15" customHeight="1" thickBot="1">
      <c r="B303" s="413"/>
      <c r="C303" s="414"/>
      <c r="D303" s="414"/>
      <c r="E303" s="414"/>
      <c r="F303" s="414"/>
      <c r="G303" s="415"/>
      <c r="H303" s="112"/>
    </row>
    <row r="304" spans="2:8" ht="15.75">
      <c r="B304" s="402" t="s">
        <v>8</v>
      </c>
      <c r="C304" s="403"/>
      <c r="D304" s="410" t="s">
        <v>9</v>
      </c>
      <c r="E304" s="410"/>
      <c r="F304" s="410"/>
      <c r="G304" s="403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4" t="str">
        <f>AÑO!A36</f>
        <v>Nenas</v>
      </c>
      <c r="C322" s="411"/>
      <c r="D322" s="411"/>
      <c r="E322" s="411"/>
      <c r="F322" s="411"/>
      <c r="G322" s="412"/>
      <c r="H322" s="112"/>
    </row>
    <row r="323" spans="2:8" ht="15" customHeight="1" thickBot="1">
      <c r="B323" s="413"/>
      <c r="C323" s="414"/>
      <c r="D323" s="414"/>
      <c r="E323" s="414"/>
      <c r="F323" s="414"/>
      <c r="G323" s="415"/>
      <c r="H323" s="112"/>
    </row>
    <row r="324" spans="2:8" ht="15.75">
      <c r="B324" s="402" t="s">
        <v>8</v>
      </c>
      <c r="C324" s="403"/>
      <c r="D324" s="410" t="s">
        <v>9</v>
      </c>
      <c r="E324" s="410"/>
      <c r="F324" s="410"/>
      <c r="G324" s="403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4" t="str">
        <f>AÑO!A37</f>
        <v>Impuestos</v>
      </c>
      <c r="C342" s="411"/>
      <c r="D342" s="411"/>
      <c r="E342" s="411"/>
      <c r="F342" s="411"/>
      <c r="G342" s="412"/>
      <c r="H342" s="112"/>
    </row>
    <row r="343" spans="2:8" ht="15" customHeight="1" thickBot="1">
      <c r="B343" s="413"/>
      <c r="C343" s="414"/>
      <c r="D343" s="414"/>
      <c r="E343" s="414"/>
      <c r="F343" s="414"/>
      <c r="G343" s="415"/>
      <c r="H343" s="112"/>
    </row>
    <row r="344" spans="2:8" ht="15.75">
      <c r="B344" s="402" t="s">
        <v>8</v>
      </c>
      <c r="C344" s="403"/>
      <c r="D344" s="410" t="s">
        <v>9</v>
      </c>
      <c r="E344" s="410"/>
      <c r="F344" s="410"/>
      <c r="G344" s="403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4" t="str">
        <f>AÑO!A38</f>
        <v>Gastos Curros</v>
      </c>
      <c r="C362" s="411"/>
      <c r="D362" s="411"/>
      <c r="E362" s="411"/>
      <c r="F362" s="411"/>
      <c r="G362" s="412"/>
      <c r="H362" s="112"/>
    </row>
    <row r="363" spans="2:8" ht="15" customHeight="1" thickBot="1">
      <c r="B363" s="413"/>
      <c r="C363" s="414"/>
      <c r="D363" s="414"/>
      <c r="E363" s="414"/>
      <c r="F363" s="414"/>
      <c r="G363" s="415"/>
      <c r="H363" s="112"/>
    </row>
    <row r="364" spans="2:8" ht="15.75">
      <c r="B364" s="402" t="s">
        <v>8</v>
      </c>
      <c r="C364" s="403"/>
      <c r="D364" s="410" t="s">
        <v>9</v>
      </c>
      <c r="E364" s="410"/>
      <c r="F364" s="410"/>
      <c r="G364" s="403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4" t="str">
        <f>AÑO!A39</f>
        <v>Dreamed Holidays</v>
      </c>
      <c r="C382" s="411"/>
      <c r="D382" s="411"/>
      <c r="E382" s="411"/>
      <c r="F382" s="411"/>
      <c r="G382" s="412"/>
      <c r="H382" s="112"/>
    </row>
    <row r="383" spans="2:8" ht="15" customHeight="1" thickBot="1">
      <c r="B383" s="413"/>
      <c r="C383" s="414"/>
      <c r="D383" s="414"/>
      <c r="E383" s="414"/>
      <c r="F383" s="414"/>
      <c r="G383" s="415"/>
      <c r="H383" s="112"/>
    </row>
    <row r="384" spans="2:8" ht="15.75">
      <c r="B384" s="402" t="s">
        <v>8</v>
      </c>
      <c r="C384" s="403"/>
      <c r="D384" s="410" t="s">
        <v>9</v>
      </c>
      <c r="E384" s="410"/>
      <c r="F384" s="410"/>
      <c r="G384" s="403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4" t="str">
        <f>AÑO!A40</f>
        <v>Financieros</v>
      </c>
      <c r="C402" s="411"/>
      <c r="D402" s="411"/>
      <c r="E402" s="411"/>
      <c r="F402" s="411"/>
      <c r="G402" s="412"/>
      <c r="H402" s="112"/>
    </row>
    <row r="403" spans="2:8" ht="15" customHeight="1" thickBot="1">
      <c r="B403" s="413"/>
      <c r="C403" s="414"/>
      <c r="D403" s="414"/>
      <c r="E403" s="414"/>
      <c r="F403" s="414"/>
      <c r="G403" s="415"/>
      <c r="H403" s="112"/>
    </row>
    <row r="404" spans="2:8" ht="15.75">
      <c r="B404" s="402" t="s">
        <v>8</v>
      </c>
      <c r="C404" s="403"/>
      <c r="D404" s="410" t="s">
        <v>9</v>
      </c>
      <c r="E404" s="410"/>
      <c r="F404" s="410"/>
      <c r="G404" s="403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  <c r="H422" s="112"/>
    </row>
    <row r="423" spans="1:8" ht="15" customHeight="1" thickBot="1">
      <c r="B423" s="407"/>
      <c r="C423" s="408"/>
      <c r="D423" s="408"/>
      <c r="E423" s="408"/>
      <c r="F423" s="408"/>
      <c r="G423" s="409"/>
      <c r="H423" s="112"/>
    </row>
    <row r="424" spans="1:8" ht="15.75">
      <c r="B424" s="402" t="s">
        <v>8</v>
      </c>
      <c r="C424" s="403"/>
      <c r="D424" s="410" t="s">
        <v>9</v>
      </c>
      <c r="E424" s="410"/>
      <c r="F424" s="410"/>
      <c r="G424" s="403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4" t="str">
        <f>AÑO!A42</f>
        <v>Dinero Bloqueado</v>
      </c>
      <c r="C442" s="405"/>
      <c r="D442" s="405"/>
      <c r="E442" s="405"/>
      <c r="F442" s="405"/>
      <c r="G442" s="406"/>
      <c r="H442" s="112"/>
    </row>
    <row r="443" spans="2:8" ht="15" customHeight="1" thickBot="1">
      <c r="B443" s="407"/>
      <c r="C443" s="408"/>
      <c r="D443" s="408"/>
      <c r="E443" s="408"/>
      <c r="F443" s="408"/>
      <c r="G443" s="409"/>
      <c r="H443" s="112"/>
    </row>
    <row r="444" spans="2:8" ht="15.75">
      <c r="B444" s="402" t="s">
        <v>8</v>
      </c>
      <c r="C444" s="403"/>
      <c r="D444" s="410" t="s">
        <v>9</v>
      </c>
      <c r="E444" s="410"/>
      <c r="F444" s="410"/>
      <c r="G444" s="403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4" t="str">
        <f>AÑO!A43</f>
        <v>Cartama Finanazas</v>
      </c>
      <c r="C462" s="405"/>
      <c r="D462" s="405"/>
      <c r="E462" s="405"/>
      <c r="F462" s="405"/>
      <c r="G462" s="406"/>
      <c r="H462" s="112"/>
    </row>
    <row r="463" spans="2:8" ht="15" customHeight="1" thickBot="1">
      <c r="B463" s="407"/>
      <c r="C463" s="408"/>
      <c r="D463" s="408"/>
      <c r="E463" s="408"/>
      <c r="F463" s="408"/>
      <c r="G463" s="409"/>
      <c r="H463" s="112"/>
    </row>
    <row r="464" spans="2:8" ht="15.75">
      <c r="B464" s="402" t="s">
        <v>8</v>
      </c>
      <c r="C464" s="403"/>
      <c r="D464" s="410" t="s">
        <v>9</v>
      </c>
      <c r="E464" s="410"/>
      <c r="F464" s="410"/>
      <c r="G464" s="403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4" t="str">
        <f>AÑO!A44</f>
        <v>NULO</v>
      </c>
      <c r="C482" s="405"/>
      <c r="D482" s="405"/>
      <c r="E482" s="405"/>
      <c r="F482" s="405"/>
      <c r="G482" s="406"/>
      <c r="H482" s="112"/>
    </row>
    <row r="483" spans="2:8" ht="15" customHeight="1" thickBot="1">
      <c r="B483" s="407"/>
      <c r="C483" s="408"/>
      <c r="D483" s="408"/>
      <c r="E483" s="408"/>
      <c r="F483" s="408"/>
      <c r="G483" s="409"/>
      <c r="H483" s="112"/>
    </row>
    <row r="484" spans="2:8" ht="15.75">
      <c r="B484" s="402" t="s">
        <v>8</v>
      </c>
      <c r="C484" s="403"/>
      <c r="D484" s="410" t="s">
        <v>9</v>
      </c>
      <c r="E484" s="410"/>
      <c r="F484" s="410"/>
      <c r="G484" s="403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4" t="str">
        <f>AÑO!A45</f>
        <v>OTROS</v>
      </c>
      <c r="C502" s="405"/>
      <c r="D502" s="405"/>
      <c r="E502" s="405"/>
      <c r="F502" s="405"/>
      <c r="G502" s="406"/>
      <c r="H502" s="112"/>
    </row>
    <row r="503" spans="2:8" ht="15" customHeight="1" thickBot="1">
      <c r="B503" s="407"/>
      <c r="C503" s="408"/>
      <c r="D503" s="408"/>
      <c r="E503" s="408"/>
      <c r="F503" s="408"/>
      <c r="G503" s="409"/>
      <c r="H503" s="112"/>
    </row>
    <row r="504" spans="2:8" ht="15.75">
      <c r="B504" s="402" t="s">
        <v>8</v>
      </c>
      <c r="C504" s="403"/>
      <c r="D504" s="410" t="s">
        <v>9</v>
      </c>
      <c r="E504" s="410"/>
      <c r="F504" s="410"/>
      <c r="G504" s="403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1" zoomScaleNormal="100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2397.48-4.45</f>
        <v>2393.0300000000002</v>
      </c>
      <c r="L5" s="433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>
        <f>7340.23-4.45</f>
        <v>7335.78</v>
      </c>
      <c r="L7" s="41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7001.87</v>
      </c>
      <c r="L8" s="41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669.52</v>
      </c>
      <c r="L9" s="41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f>160+155</f>
        <v>315</v>
      </c>
      <c r="L11" s="41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25229.379999999997</v>
      </c>
      <c r="L19" s="419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314</v>
      </c>
      <c r="K30" s="42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319</v>
      </c>
      <c r="K31" s="42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 t="s">
        <v>314</v>
      </c>
      <c r="K33" s="42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 t="s">
        <v>359</v>
      </c>
      <c r="K35" s="42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160</v>
      </c>
      <c r="K45" s="42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1" t="str">
        <f>AÑO!A13</f>
        <v>Gubernamental</v>
      </c>
      <c r="J50" s="424" t="s">
        <v>259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1" t="str">
        <f>AÑO!A15</f>
        <v>Alquiler Cartama</v>
      </c>
      <c r="J60" s="424" t="s">
        <v>315</v>
      </c>
      <c r="K60" s="42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2"/>
      <c r="J66" s="426"/>
      <c r="K66" s="42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2"/>
      <c r="J67" s="426"/>
      <c r="K67" s="42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7"/>
      <c r="J69" s="438"/>
      <c r="K69" s="43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10" t="s">
        <v>9</v>
      </c>
      <c r="E424" s="410"/>
      <c r="F424" s="410"/>
      <c r="G424" s="403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2" workbookViewId="0">
      <selection activeCell="C407" sqref="C40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1559.34</v>
      </c>
      <c r="L5" s="433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6">
        <v>8577.0300000000007</v>
      </c>
      <c r="L7" s="41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3501.87</v>
      </c>
      <c r="L8" s="41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6">
        <v>4167.34</v>
      </c>
      <c r="L9" s="41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255</v>
      </c>
      <c r="L11" s="41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25574.760000000002</v>
      </c>
      <c r="L19" s="419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363</v>
      </c>
      <c r="K30" s="42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238</v>
      </c>
      <c r="K31" s="42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380</v>
      </c>
      <c r="K45" s="42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364</v>
      </c>
      <c r="H46" s="1"/>
      <c r="I46" s="422"/>
      <c r="J46" s="426" t="s">
        <v>160</v>
      </c>
      <c r="K46" s="42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365</v>
      </c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372</v>
      </c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376</v>
      </c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375</v>
      </c>
      <c r="H50" s="1"/>
      <c r="I50" s="421" t="str">
        <f>AÑO!A13</f>
        <v>Gubernamental</v>
      </c>
      <c r="J50" s="424" t="s">
        <v>259</v>
      </c>
      <c r="K50" s="42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382</v>
      </c>
      <c r="H51" s="1"/>
      <c r="I51" s="422"/>
      <c r="J51" s="426" t="s">
        <v>418</v>
      </c>
      <c r="K51" s="42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387</v>
      </c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388</v>
      </c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408</v>
      </c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422</v>
      </c>
      <c r="H55" s="1"/>
      <c r="I55" s="421" t="str">
        <f>AÑO!A14</f>
        <v>Mutualite/DKV</v>
      </c>
      <c r="J55" s="440" t="str">
        <f>G306</f>
        <v>12/03 Chirec</v>
      </c>
      <c r="K55" s="42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 t="s">
        <v>367</v>
      </c>
      <c r="K60" s="42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366</v>
      </c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374</v>
      </c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378</v>
      </c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389</v>
      </c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391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421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423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368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394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395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387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409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8" ht="15" customHeight="1" thickBot="1">
      <c r="B243" s="413"/>
      <c r="C243" s="414"/>
      <c r="D243" s="414"/>
      <c r="E243" s="414"/>
      <c r="F243" s="414"/>
      <c r="G243" s="415"/>
    </row>
    <row r="244" spans="1:8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400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410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406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405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10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369</v>
      </c>
    </row>
    <row r="267" spans="1:7">
      <c r="B267" s="134">
        <v>4021.94</v>
      </c>
      <c r="C267" s="16" t="s">
        <v>418</v>
      </c>
      <c r="D267" s="137"/>
      <c r="E267" s="138"/>
      <c r="F267" s="138">
        <v>15</v>
      </c>
      <c r="G267" s="16" t="s">
        <v>424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396</v>
      </c>
    </row>
    <row r="308" spans="2:7">
      <c r="B308" s="134">
        <f>L55</f>
        <v>9.44</v>
      </c>
      <c r="C308" s="27" t="s">
        <v>407</v>
      </c>
      <c r="D308" s="137">
        <v>8.27</v>
      </c>
      <c r="E308" s="138"/>
      <c r="F308" s="138"/>
      <c r="G308" s="16" t="s">
        <v>397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417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419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392</v>
      </c>
    </row>
    <row r="327" spans="2:7">
      <c r="B327" s="134">
        <v>100</v>
      </c>
      <c r="C327" s="16" t="s">
        <v>380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370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371</v>
      </c>
    </row>
    <row r="348" spans="2:7">
      <c r="B348" s="134"/>
      <c r="C348" s="16"/>
      <c r="D348" s="137">
        <v>16</v>
      </c>
      <c r="E348" s="138"/>
      <c r="F348" s="138"/>
      <c r="G348" s="16" t="s">
        <v>384</v>
      </c>
    </row>
    <row r="349" spans="2:7">
      <c r="B349" s="134"/>
      <c r="C349" s="16"/>
      <c r="D349" s="137">
        <v>10</v>
      </c>
      <c r="E349" s="138"/>
      <c r="F349" s="138"/>
      <c r="G349" s="16" t="s">
        <v>385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398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413</v>
      </c>
      <c r="D407" s="137">
        <v>44.93</v>
      </c>
      <c r="E407" s="138"/>
      <c r="F407" s="138"/>
      <c r="G407" s="16" t="s">
        <v>412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416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414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275" workbookViewId="0">
      <selection activeCell="B282" sqref="B282:G30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861.84</v>
      </c>
      <c r="L5" s="433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620.08000000000004</v>
      </c>
      <c r="L6" s="417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10075.709999999999</v>
      </c>
      <c r="L7" s="41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3501.87</v>
      </c>
      <c r="L8" s="41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35.96</v>
      </c>
      <c r="L9" s="41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370</v>
      </c>
      <c r="L11" s="41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5092.08+4084.2</f>
        <v>9176.2799999999988</v>
      </c>
      <c r="L12" s="41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363</v>
      </c>
      <c r="K30" s="42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431</v>
      </c>
      <c r="K31" s="42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 t="s">
        <v>425</v>
      </c>
      <c r="K40" s="42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 t="s">
        <v>445</v>
      </c>
      <c r="K41" s="427"/>
      <c r="L41" s="229">
        <v>352.82</v>
      </c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 t="s">
        <v>60</v>
      </c>
      <c r="K42" s="427"/>
      <c r="L42" s="229">
        <v>0.02</v>
      </c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446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452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40</v>
      </c>
      <c r="C48" s="16" t="s">
        <v>430</v>
      </c>
      <c r="D48" s="137">
        <v>5.35</v>
      </c>
      <c r="E48" s="138"/>
      <c r="F48" s="138"/>
      <c r="G48" s="16" t="s">
        <v>457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 t="s">
        <v>462</v>
      </c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>
        <v>-146</v>
      </c>
      <c r="C50" s="16" t="s">
        <v>465</v>
      </c>
      <c r="D50" s="137"/>
      <c r="E50" s="138"/>
      <c r="F50" s="138"/>
      <c r="G50" s="16"/>
      <c r="H50" s="1"/>
      <c r="I50" s="421" t="str">
        <f>AÑO!A13</f>
        <v>Gubernamental</v>
      </c>
      <c r="J50" s="424" t="s">
        <v>434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40" t="str">
        <f>'03'!G307</f>
        <v>22/03 Chirec</v>
      </c>
      <c r="K55" s="42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43" t="str">
        <f>'03'!G309</f>
        <v>26/03 Ginecologa</v>
      </c>
      <c r="K56" s="42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 t="s">
        <v>449</v>
      </c>
      <c r="K57" s="42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453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-50</v>
      </c>
      <c r="C67" s="16" t="s">
        <v>465</v>
      </c>
      <c r="D67" s="137">
        <v>41</v>
      </c>
      <c r="E67" s="138"/>
      <c r="F67" s="138"/>
      <c r="G67" s="31" t="s">
        <v>459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443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466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455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456</v>
      </c>
      <c r="D109" s="137">
        <v>11</v>
      </c>
      <c r="E109" s="138"/>
      <c r="F109" s="138">
        <v>3</v>
      </c>
      <c r="G109" s="31" t="s">
        <v>461</v>
      </c>
      <c r="H109" s="1"/>
      <c r="M109" s="1"/>
      <c r="R109" s="3"/>
    </row>
    <row r="110" spans="1:18" ht="15.75">
      <c r="B110" s="134">
        <v>1370</v>
      </c>
      <c r="C110" s="18" t="s">
        <v>444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445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441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464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429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404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405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428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433</v>
      </c>
    </row>
    <row r="287" spans="2:8">
      <c r="B287" s="134"/>
      <c r="C287" s="16"/>
      <c r="D287" s="137">
        <v>9.65</v>
      </c>
      <c r="E287" s="138"/>
      <c r="F287" s="138"/>
      <c r="G287" s="16" t="s">
        <v>439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448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463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442</v>
      </c>
    </row>
    <row r="308" spans="2:7">
      <c r="B308" s="134">
        <f>L55+L56+L57</f>
        <v>37.980000000000004</v>
      </c>
      <c r="C308" s="27" t="s">
        <v>467</v>
      </c>
      <c r="D308" s="137"/>
      <c r="E308" s="138"/>
      <c r="F308" s="138">
        <v>50</v>
      </c>
      <c r="G308" s="16" t="s">
        <v>449</v>
      </c>
    </row>
    <row r="309" spans="2:7">
      <c r="B309" s="134"/>
      <c r="C309" s="16"/>
      <c r="D309" s="137">
        <v>63.9</v>
      </c>
      <c r="E309" s="138"/>
      <c r="F309" s="138"/>
      <c r="G309" s="16" t="s">
        <v>469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444</v>
      </c>
      <c r="D387" s="137"/>
      <c r="E387" s="138"/>
      <c r="F387" s="138"/>
      <c r="G387" s="16"/>
    </row>
    <row r="388" spans="2:7">
      <c r="B388" s="134">
        <v>106.26</v>
      </c>
      <c r="C388" s="27" t="s">
        <v>445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426</v>
      </c>
    </row>
    <row r="407" spans="2:7">
      <c r="B407" s="134">
        <v>3.75</v>
      </c>
      <c r="C407" s="16" t="s">
        <v>425</v>
      </c>
      <c r="D407" s="137"/>
      <c r="E407" s="138">
        <f>10+10</f>
        <v>20</v>
      </c>
      <c r="F407" s="138"/>
      <c r="G407" s="16" t="s">
        <v>450</v>
      </c>
    </row>
    <row r="408" spans="2:7">
      <c r="B408" s="134">
        <v>984.2</v>
      </c>
      <c r="C408" s="18" t="s">
        <v>444</v>
      </c>
      <c r="D408" s="137"/>
      <c r="E408" s="138"/>
      <c r="F408" s="138"/>
      <c r="G408" s="16"/>
    </row>
    <row r="409" spans="2:7">
      <c r="B409" s="134">
        <v>85.02</v>
      </c>
      <c r="C409" s="27" t="s">
        <v>445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468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444</v>
      </c>
      <c r="D469" s="137"/>
      <c r="E469" s="138"/>
      <c r="F469" s="138"/>
      <c r="G469" s="16"/>
    </row>
    <row r="470" spans="1:7">
      <c r="B470" s="134">
        <v>43.19</v>
      </c>
      <c r="C470" s="27" t="s">
        <v>445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5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v>1773.93</v>
      </c>
      <c r="L5" s="433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7144.52</v>
      </c>
      <c r="L7" s="41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10005.620000000001</v>
      </c>
      <c r="L8" s="41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514.82000000000005</v>
      </c>
      <c r="L9" s="41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f>210</f>
        <v>210</v>
      </c>
      <c r="L11" s="41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431</v>
      </c>
      <c r="K30" s="42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363</v>
      </c>
      <c r="K31" s="42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 t="s">
        <v>473</v>
      </c>
      <c r="K40" s="42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472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475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458</v>
      </c>
      <c r="D48" s="137">
        <v>27.34</v>
      </c>
      <c r="E48" s="138"/>
      <c r="F48" s="138"/>
      <c r="G48" s="16" t="s">
        <v>482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483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491</v>
      </c>
      <c r="H50" s="1"/>
      <c r="I50" s="421" t="str">
        <f>AÑO!A13</f>
        <v>Gubernamental</v>
      </c>
      <c r="J50" s="424" t="s">
        <v>484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492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496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499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608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609</v>
      </c>
      <c r="H55" s="1"/>
      <c r="I55" s="421" t="str">
        <f>AÑO!A14</f>
        <v>Mutualite/DKV</v>
      </c>
      <c r="J55" s="424" t="s">
        <v>478</v>
      </c>
      <c r="K55" s="42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471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480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481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489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490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610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476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493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502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611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475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569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494</v>
      </c>
    </row>
    <row r="207" spans="2:12">
      <c r="B207" s="134">
        <v>15</v>
      </c>
      <c r="C207" s="16" t="s">
        <v>569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403</v>
      </c>
      <c r="D246" s="137">
        <v>15</v>
      </c>
      <c r="E246" s="138"/>
      <c r="F246" s="138"/>
      <c r="G246" s="16" t="s">
        <v>492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500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432</v>
      </c>
      <c r="D257" s="137"/>
      <c r="E257" s="138">
        <f>100.67</f>
        <v>100.67</v>
      </c>
      <c r="F257" s="138"/>
      <c r="G257" s="16" t="s">
        <v>614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404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487</v>
      </c>
    </row>
    <row r="287" spans="2:8">
      <c r="B287" s="134">
        <v>35</v>
      </c>
      <c r="C287" s="16" t="s">
        <v>615</v>
      </c>
      <c r="D287" s="137">
        <v>54.8</v>
      </c>
      <c r="E287" s="138"/>
      <c r="F287" s="138"/>
      <c r="G287" s="16" t="s">
        <v>617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470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478</v>
      </c>
    </row>
    <row r="308" spans="2:7">
      <c r="B308" s="134">
        <v>17.45</v>
      </c>
      <c r="C308" s="27" t="s">
        <v>488</v>
      </c>
      <c r="D308" s="137">
        <f>51.89+44.67</f>
        <v>96.56</v>
      </c>
      <c r="E308" s="138"/>
      <c r="F308" s="138"/>
      <c r="G308" s="16" t="s">
        <v>607</v>
      </c>
    </row>
    <row r="309" spans="2:7">
      <c r="B309" s="134">
        <v>170</v>
      </c>
      <c r="C309" s="16" t="s">
        <v>569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413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474</v>
      </c>
    </row>
    <row r="407" spans="2:7">
      <c r="B407" s="134">
        <v>45.86</v>
      </c>
      <c r="C407" s="16" t="s">
        <v>473</v>
      </c>
      <c r="D407" s="137"/>
      <c r="E407" s="138"/>
      <c r="F407" s="138"/>
      <c r="G407" s="16"/>
    </row>
    <row r="408" spans="2:7">
      <c r="B408" s="134">
        <v>-1094.26</v>
      </c>
      <c r="C408" s="16" t="s">
        <v>413</v>
      </c>
      <c r="D408" s="137">
        <v>44.48</v>
      </c>
      <c r="E408" s="138"/>
      <c r="F408" s="138"/>
      <c r="G408" s="16" t="s">
        <v>501</v>
      </c>
    </row>
    <row r="409" spans="2:7">
      <c r="B409" s="134">
        <f>29.29+20</f>
        <v>49.29</v>
      </c>
      <c r="C409" s="16" t="s">
        <v>569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8" ht="15" customHeight="1" thickBot="1">
      <c r="B423" s="407"/>
      <c r="C423" s="408"/>
      <c r="D423" s="408"/>
      <c r="E423" s="408"/>
      <c r="F423" s="408"/>
      <c r="G423" s="409"/>
    </row>
    <row r="424" spans="1:8">
      <c r="B424" s="402" t="s">
        <v>8</v>
      </c>
      <c r="C424" s="403"/>
      <c r="D424" s="402" t="s">
        <v>9</v>
      </c>
      <c r="E424" s="410"/>
      <c r="F424" s="410"/>
      <c r="G424" s="403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414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29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M5+2156.93</f>
        <v>1614.1099999999997</v>
      </c>
      <c r="L5" s="433"/>
      <c r="M5" s="1">
        <f>-542.82</f>
        <v>-542.82000000000005</v>
      </c>
      <c r="N5" s="1" t="s">
        <v>613</v>
      </c>
      <c r="R5" s="3"/>
    </row>
    <row r="6" spans="1:22" ht="15.75">
      <c r="A6" s="112">
        <f>'05'!A6+(B6-SUM(D6:F6))</f>
        <v>409.08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f>9234.42-58.2</f>
        <v>9176.2199999999993</v>
      </c>
      <c r="L7" s="417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6">
        <v>6305.62</v>
      </c>
      <c r="L8" s="41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6">
        <v>169.67</v>
      </c>
      <c r="L9" s="417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6">
        <v>190</v>
      </c>
      <c r="L11" s="41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637.43000000000006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157.99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 t="s">
        <v>402</v>
      </c>
      <c r="K25" s="425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 t="s">
        <v>628</v>
      </c>
      <c r="K30" s="42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 t="s">
        <v>431</v>
      </c>
      <c r="K31" s="42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 t="s">
        <v>328</v>
      </c>
      <c r="K32" s="42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 t="s">
        <v>160</v>
      </c>
      <c r="K45" s="42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620</v>
      </c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632</v>
      </c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>
        <v>60</v>
      </c>
      <c r="C48" s="16" t="s">
        <v>621</v>
      </c>
      <c r="D48" s="137">
        <v>27.2</v>
      </c>
      <c r="E48" s="138"/>
      <c r="F48" s="138"/>
      <c r="G48" s="16" t="s">
        <v>645</v>
      </c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646</v>
      </c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650</v>
      </c>
      <c r="H50" s="1"/>
      <c r="I50" s="421" t="str">
        <f>AÑO!A13</f>
        <v>Gubernamental</v>
      </c>
      <c r="J50" s="424" t="s">
        <v>641</v>
      </c>
      <c r="K50" s="42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658</v>
      </c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660</v>
      </c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666</v>
      </c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671</v>
      </c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360</v>
      </c>
      <c r="C60" s="17" t="s">
        <v>53</v>
      </c>
      <c r="D60" s="135">
        <f>SUM(D46:D59)</f>
        <v>250.23000000000002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 t="s">
        <v>629</v>
      </c>
      <c r="K60" s="42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12">
        <f>'05'!A66+(B66-SUM(D66:F78))+B67</f>
        <v>-8.3199999999999861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642</v>
      </c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>
        <v>-35</v>
      </c>
      <c r="C67" s="16" t="s">
        <v>630</v>
      </c>
      <c r="D67" s="137">
        <v>36.049999999999997</v>
      </c>
      <c r="E67" s="138"/>
      <c r="F67" s="138"/>
      <c r="G67" s="31" t="s">
        <v>653</v>
      </c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>
        <v>22.1</v>
      </c>
      <c r="E68" s="138"/>
      <c r="F68" s="138">
        <v>6</v>
      </c>
      <c r="G68" s="16" t="s">
        <v>655</v>
      </c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657</v>
      </c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661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662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71.680000000000007</v>
      </c>
      <c r="B80" s="233">
        <f>SUM(B66:B79)</f>
        <v>135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624</v>
      </c>
      <c r="H86" s="1"/>
      <c r="M86" s="1"/>
      <c r="R86" s="3"/>
    </row>
    <row r="87" spans="1:18" ht="15.75">
      <c r="A87" s="1"/>
      <c r="B87" s="134"/>
      <c r="C87" s="16"/>
      <c r="D87" s="137">
        <f>2.1+4.8</f>
        <v>6.9</v>
      </c>
      <c r="E87" s="138"/>
      <c r="F87" s="138"/>
      <c r="G87" s="16" t="s">
        <v>626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643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644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665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667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668</v>
      </c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161.96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>
        <v>-60</v>
      </c>
      <c r="C147" s="16" t="s">
        <v>622</v>
      </c>
      <c r="D147" s="137"/>
      <c r="E147" s="138"/>
      <c r="F147" s="138"/>
      <c r="G147" s="16" t="s">
        <v>623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23.88</v>
      </c>
      <c r="E187" s="138"/>
      <c r="F187" s="138"/>
      <c r="G187" s="16" t="s">
        <v>651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656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658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659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75.8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403</v>
      </c>
      <c r="D246" s="137"/>
      <c r="E246" s="138">
        <v>21.08</v>
      </c>
      <c r="F246" s="138"/>
      <c r="G246" s="16" t="s">
        <v>649</v>
      </c>
    </row>
    <row r="247" spans="1:7" ht="15" customHeight="1">
      <c r="A247" s="112"/>
      <c r="B247" s="134"/>
      <c r="C247" s="16"/>
      <c r="D247" s="137">
        <v>12.99</v>
      </c>
      <c r="E247" s="138"/>
      <c r="F247" s="138"/>
      <c r="G247" s="16" t="s">
        <v>658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671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8" ht="15.75">
      <c r="A257" s="112">
        <f>'05'!A257+(B257-SUM(D257:F257))</f>
        <v>732.46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8" ht="15.75">
      <c r="A258" s="112">
        <f>'05'!A258+(B258-SUM(D258:F258))+'05'!A259</f>
        <v>140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923.96</v>
      </c>
      <c r="B260" s="135">
        <f>SUM(B246:B259)</f>
        <v>100</v>
      </c>
      <c r="C260" s="17" t="s">
        <v>53</v>
      </c>
      <c r="D260" s="135">
        <f>SUM(D246:D259)</f>
        <v>73.570000000000007</v>
      </c>
      <c r="E260" s="135">
        <f>SUM(E246:E259)</f>
        <v>21.08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8" ht="15" customHeight="1" thickBot="1">
      <c r="B263" s="413"/>
      <c r="C263" s="414"/>
      <c r="D263" s="414"/>
      <c r="E263" s="414"/>
      <c r="F263" s="414"/>
      <c r="G263" s="415"/>
    </row>
    <row r="264" spans="1:8">
      <c r="B264" s="402" t="s">
        <v>8</v>
      </c>
      <c r="C264" s="403"/>
      <c r="D264" s="402" t="s">
        <v>9</v>
      </c>
      <c r="E264" s="410"/>
      <c r="F264" s="410"/>
      <c r="G264" s="403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634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664</v>
      </c>
      <c r="H267" s="89" t="s">
        <v>663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670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9" ht="15" customHeight="1" thickBot="1">
      <c r="B283" s="413"/>
      <c r="C283" s="414"/>
      <c r="D283" s="414"/>
      <c r="E283" s="414"/>
      <c r="F283" s="414"/>
      <c r="G283" s="415"/>
    </row>
    <row r="284" spans="2:9">
      <c r="B284" s="402" t="s">
        <v>8</v>
      </c>
      <c r="C284" s="403"/>
      <c r="D284" s="402" t="s">
        <v>9</v>
      </c>
      <c r="E284" s="410"/>
      <c r="F284" s="410"/>
      <c r="G284" s="403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637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648</v>
      </c>
      <c r="H287" s="92"/>
    </row>
    <row r="288" spans="2:9">
      <c r="B288" s="134"/>
      <c r="C288" s="16"/>
      <c r="D288" s="137"/>
      <c r="E288" s="138"/>
      <c r="F288" s="138"/>
      <c r="G288" s="16"/>
      <c r="H288" s="113">
        <v>242.41</v>
      </c>
      <c r="I288" s="89" t="s">
        <v>618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332.40999999999997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627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639</v>
      </c>
    </row>
    <row r="308" spans="2:7">
      <c r="B308" s="134"/>
      <c r="C308" s="27"/>
      <c r="D308" s="137"/>
      <c r="E308" s="138"/>
      <c r="F308" s="138">
        <v>50</v>
      </c>
      <c r="G308" s="16" t="s">
        <v>640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619</v>
      </c>
      <c r="D347" s="137"/>
      <c r="E347" s="138"/>
      <c r="F347" s="138"/>
      <c r="G347" s="16"/>
    </row>
    <row r="348" spans="2:7">
      <c r="B348" s="134">
        <v>35</v>
      </c>
      <c r="C348" s="16" t="s">
        <v>631</v>
      </c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</f>
        <v>15.3</v>
      </c>
      <c r="G366" s="31" t="s">
        <v>67</v>
      </c>
    </row>
    <row r="367" spans="2:7">
      <c r="B367" s="134"/>
      <c r="C367" s="16"/>
      <c r="D367" s="137">
        <f>4.1+5.9</f>
        <v>10</v>
      </c>
      <c r="E367" s="138"/>
      <c r="F367" s="138"/>
      <c r="G367" s="31" t="s">
        <v>652</v>
      </c>
    </row>
    <row r="368" spans="2:7">
      <c r="B368" s="134"/>
      <c r="C368" s="16"/>
      <c r="D368" s="137">
        <f>8.85+6.75</f>
        <v>15.6</v>
      </c>
      <c r="E368" s="138"/>
      <c r="F368" s="138"/>
      <c r="G368" s="16" t="s">
        <v>671</v>
      </c>
    </row>
    <row r="369" spans="2:7">
      <c r="B369" s="134"/>
      <c r="C369" s="16"/>
      <c r="D369" s="137">
        <v>11</v>
      </c>
      <c r="E369" s="138"/>
      <c r="F369" s="138"/>
      <c r="G369" s="16" t="s">
        <v>672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15.3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AÑO!W17</f>
        <v>4038.2300000000005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-65.919999999999163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-65.919999999999163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625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G6" sqref="G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55" t="str">
        <f>AÑO!A20</f>
        <v>Cártama Gastos</v>
      </c>
      <c r="C2" s="450"/>
      <c r="D2" s="450"/>
      <c r="E2" s="450"/>
      <c r="F2" s="450"/>
      <c r="G2" s="451"/>
      <c r="H2" s="222"/>
      <c r="I2" s="449" t="s">
        <v>4</v>
      </c>
      <c r="J2" s="450"/>
      <c r="K2" s="450"/>
      <c r="L2" s="451"/>
      <c r="M2" s="1"/>
      <c r="N2" s="1"/>
      <c r="R2" s="3"/>
    </row>
    <row r="3" spans="1:22" ht="16.5" thickBot="1">
      <c r="A3" s="1"/>
      <c r="B3" s="452"/>
      <c r="C3" s="453"/>
      <c r="D3" s="453"/>
      <c r="E3" s="453"/>
      <c r="F3" s="453"/>
      <c r="G3" s="454"/>
      <c r="H3" s="1"/>
      <c r="I3" s="452"/>
      <c r="J3" s="453"/>
      <c r="K3" s="453"/>
      <c r="L3" s="454"/>
      <c r="M3" s="1"/>
      <c r="N3" s="1"/>
      <c r="R3" s="3"/>
    </row>
    <row r="4" spans="1:22" ht="15.75">
      <c r="A4" s="1"/>
      <c r="B4" s="402" t="s">
        <v>8</v>
      </c>
      <c r="C4" s="403"/>
      <c r="D4" s="402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>
        <f>M5+2156.93</f>
        <v>2156.9299999999998</v>
      </c>
      <c r="L5" s="433"/>
      <c r="M5" s="1"/>
      <c r="N5" s="1"/>
      <c r="R5" s="3"/>
    </row>
    <row r="6" spans="1:22" ht="15.75">
      <c r="A6" s="112">
        <f>'06'!A6+(B6-SUM(D6:F6))</f>
        <v>812.16</v>
      </c>
      <c r="B6" s="133">
        <v>403.08</v>
      </c>
      <c r="C6" s="19" t="s">
        <v>377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620.1</v>
      </c>
      <c r="L6" s="417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401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6">
        <v>9234.42</v>
      </c>
      <c r="L7" s="417"/>
      <c r="M7" s="1"/>
      <c r="N7" s="1"/>
      <c r="R7" s="3"/>
    </row>
    <row r="8" spans="1:22" ht="15.75">
      <c r="A8" s="112">
        <f>'06'!A8+(B8-SUM(D8:F8))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6305.62</v>
      </c>
      <c r="L8" s="41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6">
        <v>169.67</v>
      </c>
      <c r="L9" s="417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1802.02</v>
      </c>
      <c r="L10" s="417"/>
      <c r="M10" s="1" t="s">
        <v>156</v>
      </c>
      <c r="N10" s="1"/>
      <c r="R10" s="3"/>
    </row>
    <row r="11" spans="1:22" ht="15.75">
      <c r="A11" s="112">
        <f>'06'!A11+(B11-SUM(D11:F11))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>
        <v>190</v>
      </c>
      <c r="L11" s="41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f>5092.08+4044.26</f>
        <v>9136.34</v>
      </c>
      <c r="L12" s="417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1">
        <f>SUM(K5:K18)</f>
        <v>29615.1</v>
      </c>
      <c r="L19" s="442"/>
      <c r="M19" s="1"/>
      <c r="N19" s="1"/>
      <c r="R19" s="3"/>
    </row>
    <row r="20" spans="1:18" ht="16.5" thickBot="1">
      <c r="A20" s="112">
        <f>SUM(A6:A15)</f>
        <v>1181.43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18676.739999999998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55" t="str">
        <f>AÑO!A21</f>
        <v>Waterloo</v>
      </c>
      <c r="C22" s="450"/>
      <c r="D22" s="450"/>
      <c r="E22" s="450"/>
      <c r="F22" s="450"/>
      <c r="G22" s="451"/>
      <c r="H22" s="1"/>
      <c r="I22" s="449" t="s">
        <v>6</v>
      </c>
      <c r="J22" s="450"/>
      <c r="K22" s="450"/>
      <c r="L22" s="451"/>
      <c r="M22" s="1"/>
      <c r="R22" s="3"/>
    </row>
    <row r="23" spans="1:18" ht="16.149999999999999" customHeight="1" thickBot="1">
      <c r="A23" s="1"/>
      <c r="B23" s="452"/>
      <c r="C23" s="453"/>
      <c r="D23" s="453"/>
      <c r="E23" s="453"/>
      <c r="F23" s="453"/>
      <c r="G23" s="454"/>
      <c r="H23" s="1"/>
      <c r="I23" s="452"/>
      <c r="J23" s="453"/>
      <c r="K23" s="453"/>
      <c r="L23" s="454"/>
      <c r="M23" s="1"/>
      <c r="R23" s="3"/>
    </row>
    <row r="24" spans="1:18" ht="15.75">
      <c r="A24" s="1"/>
      <c r="B24" s="402" t="s">
        <v>8</v>
      </c>
      <c r="C24" s="403"/>
      <c r="D24" s="402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231"/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229"/>
      <c r="M26" s="1"/>
      <c r="R26" s="3"/>
    </row>
    <row r="27" spans="1:18" ht="15.75">
      <c r="A27" s="112">
        <f>'06'!A27+(B27-SUM(D27:F27))</f>
        <v>220.02999999999997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30"/>
      <c r="M39" s="1"/>
      <c r="R39" s="3"/>
    </row>
    <row r="40" spans="1:18" ht="16.5" thickBot="1">
      <c r="A40" s="112">
        <f>SUM(A26:A35)</f>
        <v>1484.09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22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22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229"/>
      <c r="M43" s="1"/>
      <c r="R43" s="3"/>
    </row>
    <row r="44" spans="1:18" ht="15.75">
      <c r="A44" s="1"/>
      <c r="B44" s="402" t="s">
        <v>8</v>
      </c>
      <c r="C44" s="403"/>
      <c r="D44" s="402" t="s">
        <v>9</v>
      </c>
      <c r="E44" s="410"/>
      <c r="F44" s="410"/>
      <c r="G44" s="403"/>
      <c r="H44" s="1"/>
      <c r="I44" s="423"/>
      <c r="J44" s="428"/>
      <c r="K44" s="429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/>
      <c r="E46" s="138"/>
      <c r="F46" s="138"/>
      <c r="G46" s="30"/>
      <c r="H46" s="1"/>
      <c r="I46" s="422"/>
      <c r="J46" s="426"/>
      <c r="K46" s="42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229"/>
      <c r="M47" s="1"/>
      <c r="R47" s="3"/>
    </row>
    <row r="48" spans="1:18" ht="15.75">
      <c r="A48" s="1"/>
      <c r="B48" s="134"/>
      <c r="C48" s="16" t="s">
        <v>486</v>
      </c>
      <c r="D48" s="137"/>
      <c r="E48" s="138"/>
      <c r="F48" s="138"/>
      <c r="G48" s="16"/>
      <c r="H48" s="1"/>
      <c r="I48" s="422"/>
      <c r="J48" s="426"/>
      <c r="K48" s="42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22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22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229"/>
      <c r="M63" s="1"/>
      <c r="R63" s="3"/>
    </row>
    <row r="64" spans="1:18" ht="15.75">
      <c r="A64" s="1"/>
      <c r="B64" s="402" t="s">
        <v>8</v>
      </c>
      <c r="C64" s="403"/>
      <c r="D64" s="402" t="s">
        <v>9</v>
      </c>
      <c r="E64" s="410"/>
      <c r="F64" s="410"/>
      <c r="G64" s="403"/>
      <c r="H64" s="1"/>
      <c r="I64" s="423"/>
      <c r="J64" s="428"/>
      <c r="K64" s="429"/>
      <c r="L64" s="230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231"/>
      <c r="M65" s="1"/>
      <c r="R65" s="3"/>
    </row>
    <row r="66" spans="1:18" ht="15.75">
      <c r="A66" s="1"/>
      <c r="B66" s="133">
        <v>160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02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02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02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02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02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02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02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02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1:7" ht="15" customHeight="1" thickBot="1">
      <c r="B243" s="413"/>
      <c r="C243" s="414"/>
      <c r="D243" s="414"/>
      <c r="E243" s="414"/>
      <c r="F243" s="414"/>
      <c r="G243" s="415"/>
    </row>
    <row r="244" spans="1:7" ht="15" customHeight="1">
      <c r="B244" s="402" t="s">
        <v>8</v>
      </c>
      <c r="C244" s="403"/>
      <c r="D244" s="402" t="s">
        <v>9</v>
      </c>
      <c r="E244" s="410"/>
      <c r="F244" s="410"/>
      <c r="G244" s="403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</f>
        <v>71.5</v>
      </c>
      <c r="B246" s="134">
        <v>45</v>
      </c>
      <c r="C246" s="27" t="s">
        <v>403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410</v>
      </c>
      <c r="D256" s="137"/>
      <c r="E256" s="138"/>
      <c r="F256" s="138"/>
      <c r="G256" s="16"/>
    </row>
    <row r="257" spans="1:7" ht="15.75">
      <c r="A257" s="112">
        <f>'06'!A257+(B257-SUM(D257:F257))</f>
        <v>757.46</v>
      </c>
      <c r="B257" s="134">
        <v>25</v>
      </c>
      <c r="C257" s="16" t="s">
        <v>432</v>
      </c>
      <c r="D257" s="137"/>
      <c r="E257" s="138"/>
      <c r="F257" s="138"/>
      <c r="G257" s="16"/>
    </row>
    <row r="258" spans="1:7" ht="15.75">
      <c r="A258" s="112">
        <f>'06'!A258+(B258-SUM(D258:F258))</f>
        <v>165</v>
      </c>
      <c r="B258" s="134">
        <v>25</v>
      </c>
      <c r="C258" s="16" t="s">
        <v>404</v>
      </c>
      <c r="D258" s="137"/>
      <c r="E258" s="138"/>
      <c r="F258" s="138"/>
      <c r="G258" s="16"/>
    </row>
    <row r="259" spans="1:7" ht="16.5" thickBot="1">
      <c r="A259" s="112"/>
      <c r="B259" s="135"/>
      <c r="C259" s="17"/>
      <c r="D259" s="135"/>
      <c r="E259" s="139"/>
      <c r="F259" s="139"/>
      <c r="G259" s="17"/>
    </row>
    <row r="260" spans="1:7" ht="16.5" thickBot="1">
      <c r="A260" s="112">
        <f>SUM(A246:A259)</f>
        <v>1023.96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1:7" ht="15" customHeight="1" thickBot="1">
      <c r="B263" s="413"/>
      <c r="C263" s="414"/>
      <c r="D263" s="414"/>
      <c r="E263" s="414"/>
      <c r="F263" s="414"/>
      <c r="G263" s="415"/>
    </row>
    <row r="264" spans="1:7">
      <c r="B264" s="402" t="s">
        <v>8</v>
      </c>
      <c r="C264" s="403"/>
      <c r="D264" s="402" t="s">
        <v>9</v>
      </c>
      <c r="E264" s="410"/>
      <c r="F264" s="410"/>
      <c r="G264" s="40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02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02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05"/>
      <c r="D322" s="405"/>
      <c r="E322" s="405"/>
      <c r="F322" s="405"/>
      <c r="G322" s="406"/>
    </row>
    <row r="323" spans="2:7" ht="15" customHeight="1" thickBot="1">
      <c r="B323" s="407"/>
      <c r="C323" s="408"/>
      <c r="D323" s="408"/>
      <c r="E323" s="408"/>
      <c r="F323" s="408"/>
      <c r="G323" s="409"/>
    </row>
    <row r="324" spans="2:7">
      <c r="B324" s="402" t="s">
        <v>8</v>
      </c>
      <c r="C324" s="403"/>
      <c r="D324" s="402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02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>
        <v>5</v>
      </c>
      <c r="C347" s="16" t="s">
        <v>619</v>
      </c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50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02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05"/>
      <c r="D382" s="405"/>
      <c r="E382" s="405"/>
      <c r="F382" s="405"/>
      <c r="G382" s="406"/>
    </row>
    <row r="383" spans="2:7" ht="15" customHeight="1" thickBot="1">
      <c r="B383" s="407"/>
      <c r="C383" s="408"/>
      <c r="D383" s="408"/>
      <c r="E383" s="408"/>
      <c r="F383" s="408"/>
      <c r="G383" s="409"/>
    </row>
    <row r="384" spans="2:7">
      <c r="B384" s="402" t="s">
        <v>8</v>
      </c>
      <c r="C384" s="403"/>
      <c r="D384" s="402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02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02" t="s">
        <v>9</v>
      </c>
      <c r="E424" s="410"/>
      <c r="F424" s="410"/>
      <c r="G424" s="403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454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02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W22:Z22" display="AÑO!W22:Z22" xr:uid="{C5C69B82-C203-4258-8E85-E568AEBDEF1A}"/>
    <hyperlink ref="B62" location="Trimestre!C25:F26" display="HIPOTECA" xr:uid="{620B36F7-FF67-479E-8B38-1E475B4D21DE}"/>
    <hyperlink ref="B62:G63" location="AÑO!W23:Z23" display="AÑO!W23:Z23" xr:uid="{05D51832-5663-4FBA-8264-06E0CC774391}"/>
    <hyperlink ref="B82" location="Trimestre!C25:F26" display="HIPOTECA" xr:uid="{806F9CA7-BEE1-4EC4-9E1F-0A556948096C}"/>
    <hyperlink ref="B82:G83" location="AÑO!W24:Z24" display="AÑO!W24:Z24" xr:uid="{DA76A9D0-E06E-4678-9228-36DC32521A6B}"/>
    <hyperlink ref="B102" location="Trimestre!C25:F26" display="HIPOTECA" xr:uid="{0E6825BF-2FD9-444A-9E8C-861DD6E18F10}"/>
    <hyperlink ref="B102:G103" location="AÑO!W25:Z25" display="AÑO!W25:Z25" xr:uid="{E4F0D320-76CC-4643-B558-470B4A191267}"/>
    <hyperlink ref="B122" location="Trimestre!C25:F26" display="HIPOTECA" xr:uid="{FD958644-DB29-4AB7-8D6F-D46D23AA36FE}"/>
    <hyperlink ref="B122:G123" location="AÑO!W26:Z26" display="AÑO!W26:Z26" xr:uid="{670994AC-F608-4AEE-B2BF-76AA7DB6AC29}"/>
    <hyperlink ref="B142" location="Trimestre!C25:F26" display="HIPOTECA" xr:uid="{7E22F324-1BE3-466B-B922-3D588F6848B9}"/>
    <hyperlink ref="B142:G143" location="AÑO!W27:Z27" display="AÑO!W27:Z27" xr:uid="{769E85C0-9040-4603-BD78-84C74359543F}"/>
    <hyperlink ref="B162" location="Trimestre!C25:F26" display="HIPOTECA" xr:uid="{37B1F8F7-2D82-41BA-B0EF-E3734125120A}"/>
    <hyperlink ref="B162:G163" location="AÑO!W28:Z28" display="AÑO!W28:Z28" xr:uid="{147F4B0D-12C1-4F4F-9A26-05C0AFC3AEA5}"/>
    <hyperlink ref="B182" location="Trimestre!C25:F26" display="HIPOTECA" xr:uid="{D714F192-37CA-4D30-BFFC-79B48A641FAA}"/>
    <hyperlink ref="B182:G183" location="AÑO!W29:Z29" display="AÑO!W29:Z29" xr:uid="{4884802A-7329-45FE-810B-B71454971149}"/>
    <hyperlink ref="B202" location="Trimestre!C25:F26" display="HIPOTECA" xr:uid="{A734EE1A-A101-476D-9A8D-E78EAA30AC68}"/>
    <hyperlink ref="B202:G203" location="AÑO!W30:Z30" display="AÑO!W30:Z30" xr:uid="{7FE8C2B1-4063-4376-8057-A66A57C28AFA}"/>
    <hyperlink ref="B222" location="Trimestre!C25:F26" display="HIPOTECA" xr:uid="{3B486C95-047E-4C78-A1AC-A4E50D35B6C3}"/>
    <hyperlink ref="B222:G223" location="AÑO!W31:Z31" display="AÑO!W31:Z31" xr:uid="{6F5B9531-413A-452F-90D3-A70853B231F3}"/>
    <hyperlink ref="B242" location="Trimestre!C25:F26" display="HIPOTECA" xr:uid="{E752454C-0908-4D43-AE11-D2EF3EE6DA21}"/>
    <hyperlink ref="B242:G243" location="AÑO!W32:Z32" display="AÑO!W32:Z32" xr:uid="{D9376917-4F8C-4CE3-8751-DA7849DBEC48}"/>
    <hyperlink ref="B262" location="Trimestre!C25:F26" display="HIPOTECA" xr:uid="{54D2B679-F9E8-4745-852E-E11E53E3E669}"/>
    <hyperlink ref="B262:G263" location="AÑO!W33:Z33" display="AÑO!W33:Z33" xr:uid="{B1A6D1BA-DE06-4DD4-BE25-C712128A2142}"/>
    <hyperlink ref="B282" location="Trimestre!C25:F26" display="HIPOTECA" xr:uid="{CC7A1AEF-D269-4F56-B068-352A9385CC42}"/>
    <hyperlink ref="B282:G283" location="AÑO!W34:Z34" display="AÑO!W34:Z34" xr:uid="{E67AB6C9-4E93-4E6F-86A0-E3D360F16D61}"/>
    <hyperlink ref="B302" location="Trimestre!C25:F26" display="HIPOTECA" xr:uid="{4D170730-B86F-4F62-BC6F-94E90EE8C4F0}"/>
    <hyperlink ref="B302:G303" location="AÑO!W35:Z35" display="AÑO!W35:Z35" xr:uid="{B0ECA6DA-65BF-4E9F-8785-3B0CAB87C87C}"/>
    <hyperlink ref="B322" location="Trimestre!C25:F26" display="HIPOTECA" xr:uid="{2B73894B-6A3C-4D87-98FD-F7C7AEEE1DC6}"/>
    <hyperlink ref="B322:G323" location="AÑO!W36:Z36" display="AÑO!W36:Z36" xr:uid="{A225E443-6F80-4045-BD5E-03F60FF4E7F2}"/>
    <hyperlink ref="B342" location="Trimestre!C25:F26" display="HIPOTECA" xr:uid="{2CCC7AC3-F369-45A1-926C-091B0143B9BB}"/>
    <hyperlink ref="B342:G343" location="AÑO!W37:Z37" display="AÑO!W37:Z37" xr:uid="{D73735A3-28DD-4A17-8CEC-59D911D8A2B8}"/>
    <hyperlink ref="B362" location="Trimestre!C25:F26" display="HIPOTECA" xr:uid="{6671C6FE-1210-4F7C-9E65-8192B58FAD6A}"/>
    <hyperlink ref="B362:G363" location="AÑO!W38:Z38" display="AÑO!W38:Z38" xr:uid="{1BA747A1-BFBA-4380-98E5-E0A4F2B4CC35}"/>
    <hyperlink ref="B382" location="Trimestre!C25:F26" display="HIPOTECA" xr:uid="{FE0C6214-B231-4343-A94E-7395839DC9BD}"/>
    <hyperlink ref="B382:G383" location="AÑO!W39:Z39" display="AÑO!W39:Z39" xr:uid="{8487126F-4FD9-421B-A0D9-FFEA319717C0}"/>
    <hyperlink ref="B402" location="Trimestre!C25:F26" display="HIPOTECA" xr:uid="{12B2989E-3438-48D1-AEAF-AEE7AB222B5B}"/>
    <hyperlink ref="B402:G403" location="AÑO!W40:Z40" display="AÑO!W40:Z40" xr:uid="{45272D3F-C298-4A58-8F48-F874A1208FE9}"/>
    <hyperlink ref="B422" location="Trimestre!C25:F26" display="HIPOTECA" xr:uid="{01D790D5-D5F0-4D4B-8391-106B061AAAC5}"/>
    <hyperlink ref="B422:G423" location="AÑO!W41:Z41" display="AÑO!W41:Z41" xr:uid="{F6054C58-6F49-4F42-871D-98B7E6E2025A}"/>
    <hyperlink ref="B442" location="Trimestre!C25:F26" display="HIPOTECA" xr:uid="{C75DD882-590C-461A-94F9-671B87BF5A09}"/>
    <hyperlink ref="B442:G443" location="AÑO!W42:Z42" display="AÑO!W42:Z42" xr:uid="{9C8693AF-6886-48F0-99CD-2955C9C94B2C}"/>
    <hyperlink ref="B462" location="Trimestre!C25:F26" display="HIPOTECA" xr:uid="{FBEC4B66-1D0A-4784-B5DF-96445A686479}"/>
    <hyperlink ref="B462:G463" location="AÑO!W43:Z43" display="AÑO!W43:Z43" xr:uid="{A4904F71-124A-431F-9A06-4C9BE74343E2}"/>
    <hyperlink ref="B482" location="Trimestre!C25:F26" display="HIPOTECA" xr:uid="{3BEC8488-6503-483F-951E-CFA3B1E0DA4A}"/>
    <hyperlink ref="B482:G483" location="AÑO!W44:Z44" display="AÑO!W44:Z44" xr:uid="{20D44EFB-9743-4522-A3B7-24E89A8B1DCF}"/>
    <hyperlink ref="B502" location="Trimestre!C25:F26" display="HIPOTECA" xr:uid="{78170763-CBD6-4EA0-AEE1-1C25583440DF}"/>
    <hyperlink ref="B502:G503" location="AÑO!W45:Z45" display="AÑO!W45:Z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4" t="str">
        <f>AÑO!A20</f>
        <v>Cártama Gastos</v>
      </c>
      <c r="C2" s="411"/>
      <c r="D2" s="411"/>
      <c r="E2" s="411"/>
      <c r="F2" s="411"/>
      <c r="G2" s="412"/>
      <c r="H2" s="222"/>
      <c r="I2" s="420" t="s">
        <v>4</v>
      </c>
      <c r="J2" s="411"/>
      <c r="K2" s="411"/>
      <c r="L2" s="412"/>
      <c r="M2" s="1"/>
      <c r="N2" s="1"/>
      <c r="R2" s="3"/>
    </row>
    <row r="3" spans="1:22" ht="16.5" thickBot="1">
      <c r="A3" s="1"/>
      <c r="B3" s="413"/>
      <c r="C3" s="414"/>
      <c r="D3" s="414"/>
      <c r="E3" s="414"/>
      <c r="F3" s="414"/>
      <c r="G3" s="415"/>
      <c r="H3" s="1"/>
      <c r="I3" s="413"/>
      <c r="J3" s="414"/>
      <c r="K3" s="414"/>
      <c r="L3" s="415"/>
      <c r="M3" s="1"/>
      <c r="N3" s="1"/>
      <c r="R3" s="3"/>
    </row>
    <row r="4" spans="1:22" ht="15.75">
      <c r="A4" s="1"/>
      <c r="B4" s="402" t="s">
        <v>8</v>
      </c>
      <c r="C4" s="403"/>
      <c r="D4" s="410" t="s">
        <v>9</v>
      </c>
      <c r="E4" s="410"/>
      <c r="F4" s="410"/>
      <c r="G4" s="403"/>
      <c r="H4" s="222"/>
      <c r="I4" s="40" t="s">
        <v>57</v>
      </c>
      <c r="J4" s="105" t="s">
        <v>58</v>
      </c>
      <c r="K4" s="430" t="s">
        <v>59</v>
      </c>
      <c r="L4" s="43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2"/>
      <c r="L5" s="433"/>
      <c r="M5" s="1"/>
      <c r="N5" s="1"/>
      <c r="R5" s="3"/>
    </row>
    <row r="6" spans="1:22" ht="15.75">
      <c r="A6" s="112">
        <f>'07'!A6+(B6-SUM(D6:F6))</f>
        <v>1211.75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6">
        <v>550</v>
      </c>
      <c r="L6" s="417"/>
      <c r="M6" s="1" t="s">
        <v>165</v>
      </c>
      <c r="N6" s="1"/>
      <c r="R6" s="3"/>
    </row>
    <row r="7" spans="1:22" ht="15.75">
      <c r="A7" s="112">
        <f>'07'!A7+(B7-SUM(D7:F7))</f>
        <v>240.20999999999998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6"/>
      <c r="L7" s="417"/>
      <c r="M7" s="1"/>
      <c r="N7" s="1"/>
      <c r="R7" s="3"/>
    </row>
    <row r="8" spans="1:22" ht="15.75">
      <c r="A8" s="112">
        <f>'07'!A8+(B8-SUM(D8:F8))</f>
        <v>-99.01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6">
        <v>7000</v>
      </c>
      <c r="L8" s="41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6">
        <v>659.77</v>
      </c>
      <c r="L9" s="417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6">
        <v>1800.04</v>
      </c>
      <c r="L10" s="417"/>
      <c r="M10" s="1" t="s">
        <v>156</v>
      </c>
      <c r="N10" s="1"/>
      <c r="R10" s="3"/>
    </row>
    <row r="11" spans="1:22" ht="15.75">
      <c r="A11" s="112">
        <f>'07'!A11+(B11-SUM(D11:F11))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6"/>
      <c r="L11" s="41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6">
        <v>5092.08</v>
      </c>
      <c r="L12" s="417"/>
      <c r="M12" s="92"/>
      <c r="N12" s="1"/>
      <c r="R12" s="3"/>
    </row>
    <row r="13" spans="1:22" ht="15.75">
      <c r="A13" s="112">
        <f>'07'!A13+(B13-SUM(D13:F13))</f>
        <v>38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6"/>
      <c r="L13" s="41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6"/>
      <c r="L14" s="41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6"/>
      <c r="L15" s="41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6"/>
      <c r="L16" s="41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6"/>
      <c r="L17" s="41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8"/>
      <c r="L18" s="419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8">
        <f>SUM(K5:K18)</f>
        <v>15101.890000000001</v>
      </c>
      <c r="L19" s="419"/>
      <c r="M19" s="1"/>
      <c r="N19" s="1"/>
      <c r="R19" s="3"/>
    </row>
    <row r="20" spans="1:18" ht="16.5" thickBot="1">
      <c r="A20" s="112">
        <f>SUM(A6:A15)</f>
        <v>1725.43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4" t="str">
        <f>AÑO!A21</f>
        <v>Waterloo</v>
      </c>
      <c r="C22" s="411"/>
      <c r="D22" s="411"/>
      <c r="E22" s="411"/>
      <c r="F22" s="411"/>
      <c r="G22" s="412"/>
      <c r="H22" s="1"/>
      <c r="I22" s="420" t="s">
        <v>6</v>
      </c>
      <c r="J22" s="411"/>
      <c r="K22" s="411"/>
      <c r="L22" s="412"/>
      <c r="M22" s="1"/>
      <c r="R22" s="3"/>
    </row>
    <row r="23" spans="1:18" ht="16.149999999999999" customHeight="1" thickBot="1">
      <c r="A23" s="1"/>
      <c r="B23" s="413"/>
      <c r="C23" s="414"/>
      <c r="D23" s="414"/>
      <c r="E23" s="414"/>
      <c r="F23" s="414"/>
      <c r="G23" s="415"/>
      <c r="H23" s="1"/>
      <c r="I23" s="413"/>
      <c r="J23" s="414"/>
      <c r="K23" s="414"/>
      <c r="L23" s="415"/>
      <c r="M23" s="1"/>
      <c r="R23" s="3"/>
    </row>
    <row r="24" spans="1:18" ht="15.75">
      <c r="A24" s="1"/>
      <c r="B24" s="402" t="s">
        <v>8</v>
      </c>
      <c r="C24" s="403"/>
      <c r="D24" s="410" t="s">
        <v>9</v>
      </c>
      <c r="E24" s="410"/>
      <c r="F24" s="410"/>
      <c r="G24" s="403"/>
      <c r="H24" s="1"/>
      <c r="I24" s="40" t="s">
        <v>31</v>
      </c>
      <c r="J24" s="435" t="s">
        <v>87</v>
      </c>
      <c r="K24" s="436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1" t="str">
        <f>AÑO!A8</f>
        <v>Manolo Salario</v>
      </c>
      <c r="J25" s="424"/>
      <c r="K25" s="425"/>
      <c r="L25" s="198"/>
      <c r="M25" s="1"/>
      <c r="R25" s="3"/>
    </row>
    <row r="26" spans="1:18" ht="15.75">
      <c r="A26" s="112">
        <f>'07'!A26+(B26-SUM(D26:F26))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2"/>
      <c r="J26" s="426"/>
      <c r="K26" s="427"/>
      <c r="L26" s="199"/>
      <c r="M26" s="1"/>
      <c r="R26" s="3"/>
    </row>
    <row r="27" spans="1:18" ht="15.75">
      <c r="A27" s="112">
        <f>'07'!A27+(B27-SUM(D27:F27))</f>
        <v>390.03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2"/>
      <c r="J27" s="426"/>
      <c r="K27" s="427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2"/>
      <c r="J28" s="426"/>
      <c r="K28" s="427"/>
      <c r="L28" s="199"/>
      <c r="M28" s="1"/>
      <c r="R28" s="3"/>
    </row>
    <row r="29" spans="1:18" ht="15.75">
      <c r="A29" s="112">
        <f>'07'!A29+(B29-SUM(D29:F29))</f>
        <v>37.480000000000004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3"/>
      <c r="J29" s="428"/>
      <c r="K29" s="429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1" t="str">
        <f>AÑO!A9</f>
        <v>Rocío Salario</v>
      </c>
      <c r="J30" s="424"/>
      <c r="K30" s="42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2"/>
      <c r="J31" s="426"/>
      <c r="K31" s="42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2"/>
      <c r="J32" s="426"/>
      <c r="K32" s="42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2"/>
      <c r="J33" s="426"/>
      <c r="K33" s="42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3"/>
      <c r="J34" s="428"/>
      <c r="K34" s="429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1" t="s">
        <v>218</v>
      </c>
      <c r="J35" s="424"/>
      <c r="K35" s="42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2"/>
      <c r="J36" s="426"/>
      <c r="K36" s="42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2"/>
      <c r="J37" s="426"/>
      <c r="K37" s="42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2"/>
      <c r="J38" s="426"/>
      <c r="K38" s="42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3"/>
      <c r="J39" s="428"/>
      <c r="K39" s="429"/>
      <c r="L39" s="201"/>
      <c r="M39" s="1"/>
      <c r="R39" s="3"/>
    </row>
    <row r="40" spans="1:18" ht="16.5" thickBot="1">
      <c r="A40" s="112">
        <f>SUM(A26:A35)</f>
        <v>2612.09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1" t="str">
        <f>AÑO!A11</f>
        <v>Finanazas</v>
      </c>
      <c r="J40" s="424"/>
      <c r="K40" s="42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2"/>
      <c r="J41" s="426"/>
      <c r="K41" s="427"/>
      <c r="L41" s="199"/>
      <c r="M41" s="1"/>
      <c r="R41" s="3"/>
    </row>
    <row r="42" spans="1:18" ht="15.6" customHeight="1">
      <c r="A42" s="1"/>
      <c r="B42" s="404" t="str">
        <f>AÑO!A22</f>
        <v>Comida+Limpieza</v>
      </c>
      <c r="C42" s="411"/>
      <c r="D42" s="411"/>
      <c r="E42" s="411"/>
      <c r="F42" s="411"/>
      <c r="G42" s="412"/>
      <c r="H42" s="1"/>
      <c r="I42" s="422"/>
      <c r="J42" s="426"/>
      <c r="K42" s="427"/>
      <c r="L42" s="199"/>
      <c r="M42" s="1"/>
      <c r="R42" s="3"/>
    </row>
    <row r="43" spans="1:18" ht="16.149999999999999" customHeight="1" thickBot="1">
      <c r="A43" s="1"/>
      <c r="B43" s="413"/>
      <c r="C43" s="414"/>
      <c r="D43" s="414"/>
      <c r="E43" s="414"/>
      <c r="F43" s="414"/>
      <c r="G43" s="415"/>
      <c r="H43" s="1"/>
      <c r="I43" s="422"/>
      <c r="J43" s="426"/>
      <c r="K43" s="427"/>
      <c r="L43" s="199"/>
      <c r="M43" s="1"/>
      <c r="R43" s="3"/>
    </row>
    <row r="44" spans="1:18" ht="15.75">
      <c r="A44" s="1"/>
      <c r="B44" s="402" t="s">
        <v>8</v>
      </c>
      <c r="C44" s="403"/>
      <c r="D44" s="410" t="s">
        <v>9</v>
      </c>
      <c r="E44" s="410"/>
      <c r="F44" s="410"/>
      <c r="G44" s="403"/>
      <c r="H44" s="1"/>
      <c r="I44" s="423"/>
      <c r="J44" s="428"/>
      <c r="K44" s="429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1" t="str">
        <f>AÑO!A12</f>
        <v>Regalos</v>
      </c>
      <c r="J45" s="424"/>
      <c r="K45" s="42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2"/>
      <c r="J46" s="426"/>
      <c r="K46" s="42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2"/>
      <c r="J47" s="426"/>
      <c r="K47" s="42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2"/>
      <c r="J48" s="426"/>
      <c r="K48" s="42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3"/>
      <c r="J49" s="428"/>
      <c r="K49" s="429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1" t="str">
        <f>AÑO!A13</f>
        <v>Gubernamental</v>
      </c>
      <c r="J50" s="424"/>
      <c r="K50" s="42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2"/>
      <c r="J51" s="426"/>
      <c r="K51" s="42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2"/>
      <c r="J52" s="426"/>
      <c r="K52" s="42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2"/>
      <c r="J53" s="426"/>
      <c r="K53" s="42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3"/>
      <c r="J54" s="428"/>
      <c r="K54" s="429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1" t="str">
        <f>AÑO!A14</f>
        <v>Mutualite/DKV</v>
      </c>
      <c r="J55" s="424"/>
      <c r="K55" s="42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2"/>
      <c r="J56" s="426"/>
      <c r="K56" s="42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2"/>
      <c r="J57" s="426"/>
      <c r="K57" s="42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2"/>
      <c r="J58" s="426"/>
      <c r="K58" s="42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3"/>
      <c r="J59" s="428"/>
      <c r="K59" s="429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1" t="str">
        <f>AÑO!A15</f>
        <v>Alquiler Cartama</v>
      </c>
      <c r="J60" s="424"/>
      <c r="K60" s="42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2"/>
      <c r="J61" s="426"/>
      <c r="K61" s="427"/>
      <c r="L61" s="199"/>
      <c r="M61" s="1"/>
      <c r="R61" s="3"/>
    </row>
    <row r="62" spans="1:18" ht="15.6" customHeight="1">
      <c r="A62" s="1"/>
      <c r="B62" s="404" t="str">
        <f>AÑO!A23</f>
        <v>Ocio</v>
      </c>
      <c r="C62" s="411"/>
      <c r="D62" s="411"/>
      <c r="E62" s="411"/>
      <c r="F62" s="411"/>
      <c r="G62" s="412"/>
      <c r="H62" s="1"/>
      <c r="I62" s="422"/>
      <c r="J62" s="426"/>
      <c r="K62" s="427"/>
      <c r="L62" s="199"/>
      <c r="M62" s="1"/>
      <c r="R62" s="3"/>
    </row>
    <row r="63" spans="1:18" ht="16.149999999999999" customHeight="1" thickBot="1">
      <c r="A63" s="1"/>
      <c r="B63" s="413"/>
      <c r="C63" s="414"/>
      <c r="D63" s="414"/>
      <c r="E63" s="414"/>
      <c r="F63" s="414"/>
      <c r="G63" s="415"/>
      <c r="H63" s="1"/>
      <c r="I63" s="422"/>
      <c r="J63" s="426"/>
      <c r="K63" s="427"/>
      <c r="L63" s="199"/>
      <c r="M63" s="1"/>
      <c r="R63" s="3"/>
    </row>
    <row r="64" spans="1:18" ht="15.75">
      <c r="A64" s="1"/>
      <c r="B64" s="402" t="s">
        <v>8</v>
      </c>
      <c r="C64" s="403"/>
      <c r="D64" s="410" t="s">
        <v>9</v>
      </c>
      <c r="E64" s="410"/>
      <c r="F64" s="410"/>
      <c r="G64" s="403"/>
      <c r="H64" s="1"/>
      <c r="I64" s="423"/>
      <c r="J64" s="428"/>
      <c r="K64" s="429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1" t="str">
        <f>AÑO!A16</f>
        <v>Otros</v>
      </c>
      <c r="J65" s="424"/>
      <c r="K65" s="42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2"/>
      <c r="J66" s="426"/>
      <c r="K66" s="42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2"/>
      <c r="J67" s="426"/>
      <c r="K67" s="42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2"/>
      <c r="J68" s="426"/>
      <c r="K68" s="42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7"/>
      <c r="J69" s="438"/>
      <c r="K69" s="43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4" t="str">
        <f>AÑO!A24</f>
        <v>Transportes</v>
      </c>
      <c r="C82" s="411"/>
      <c r="D82" s="411"/>
      <c r="E82" s="411"/>
      <c r="F82" s="411"/>
      <c r="G82" s="412"/>
      <c r="H82" s="1"/>
      <c r="M82" s="1"/>
      <c r="R82" s="3"/>
    </row>
    <row r="83" spans="1:18" ht="16.149999999999999" customHeight="1" thickBot="1">
      <c r="A83" s="1"/>
      <c r="B83" s="413"/>
      <c r="C83" s="414"/>
      <c r="D83" s="414"/>
      <c r="E83" s="414"/>
      <c r="F83" s="414"/>
      <c r="G83" s="415"/>
      <c r="H83" s="1"/>
      <c r="M83" s="1"/>
      <c r="R83" s="3"/>
    </row>
    <row r="84" spans="1:18" ht="15.75">
      <c r="A84" s="1"/>
      <c r="B84" s="402" t="s">
        <v>8</v>
      </c>
      <c r="C84" s="403"/>
      <c r="D84" s="410" t="s">
        <v>9</v>
      </c>
      <c r="E84" s="410"/>
      <c r="F84" s="410"/>
      <c r="G84" s="40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4" t="str">
        <f>AÑO!A25</f>
        <v>Coche</v>
      </c>
      <c r="C102" s="411"/>
      <c r="D102" s="411"/>
      <c r="E102" s="411"/>
      <c r="F102" s="411"/>
      <c r="G102" s="412"/>
      <c r="H102" s="1"/>
      <c r="M102" s="1"/>
      <c r="R102" s="3"/>
    </row>
    <row r="103" spans="1:18" ht="16.149999999999999" customHeight="1" thickBot="1">
      <c r="A103" s="1"/>
      <c r="B103" s="413"/>
      <c r="C103" s="414"/>
      <c r="D103" s="414"/>
      <c r="E103" s="414"/>
      <c r="F103" s="414"/>
      <c r="G103" s="415"/>
      <c r="H103" s="1"/>
      <c r="M103" s="1"/>
      <c r="R103" s="3"/>
    </row>
    <row r="104" spans="1:18" ht="15.75">
      <c r="A104" s="1"/>
      <c r="B104" s="402" t="s">
        <v>8</v>
      </c>
      <c r="C104" s="403"/>
      <c r="D104" s="410" t="s">
        <v>9</v>
      </c>
      <c r="E104" s="410"/>
      <c r="F104" s="410"/>
      <c r="G104" s="403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141.93000000000004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2630.650000000001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1191.97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4" t="str">
        <f>AÑO!A26</f>
        <v>Teléfono</v>
      </c>
      <c r="C122" s="411"/>
      <c r="D122" s="411"/>
      <c r="E122" s="411"/>
      <c r="F122" s="411"/>
      <c r="G122" s="412"/>
      <c r="H122" s="1"/>
      <c r="M122" s="1"/>
      <c r="R122" s="3"/>
    </row>
    <row r="123" spans="1:18" ht="16.149999999999999" customHeight="1" thickBot="1">
      <c r="A123" s="1"/>
      <c r="B123" s="413"/>
      <c r="C123" s="414"/>
      <c r="D123" s="414"/>
      <c r="E123" s="414"/>
      <c r="F123" s="414"/>
      <c r="G123" s="415"/>
      <c r="H123" s="1"/>
      <c r="M123" s="1"/>
      <c r="R123" s="3"/>
    </row>
    <row r="124" spans="1:18" ht="15.75">
      <c r="A124" s="1"/>
      <c r="B124" s="402" t="s">
        <v>8</v>
      </c>
      <c r="C124" s="403"/>
      <c r="D124" s="410" t="s">
        <v>9</v>
      </c>
      <c r="E124" s="410"/>
      <c r="F124" s="410"/>
      <c r="G124" s="40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4" t="str">
        <f>AÑO!A27</f>
        <v>Gatos</v>
      </c>
      <c r="C142" s="411"/>
      <c r="D142" s="411"/>
      <c r="E142" s="411"/>
      <c r="F142" s="411"/>
      <c r="G142" s="412"/>
      <c r="H142" s="1"/>
      <c r="M142" s="1"/>
      <c r="R142" s="3"/>
    </row>
    <row r="143" spans="1:18" ht="16.149999999999999" customHeight="1" thickBot="1">
      <c r="A143" s="1"/>
      <c r="B143" s="413"/>
      <c r="C143" s="414"/>
      <c r="D143" s="414"/>
      <c r="E143" s="414"/>
      <c r="F143" s="414"/>
      <c r="G143" s="415"/>
      <c r="H143" s="1"/>
      <c r="M143" s="1"/>
      <c r="R143" s="3"/>
    </row>
    <row r="144" spans="1:18" ht="15.75">
      <c r="A144" s="1"/>
      <c r="B144" s="402" t="s">
        <v>8</v>
      </c>
      <c r="C144" s="403"/>
      <c r="D144" s="410" t="s">
        <v>9</v>
      </c>
      <c r="E144" s="410"/>
      <c r="F144" s="410"/>
      <c r="G144" s="40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4" t="str">
        <f>AÑO!A28</f>
        <v>Vacaciones</v>
      </c>
      <c r="C162" s="411"/>
      <c r="D162" s="411"/>
      <c r="E162" s="411"/>
      <c r="F162" s="411"/>
      <c r="G162" s="412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3"/>
      <c r="C163" s="414"/>
      <c r="D163" s="414"/>
      <c r="E163" s="414"/>
      <c r="F163" s="414"/>
      <c r="G163" s="415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2" t="s">
        <v>8</v>
      </c>
      <c r="C164" s="403"/>
      <c r="D164" s="410" t="s">
        <v>9</v>
      </c>
      <c r="E164" s="410"/>
      <c r="F164" s="410"/>
      <c r="G164" s="40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4" t="str">
        <f>AÑO!A29</f>
        <v>Ropa</v>
      </c>
      <c r="C182" s="411"/>
      <c r="D182" s="411"/>
      <c r="E182" s="411"/>
      <c r="F182" s="411"/>
      <c r="G182" s="4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3"/>
      <c r="C183" s="414"/>
      <c r="D183" s="414"/>
      <c r="E183" s="414"/>
      <c r="F183" s="414"/>
      <c r="G183" s="4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2" t="s">
        <v>8</v>
      </c>
      <c r="C184" s="403"/>
      <c r="D184" s="410" t="s">
        <v>9</v>
      </c>
      <c r="E184" s="410"/>
      <c r="F184" s="410"/>
      <c r="G184" s="4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4" t="str">
        <f>AÑO!A30</f>
        <v>Belleza</v>
      </c>
      <c r="C202" s="411"/>
      <c r="D202" s="411"/>
      <c r="E202" s="411"/>
      <c r="F202" s="411"/>
      <c r="G202" s="412"/>
    </row>
    <row r="203" spans="2:12" ht="15" customHeight="1" thickBot="1">
      <c r="B203" s="413"/>
      <c r="C203" s="414"/>
      <c r="D203" s="414"/>
      <c r="E203" s="414"/>
      <c r="F203" s="414"/>
      <c r="G203" s="415"/>
    </row>
    <row r="204" spans="2:12">
      <c r="B204" s="402" t="s">
        <v>8</v>
      </c>
      <c r="C204" s="403"/>
      <c r="D204" s="410" t="s">
        <v>9</v>
      </c>
      <c r="E204" s="410"/>
      <c r="F204" s="410"/>
      <c r="G204" s="40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4" t="str">
        <f>AÑO!A31</f>
        <v>Deportes</v>
      </c>
      <c r="C222" s="411"/>
      <c r="D222" s="411"/>
      <c r="E222" s="411"/>
      <c r="F222" s="411"/>
      <c r="G222" s="412"/>
    </row>
    <row r="223" spans="2:7" ht="15" customHeight="1" thickBot="1">
      <c r="B223" s="413"/>
      <c r="C223" s="414"/>
      <c r="D223" s="414"/>
      <c r="E223" s="414"/>
      <c r="F223" s="414"/>
      <c r="G223" s="415"/>
    </row>
    <row r="224" spans="2:7">
      <c r="B224" s="402" t="s">
        <v>8</v>
      </c>
      <c r="C224" s="403"/>
      <c r="D224" s="410" t="s">
        <v>9</v>
      </c>
      <c r="E224" s="410"/>
      <c r="F224" s="410"/>
      <c r="G224" s="40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4" t="str">
        <f>AÑO!A32</f>
        <v>Hogar</v>
      </c>
      <c r="C242" s="411"/>
      <c r="D242" s="411"/>
      <c r="E242" s="411"/>
      <c r="F242" s="411"/>
      <c r="G242" s="412"/>
    </row>
    <row r="243" spans="2:7" ht="15" customHeight="1" thickBot="1">
      <c r="B243" s="413"/>
      <c r="C243" s="414"/>
      <c r="D243" s="414"/>
      <c r="E243" s="414"/>
      <c r="F243" s="414"/>
      <c r="G243" s="415"/>
    </row>
    <row r="244" spans="2:7" ht="15" customHeight="1">
      <c r="B244" s="402" t="s">
        <v>8</v>
      </c>
      <c r="C244" s="403"/>
      <c r="D244" s="410" t="s">
        <v>9</v>
      </c>
      <c r="E244" s="410"/>
      <c r="F244" s="410"/>
      <c r="G244" s="40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4" t="str">
        <f>AÑO!A33</f>
        <v>Formación</v>
      </c>
      <c r="C262" s="411"/>
      <c r="D262" s="411"/>
      <c r="E262" s="411"/>
      <c r="F262" s="411"/>
      <c r="G262" s="412"/>
    </row>
    <row r="263" spans="2:7" ht="15" customHeight="1" thickBot="1">
      <c r="B263" s="413"/>
      <c r="C263" s="414"/>
      <c r="D263" s="414"/>
      <c r="E263" s="414"/>
      <c r="F263" s="414"/>
      <c r="G263" s="415"/>
    </row>
    <row r="264" spans="2:7">
      <c r="B264" s="402" t="s">
        <v>8</v>
      </c>
      <c r="C264" s="403"/>
      <c r="D264" s="410" t="s">
        <v>9</v>
      </c>
      <c r="E264" s="410"/>
      <c r="F264" s="410"/>
      <c r="G264" s="40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4" t="str">
        <f>AÑO!A34</f>
        <v>Regalos</v>
      </c>
      <c r="C282" s="411"/>
      <c r="D282" s="411"/>
      <c r="E282" s="411"/>
      <c r="F282" s="411"/>
      <c r="G282" s="412"/>
    </row>
    <row r="283" spans="2:8" ht="15" customHeight="1" thickBot="1">
      <c r="B283" s="413"/>
      <c r="C283" s="414"/>
      <c r="D283" s="414"/>
      <c r="E283" s="414"/>
      <c r="F283" s="414"/>
      <c r="G283" s="415"/>
    </row>
    <row r="284" spans="2:8">
      <c r="B284" s="402" t="s">
        <v>8</v>
      </c>
      <c r="C284" s="403"/>
      <c r="D284" s="410" t="s">
        <v>9</v>
      </c>
      <c r="E284" s="410"/>
      <c r="F284" s="410"/>
      <c r="G284" s="40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4" t="str">
        <f>AÑO!A35</f>
        <v>Salud</v>
      </c>
      <c r="C302" s="411"/>
      <c r="D302" s="411"/>
      <c r="E302" s="411"/>
      <c r="F302" s="411"/>
      <c r="G302" s="412"/>
    </row>
    <row r="303" spans="2:8" ht="15" customHeight="1" thickBot="1">
      <c r="B303" s="413"/>
      <c r="C303" s="414"/>
      <c r="D303" s="414"/>
      <c r="E303" s="414"/>
      <c r="F303" s="414"/>
      <c r="G303" s="415"/>
    </row>
    <row r="304" spans="2:8">
      <c r="B304" s="402" t="s">
        <v>8</v>
      </c>
      <c r="C304" s="403"/>
      <c r="D304" s="410" t="s">
        <v>9</v>
      </c>
      <c r="E304" s="410"/>
      <c r="F304" s="410"/>
      <c r="G304" s="40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4" t="str">
        <f>AÑO!A36</f>
        <v>Nenas</v>
      </c>
      <c r="C322" s="411"/>
      <c r="D322" s="411"/>
      <c r="E322" s="411"/>
      <c r="F322" s="411"/>
      <c r="G322" s="412"/>
    </row>
    <row r="323" spans="2:7" ht="15" customHeight="1" thickBot="1">
      <c r="B323" s="413"/>
      <c r="C323" s="414"/>
      <c r="D323" s="414"/>
      <c r="E323" s="414"/>
      <c r="F323" s="414"/>
      <c r="G323" s="415"/>
    </row>
    <row r="324" spans="2:7">
      <c r="B324" s="402" t="s">
        <v>8</v>
      </c>
      <c r="C324" s="403"/>
      <c r="D324" s="410" t="s">
        <v>9</v>
      </c>
      <c r="E324" s="410"/>
      <c r="F324" s="410"/>
      <c r="G324" s="40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4" t="str">
        <f>AÑO!A37</f>
        <v>Impuestos</v>
      </c>
      <c r="C342" s="411"/>
      <c r="D342" s="411"/>
      <c r="E342" s="411"/>
      <c r="F342" s="411"/>
      <c r="G342" s="412"/>
    </row>
    <row r="343" spans="2:7" ht="15" customHeight="1" thickBot="1">
      <c r="B343" s="413"/>
      <c r="C343" s="414"/>
      <c r="D343" s="414"/>
      <c r="E343" s="414"/>
      <c r="F343" s="414"/>
      <c r="G343" s="415"/>
    </row>
    <row r="344" spans="2:7">
      <c r="B344" s="402" t="s">
        <v>8</v>
      </c>
      <c r="C344" s="403"/>
      <c r="D344" s="410" t="s">
        <v>9</v>
      </c>
      <c r="E344" s="410"/>
      <c r="F344" s="410"/>
      <c r="G344" s="40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4" t="str">
        <f>AÑO!A38</f>
        <v>Gastos Curros</v>
      </c>
      <c r="C362" s="411"/>
      <c r="D362" s="411"/>
      <c r="E362" s="411"/>
      <c r="F362" s="411"/>
      <c r="G362" s="412"/>
    </row>
    <row r="363" spans="2:7" ht="15" customHeight="1" thickBot="1">
      <c r="B363" s="413"/>
      <c r="C363" s="414"/>
      <c r="D363" s="414"/>
      <c r="E363" s="414"/>
      <c r="F363" s="414"/>
      <c r="G363" s="415"/>
    </row>
    <row r="364" spans="2:7">
      <c r="B364" s="402" t="s">
        <v>8</v>
      </c>
      <c r="C364" s="403"/>
      <c r="D364" s="410" t="s">
        <v>9</v>
      </c>
      <c r="E364" s="410"/>
      <c r="F364" s="410"/>
      <c r="G364" s="40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4" t="str">
        <f>AÑO!A39</f>
        <v>Dreamed Holidays</v>
      </c>
      <c r="C382" s="411"/>
      <c r="D382" s="411"/>
      <c r="E382" s="411"/>
      <c r="F382" s="411"/>
      <c r="G382" s="412"/>
    </row>
    <row r="383" spans="2:7" ht="15" customHeight="1" thickBot="1">
      <c r="B383" s="413"/>
      <c r="C383" s="414"/>
      <c r="D383" s="414"/>
      <c r="E383" s="414"/>
      <c r="F383" s="414"/>
      <c r="G383" s="415"/>
    </row>
    <row r="384" spans="2:7">
      <c r="B384" s="402" t="s">
        <v>8</v>
      </c>
      <c r="C384" s="403"/>
      <c r="D384" s="410" t="s">
        <v>9</v>
      </c>
      <c r="E384" s="410"/>
      <c r="F384" s="410"/>
      <c r="G384" s="40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4" t="str">
        <f>AÑO!A40</f>
        <v>Financieros</v>
      </c>
      <c r="C402" s="411"/>
      <c r="D402" s="411"/>
      <c r="E402" s="411"/>
      <c r="F402" s="411"/>
      <c r="G402" s="412"/>
    </row>
    <row r="403" spans="2:7" ht="15" customHeight="1" thickBot="1">
      <c r="B403" s="413"/>
      <c r="C403" s="414"/>
      <c r="D403" s="414"/>
      <c r="E403" s="414"/>
      <c r="F403" s="414"/>
      <c r="G403" s="415"/>
    </row>
    <row r="404" spans="2:7">
      <c r="B404" s="402" t="s">
        <v>8</v>
      </c>
      <c r="C404" s="403"/>
      <c r="D404" s="410" t="s">
        <v>9</v>
      </c>
      <c r="E404" s="410"/>
      <c r="F404" s="410"/>
      <c r="G404" s="40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4" t="str">
        <f>AÑO!A41</f>
        <v>Ahorros Colchón</v>
      </c>
      <c r="C422" s="405"/>
      <c r="D422" s="405"/>
      <c r="E422" s="405"/>
      <c r="F422" s="405"/>
      <c r="G422" s="406"/>
    </row>
    <row r="423" spans="1:7" ht="15" customHeight="1" thickBot="1">
      <c r="B423" s="407"/>
      <c r="C423" s="408"/>
      <c r="D423" s="408"/>
      <c r="E423" s="408"/>
      <c r="F423" s="408"/>
      <c r="G423" s="409"/>
    </row>
    <row r="424" spans="1:7">
      <c r="B424" s="402" t="s">
        <v>8</v>
      </c>
      <c r="C424" s="403"/>
      <c r="D424" s="410" t="s">
        <v>9</v>
      </c>
      <c r="E424" s="410"/>
      <c r="F424" s="410"/>
      <c r="G424" s="403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4" t="str">
        <f>AÑO!A42</f>
        <v>Dinero Bloqueado</v>
      </c>
      <c r="C442" s="405"/>
      <c r="D442" s="405"/>
      <c r="E442" s="405"/>
      <c r="F442" s="405"/>
      <c r="G442" s="406"/>
    </row>
    <row r="443" spans="2:7" ht="15" customHeight="1" thickBot="1">
      <c r="B443" s="407"/>
      <c r="C443" s="408"/>
      <c r="D443" s="408"/>
      <c r="E443" s="408"/>
      <c r="F443" s="408"/>
      <c r="G443" s="409"/>
    </row>
    <row r="444" spans="2:7">
      <c r="B444" s="402" t="s">
        <v>8</v>
      </c>
      <c r="C444" s="403"/>
      <c r="D444" s="410" t="s">
        <v>9</v>
      </c>
      <c r="E444" s="410"/>
      <c r="F444" s="410"/>
      <c r="G444" s="40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4" t="str">
        <f>AÑO!A43</f>
        <v>Cartama Finanazas</v>
      </c>
      <c r="C462" s="405"/>
      <c r="D462" s="405"/>
      <c r="E462" s="405"/>
      <c r="F462" s="405"/>
      <c r="G462" s="406"/>
    </row>
    <row r="463" spans="2:7" ht="15" customHeight="1" thickBot="1">
      <c r="B463" s="407"/>
      <c r="C463" s="408"/>
      <c r="D463" s="408"/>
      <c r="E463" s="408"/>
      <c r="F463" s="408"/>
      <c r="G463" s="409"/>
    </row>
    <row r="464" spans="2:7">
      <c r="B464" s="402" t="s">
        <v>8</v>
      </c>
      <c r="C464" s="403"/>
      <c r="D464" s="410" t="s">
        <v>9</v>
      </c>
      <c r="E464" s="410"/>
      <c r="F464" s="410"/>
      <c r="G464" s="403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'07'!A467+(B467-SUM(D467:F467))</f>
        <v>495.22999999999996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'07'!A468+(B468-SUM(D468:F468))</f>
        <v>173.4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693.63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4" t="str">
        <f>AÑO!A44</f>
        <v>NULO</v>
      </c>
      <c r="C482" s="405"/>
      <c r="D482" s="405"/>
      <c r="E482" s="405"/>
      <c r="F482" s="405"/>
      <c r="G482" s="406"/>
    </row>
    <row r="483" spans="2:7" ht="15" customHeight="1" thickBot="1">
      <c r="B483" s="407"/>
      <c r="C483" s="408"/>
      <c r="D483" s="408"/>
      <c r="E483" s="408"/>
      <c r="F483" s="408"/>
      <c r="G483" s="409"/>
    </row>
    <row r="484" spans="2:7">
      <c r="B484" s="402" t="s">
        <v>8</v>
      </c>
      <c r="C484" s="403"/>
      <c r="D484" s="410" t="s">
        <v>9</v>
      </c>
      <c r="E484" s="410"/>
      <c r="F484" s="410"/>
      <c r="G484" s="40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4" t="str">
        <f>AÑO!A45</f>
        <v>OTROS</v>
      </c>
      <c r="C502" s="405"/>
      <c r="D502" s="405"/>
      <c r="E502" s="405"/>
      <c r="F502" s="405"/>
      <c r="G502" s="406"/>
    </row>
    <row r="503" spans="2:7" ht="15" customHeight="1" thickBot="1">
      <c r="B503" s="407"/>
      <c r="C503" s="408"/>
      <c r="D503" s="408"/>
      <c r="E503" s="408"/>
      <c r="F503" s="408"/>
      <c r="G503" s="409"/>
    </row>
    <row r="504" spans="2:7">
      <c r="B504" s="402" t="s">
        <v>8</v>
      </c>
      <c r="C504" s="403"/>
      <c r="D504" s="410" t="s">
        <v>9</v>
      </c>
      <c r="E504" s="410"/>
      <c r="F504" s="410"/>
      <c r="G504" s="40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2019-06-26T15:57:47Z</dcterms:modified>
</cp:coreProperties>
</file>