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09CD166-F77A-48FF-8125-467508FAEF3A}" xr6:coauthVersionLast="41" xr6:coauthVersionMax="41" xr10:uidLastSave="{00000000-0000-0000-0000-000000000000}"/>
  <bookViews>
    <workbookView xWindow="2895" yWindow="990" windowWidth="21870" windowHeight="1293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5" i="1"/>
  <c r="B20" i="1"/>
  <c r="B45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4" i="1"/>
  <c r="B23" i="1"/>
  <c r="B22" i="1"/>
  <c r="F72" i="17" l="1"/>
  <c r="C72" i="17"/>
  <c r="F71" i="17"/>
  <c r="C71" i="17"/>
  <c r="F70" i="17"/>
  <c r="C70" i="17"/>
  <c r="F69" i="17"/>
  <c r="C69" i="17"/>
  <c r="G68" i="17"/>
  <c r="C68" i="17"/>
  <c r="E68" i="17" s="1"/>
  <c r="D69" i="17" s="1"/>
  <c r="E69" i="17" l="1"/>
  <c r="D70" i="17" s="1"/>
  <c r="E70" i="17" s="1"/>
  <c r="G69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0" i="17" l="1"/>
  <c r="D71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1" i="17" l="1"/>
  <c r="E71" i="17"/>
  <c r="D72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2" i="17" l="1"/>
  <c r="G72" i="17"/>
  <c r="G73" i="17" s="1"/>
  <c r="E73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 s="1"/>
  <c r="AX38" i="1"/>
  <c r="BJ38" i="1" s="1"/>
  <c r="AX30" i="1"/>
  <c r="BJ30" i="1" s="1"/>
  <c r="AX39" i="1"/>
  <c r="BJ39" i="1" s="1"/>
  <c r="AX27" i="1"/>
  <c r="BJ27" i="1" s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<sst xmlns="http://schemas.openxmlformats.org/spreadsheetml/2006/main" count="5770" uniqueCount="868">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</sst>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686427/Documents/Sources/MRS_Manager/2019/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ÑO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oche"/>
      <sheetName val="Hipoteca"/>
      <sheetName val="Historico"/>
      <sheetName val="Bolsa1"/>
      <sheetName val="Bolsa2"/>
      <sheetName val="NOTAS"/>
    </sheetNames>
    <sheetDataSet>
      <sheetData sheetId="0">
        <row r="20">
          <cell r="AX20">
            <v>994.92999999999961</v>
          </cell>
        </row>
        <row r="21">
          <cell r="AX21">
            <v>265.72999999999934</v>
          </cell>
        </row>
        <row r="22">
          <cell r="AX22">
            <v>349.34999999999997</v>
          </cell>
        </row>
        <row r="23">
          <cell r="AX23">
            <v>315.75000000000006</v>
          </cell>
        </row>
        <row r="24">
          <cell r="AX24">
            <v>281.89000000000004</v>
          </cell>
        </row>
        <row r="25">
          <cell r="AX25">
            <v>4323.5915974244963</v>
          </cell>
        </row>
        <row r="26">
          <cell r="AX26">
            <v>40.579999999999977</v>
          </cell>
        </row>
        <row r="27">
          <cell r="AX27">
            <v>428.91000000000008</v>
          </cell>
        </row>
        <row r="28">
          <cell r="AX28">
            <v>1289.0000000000002</v>
          </cell>
        </row>
        <row r="29">
          <cell r="AX29">
            <v>0.57999999999998408</v>
          </cell>
        </row>
        <row r="30">
          <cell r="AX30">
            <v>63.749999999999957</v>
          </cell>
        </row>
        <row r="31">
          <cell r="AX31">
            <v>74.759999999999962</v>
          </cell>
        </row>
        <row r="32">
          <cell r="AX32">
            <v>641.90999999999974</v>
          </cell>
        </row>
        <row r="33">
          <cell r="AX33">
            <v>600.09000000000026</v>
          </cell>
        </row>
        <row r="34">
          <cell r="AX34">
            <v>-121.44000000000017</v>
          </cell>
        </row>
        <row r="35">
          <cell r="AX35">
            <v>1486.8000000000006</v>
          </cell>
        </row>
        <row r="36">
          <cell r="AX36">
            <v>995.49000000000012</v>
          </cell>
        </row>
        <row r="38">
          <cell r="AX38">
            <v>179.00000000000009</v>
          </cell>
        </row>
        <row r="39">
          <cell r="AX39">
            <v>1484.2807879809902</v>
          </cell>
        </row>
        <row r="40">
          <cell r="AX40">
            <v>7334.3661040380202</v>
          </cell>
        </row>
        <row r="41">
          <cell r="AX41">
            <v>4701.0100000000011</v>
          </cell>
        </row>
        <row r="42">
          <cell r="AX42">
            <v>1802.0200000000004</v>
          </cell>
        </row>
        <row r="43">
          <cell r="AX43">
            <v>1654.8791905564922</v>
          </cell>
        </row>
        <row r="45">
          <cell r="AX45">
            <v>-64.069999999999965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46">
          <cell r="A346">
            <v>230.73</v>
          </cell>
        </row>
        <row r="358">
          <cell r="A358">
            <v>175</v>
          </cell>
        </row>
        <row r="359">
          <cell r="A359">
            <v>-15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1" zoomScaleNormal="100" workbookViewId="0">
      <pane xSplit="1" topLeftCell="B1" activePane="topRight" state="frozen"/>
      <selection pane="topRight" activeCell="D25" sqref="D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2" t="s">
        <v>0</v>
      </c>
      <c r="D4" s="353"/>
      <c r="E4" s="353"/>
      <c r="F4" s="354"/>
      <c r="G4" s="352" t="s">
        <v>1</v>
      </c>
      <c r="H4" s="353"/>
      <c r="I4" s="353"/>
      <c r="J4" s="354"/>
      <c r="K4" s="352" t="s">
        <v>2</v>
      </c>
      <c r="L4" s="353"/>
      <c r="M4" s="353"/>
      <c r="N4" s="354"/>
      <c r="O4" s="352" t="s">
        <v>3</v>
      </c>
      <c r="P4" s="353"/>
      <c r="Q4" s="353"/>
      <c r="R4" s="354"/>
      <c r="S4" s="352" t="s">
        <v>69</v>
      </c>
      <c r="T4" s="353"/>
      <c r="U4" s="353"/>
      <c r="V4" s="354"/>
      <c r="W4" s="352" t="s">
        <v>68</v>
      </c>
      <c r="X4" s="353"/>
      <c r="Y4" s="353"/>
      <c r="Z4" s="354"/>
      <c r="AA4" s="352" t="s">
        <v>70</v>
      </c>
      <c r="AB4" s="353"/>
      <c r="AC4" s="353"/>
      <c r="AD4" s="354"/>
      <c r="AE4" s="352" t="s">
        <v>71</v>
      </c>
      <c r="AF4" s="353"/>
      <c r="AG4" s="353"/>
      <c r="AH4" s="354"/>
      <c r="AI4" s="352" t="s">
        <v>73</v>
      </c>
      <c r="AJ4" s="353"/>
      <c r="AK4" s="353"/>
      <c r="AL4" s="354"/>
      <c r="AM4" s="352" t="s">
        <v>75</v>
      </c>
      <c r="AN4" s="353"/>
      <c r="AO4" s="353"/>
      <c r="AP4" s="354"/>
      <c r="AQ4" s="352" t="s">
        <v>77</v>
      </c>
      <c r="AR4" s="353"/>
      <c r="AS4" s="353"/>
      <c r="AT4" s="354"/>
      <c r="AU4" s="352" t="s">
        <v>82</v>
      </c>
      <c r="AV4" s="353"/>
      <c r="AW4" s="353"/>
      <c r="AX4" s="354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5">
        <f>'01'!K19</f>
        <v>0</v>
      </c>
      <c r="D5" s="356"/>
      <c r="E5" s="356"/>
      <c r="F5" s="357"/>
      <c r="G5" s="355">
        <f>'02'!K19</f>
        <v>25229.379999999997</v>
      </c>
      <c r="H5" s="356"/>
      <c r="I5" s="356"/>
      <c r="J5" s="357"/>
      <c r="K5" s="362">
        <f>'03'!K19</f>
        <v>25574.760000000002</v>
      </c>
      <c r="L5" s="356"/>
      <c r="M5" s="356"/>
      <c r="N5" s="357"/>
      <c r="O5" s="362">
        <f>'04'!K19</f>
        <v>26443.759999999998</v>
      </c>
      <c r="P5" s="356"/>
      <c r="Q5" s="356"/>
      <c r="R5" s="357"/>
      <c r="S5" s="362">
        <f>'05'!K19</f>
        <v>27163.090000000004</v>
      </c>
      <c r="T5" s="356"/>
      <c r="U5" s="356"/>
      <c r="V5" s="357"/>
      <c r="W5" s="362">
        <f>'06'!K19</f>
        <v>29014.079999999998</v>
      </c>
      <c r="X5" s="356"/>
      <c r="Y5" s="356"/>
      <c r="Z5" s="357"/>
      <c r="AA5" s="362">
        <f>'07'!K19</f>
        <v>29282.959999999999</v>
      </c>
      <c r="AB5" s="356"/>
      <c r="AC5" s="356"/>
      <c r="AD5" s="357"/>
      <c r="AE5" s="362">
        <f>'08'!K19</f>
        <v>29166.850000000002</v>
      </c>
      <c r="AF5" s="356"/>
      <c r="AG5" s="356"/>
      <c r="AH5" s="357"/>
      <c r="AI5" s="362">
        <f>'09'!K19</f>
        <v>29258.260000000002</v>
      </c>
      <c r="AJ5" s="356"/>
      <c r="AK5" s="356"/>
      <c r="AL5" s="357"/>
      <c r="AM5" s="362">
        <f>'10'!K19</f>
        <v>30089.47</v>
      </c>
      <c r="AN5" s="356"/>
      <c r="AO5" s="356"/>
      <c r="AP5" s="357"/>
      <c r="AQ5" s="362">
        <f>'11'!K19</f>
        <v>30103.380000000005</v>
      </c>
      <c r="AR5" s="356"/>
      <c r="AS5" s="356"/>
      <c r="AT5" s="357"/>
      <c r="AU5" s="362">
        <f>'12'!K19</f>
        <v>30103.380000000005</v>
      </c>
      <c r="AV5" s="356"/>
      <c r="AW5" s="356"/>
      <c r="AX5" s="357"/>
      <c r="AZ5" s="6"/>
      <c r="BA5" s="7"/>
      <c r="BB5" s="1"/>
      <c r="BC5" s="1"/>
    </row>
    <row r="6" spans="1:55" ht="17.25" thickTop="1" thickBot="1">
      <c r="A6" s="205"/>
      <c r="B6" s="8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8" t="s">
        <v>221</v>
      </c>
      <c r="D7" s="359"/>
      <c r="E7" s="359"/>
      <c r="F7" s="360"/>
      <c r="G7" s="358" t="s">
        <v>221</v>
      </c>
      <c r="H7" s="359"/>
      <c r="I7" s="359"/>
      <c r="J7" s="360"/>
      <c r="K7" s="358" t="s">
        <v>221</v>
      </c>
      <c r="L7" s="359"/>
      <c r="M7" s="359"/>
      <c r="N7" s="360"/>
      <c r="O7" s="358" t="s">
        <v>221</v>
      </c>
      <c r="P7" s="359"/>
      <c r="Q7" s="359"/>
      <c r="R7" s="360"/>
      <c r="S7" s="358" t="s">
        <v>221</v>
      </c>
      <c r="T7" s="359"/>
      <c r="U7" s="359"/>
      <c r="V7" s="360"/>
      <c r="W7" s="358" t="s">
        <v>221</v>
      </c>
      <c r="X7" s="359"/>
      <c r="Y7" s="359"/>
      <c r="Z7" s="360"/>
      <c r="AA7" s="358" t="s">
        <v>221</v>
      </c>
      <c r="AB7" s="359"/>
      <c r="AC7" s="359"/>
      <c r="AD7" s="360"/>
      <c r="AE7" s="358" t="s">
        <v>221</v>
      </c>
      <c r="AF7" s="359"/>
      <c r="AG7" s="359"/>
      <c r="AH7" s="360"/>
      <c r="AI7" s="358" t="s">
        <v>221</v>
      </c>
      <c r="AJ7" s="359"/>
      <c r="AK7" s="359"/>
      <c r="AL7" s="360"/>
      <c r="AM7" s="358" t="s">
        <v>221</v>
      </c>
      <c r="AN7" s="359"/>
      <c r="AO7" s="359"/>
      <c r="AP7" s="360"/>
      <c r="AQ7" s="358" t="s">
        <v>221</v>
      </c>
      <c r="AR7" s="359"/>
      <c r="AS7" s="359"/>
      <c r="AT7" s="360"/>
      <c r="AU7" s="358" t="s">
        <v>221</v>
      </c>
      <c r="AV7" s="359"/>
      <c r="AW7" s="359"/>
      <c r="AX7" s="360"/>
      <c r="AZ7" s="9" t="s">
        <v>223</v>
      </c>
      <c r="BA7" s="13" t="s">
        <v>184</v>
      </c>
      <c r="BB7" s="1"/>
      <c r="BC7" s="1"/>
    </row>
    <row r="8" spans="1:55" ht="15.75">
      <c r="A8" s="206" t="s">
        <v>204</v>
      </c>
      <c r="B8" s="192"/>
      <c r="C8" s="340">
        <f>SUM('01'!L25:'01'!L29)</f>
        <v>0</v>
      </c>
      <c r="D8" s="341"/>
      <c r="E8" s="341"/>
      <c r="F8" s="342"/>
      <c r="G8" s="340">
        <f>SUM('02'!L25:'02'!L29)</f>
        <v>2592.42</v>
      </c>
      <c r="H8" s="341"/>
      <c r="I8" s="341"/>
      <c r="J8" s="342"/>
      <c r="K8" s="340">
        <f>SUM('03'!L25:'03'!L29)</f>
        <v>2526.87</v>
      </c>
      <c r="L8" s="341"/>
      <c r="M8" s="341"/>
      <c r="N8" s="342"/>
      <c r="O8" s="340">
        <f>SUM('04'!L25:'04'!L29)</f>
        <v>2570.56</v>
      </c>
      <c r="P8" s="341"/>
      <c r="Q8" s="341"/>
      <c r="R8" s="342"/>
      <c r="S8" s="340">
        <f>SUM('05'!L25:'05'!L29)</f>
        <v>4448.8500000000004</v>
      </c>
      <c r="T8" s="341"/>
      <c r="U8" s="341"/>
      <c r="V8" s="342"/>
      <c r="W8" s="340">
        <f>SUM('06'!L25:'06'!L29)</f>
        <v>2574.61</v>
      </c>
      <c r="X8" s="341"/>
      <c r="Y8" s="341"/>
      <c r="Z8" s="342"/>
      <c r="AA8" s="340">
        <f>SUM('07'!L25:'07'!L29)</f>
        <v>2568.54</v>
      </c>
      <c r="AB8" s="341"/>
      <c r="AC8" s="341"/>
      <c r="AD8" s="342"/>
      <c r="AE8" s="340">
        <f>SUM('08'!L25:'08'!L29)</f>
        <v>2571.5500000000002</v>
      </c>
      <c r="AF8" s="341"/>
      <c r="AG8" s="341"/>
      <c r="AH8" s="342"/>
      <c r="AI8" s="340">
        <f>SUM('09'!L25:'09'!L29)</f>
        <v>2573.7399999999998</v>
      </c>
      <c r="AJ8" s="341"/>
      <c r="AK8" s="341"/>
      <c r="AL8" s="342"/>
      <c r="AM8" s="340">
        <f>SUM('10'!L25:'10'!L29)</f>
        <v>2617.69</v>
      </c>
      <c r="AN8" s="341"/>
      <c r="AO8" s="341"/>
      <c r="AP8" s="342"/>
      <c r="AQ8" s="340">
        <f>SUM('11'!L25:'11'!L29)</f>
        <v>2588.0700000000002</v>
      </c>
      <c r="AR8" s="341"/>
      <c r="AS8" s="341"/>
      <c r="AT8" s="342"/>
      <c r="AU8" s="340">
        <f>SUM('12'!L25:'12'!L29)</f>
        <v>0</v>
      </c>
      <c r="AV8" s="341"/>
      <c r="AW8" s="341"/>
      <c r="AX8" s="342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205</v>
      </c>
      <c r="B9" s="193"/>
      <c r="C9" s="343">
        <f>SUM('01'!L30:'01'!L34)</f>
        <v>0</v>
      </c>
      <c r="D9" s="344"/>
      <c r="E9" s="344"/>
      <c r="F9" s="345"/>
      <c r="G9" s="343">
        <f>SUM('02'!L30:'02'!L34)</f>
        <v>760.26</v>
      </c>
      <c r="H9" s="344"/>
      <c r="I9" s="344"/>
      <c r="J9" s="345"/>
      <c r="K9" s="343">
        <f>SUM('03'!L30:'03'!L34)</f>
        <v>516.44000000000005</v>
      </c>
      <c r="L9" s="344"/>
      <c r="M9" s="344"/>
      <c r="N9" s="345"/>
      <c r="O9" s="343">
        <f>SUM('04'!L30:'04'!L34)</f>
        <v>507.54</v>
      </c>
      <c r="P9" s="344"/>
      <c r="Q9" s="344"/>
      <c r="R9" s="345"/>
      <c r="S9" s="343">
        <f>SUM('05'!L30:'05'!L34)</f>
        <v>578.16999999999996</v>
      </c>
      <c r="T9" s="344"/>
      <c r="U9" s="344"/>
      <c r="V9" s="345"/>
      <c r="W9" s="343">
        <f>SUM('06'!L30:'06'!L34)</f>
        <v>613.67000000000007</v>
      </c>
      <c r="X9" s="344"/>
      <c r="Y9" s="344"/>
      <c r="Z9" s="345"/>
      <c r="AA9" s="343">
        <f>SUM('07'!L30:'07'!L34)</f>
        <v>1147.52</v>
      </c>
      <c r="AB9" s="344"/>
      <c r="AC9" s="344"/>
      <c r="AD9" s="345"/>
      <c r="AE9" s="343">
        <f>SUM('08'!L30:'08'!L34)</f>
        <v>291.60000000000002</v>
      </c>
      <c r="AF9" s="344"/>
      <c r="AG9" s="344"/>
      <c r="AH9" s="345"/>
      <c r="AI9" s="343">
        <f>SUM('09'!L30:'09'!L34)</f>
        <v>291.60000000000002</v>
      </c>
      <c r="AJ9" s="344"/>
      <c r="AK9" s="344"/>
      <c r="AL9" s="345"/>
      <c r="AM9" s="343">
        <f>SUM('10'!L30:'10'!L34)</f>
        <v>599.04999999999995</v>
      </c>
      <c r="AN9" s="344"/>
      <c r="AO9" s="344"/>
      <c r="AP9" s="345"/>
      <c r="AQ9" s="343">
        <f>SUM('11'!L30:'11'!L34)</f>
        <v>302.78999999999996</v>
      </c>
      <c r="AR9" s="344"/>
      <c r="AS9" s="344"/>
      <c r="AT9" s="345"/>
      <c r="AU9" s="343">
        <f>SUM('12'!L30:'12'!L34)</f>
        <v>0</v>
      </c>
      <c r="AV9" s="344"/>
      <c r="AW9" s="344"/>
      <c r="AX9" s="345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210</v>
      </c>
      <c r="B10" s="194"/>
      <c r="C10" s="343">
        <f>SUM('01'!L35:'01'!L39)</f>
        <v>0</v>
      </c>
      <c r="D10" s="344"/>
      <c r="E10" s="344"/>
      <c r="F10" s="345"/>
      <c r="G10" s="343">
        <f>SUM('02'!L35:'02'!L39)</f>
        <v>107.38</v>
      </c>
      <c r="H10" s="344"/>
      <c r="I10" s="344"/>
      <c r="J10" s="345"/>
      <c r="K10" s="343">
        <f>SUM('03'!L35:'03'!L39)</f>
        <v>91.73</v>
      </c>
      <c r="L10" s="344"/>
      <c r="M10" s="344"/>
      <c r="N10" s="345"/>
      <c r="O10" s="343">
        <f>SUM('04'!L35:'04'!L39)</f>
        <v>204.23</v>
      </c>
      <c r="P10" s="344"/>
      <c r="Q10" s="344"/>
      <c r="R10" s="345"/>
      <c r="S10" s="343">
        <f>SUM('05'!L35:'05'!L39)</f>
        <v>119.85</v>
      </c>
      <c r="T10" s="344"/>
      <c r="U10" s="344"/>
      <c r="V10" s="345"/>
      <c r="W10" s="346">
        <f>SUM('06'!L35:'06'!L39)</f>
        <v>55.09</v>
      </c>
      <c r="X10" s="347"/>
      <c r="Y10" s="347"/>
      <c r="Z10" s="348"/>
      <c r="AA10" s="346">
        <f>SUM('07'!L35:'07'!L39)</f>
        <v>124.52</v>
      </c>
      <c r="AB10" s="347"/>
      <c r="AC10" s="347"/>
      <c r="AD10" s="348"/>
      <c r="AE10" s="346">
        <f>SUM('08'!L35:'08'!L39)</f>
        <v>164.91</v>
      </c>
      <c r="AF10" s="347"/>
      <c r="AG10" s="347"/>
      <c r="AH10" s="348"/>
      <c r="AI10" s="346">
        <f>SUM('09'!L35:'09'!L39)</f>
        <v>167.95</v>
      </c>
      <c r="AJ10" s="347"/>
      <c r="AK10" s="347"/>
      <c r="AL10" s="348"/>
      <c r="AM10" s="346">
        <f>SUM('10'!L35:'10'!L39)</f>
        <v>0</v>
      </c>
      <c r="AN10" s="347"/>
      <c r="AO10" s="347"/>
      <c r="AP10" s="348"/>
      <c r="AQ10" s="346">
        <f>SUM('11'!L35:'11'!L39)</f>
        <v>0</v>
      </c>
      <c r="AR10" s="347"/>
      <c r="AS10" s="347"/>
      <c r="AT10" s="348"/>
      <c r="AU10" s="346">
        <f>SUM('12'!L35:'12'!L39)</f>
        <v>0</v>
      </c>
      <c r="AV10" s="347"/>
      <c r="AW10" s="347"/>
      <c r="AX10" s="348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206</v>
      </c>
      <c r="B11" s="193"/>
      <c r="C11" s="343">
        <f>SUM('01'!L40:'01'!L44)</f>
        <v>0</v>
      </c>
      <c r="D11" s="344"/>
      <c r="E11" s="344"/>
      <c r="F11" s="345"/>
      <c r="G11" s="343">
        <f>SUM('02'!L40:'02'!L44)</f>
        <v>0</v>
      </c>
      <c r="H11" s="344"/>
      <c r="I11" s="344"/>
      <c r="J11" s="345"/>
      <c r="K11" s="343">
        <f>SUM('03'!L40:'03'!L44)</f>
        <v>0</v>
      </c>
      <c r="L11" s="344"/>
      <c r="M11" s="344"/>
      <c r="N11" s="345"/>
      <c r="O11" s="343">
        <f>SUM('04'!L40:'04'!L44)</f>
        <v>356.59</v>
      </c>
      <c r="P11" s="344"/>
      <c r="Q11" s="344"/>
      <c r="R11" s="345"/>
      <c r="S11" s="343">
        <f>SUM('05'!L40:'05'!L44)</f>
        <v>45.86</v>
      </c>
      <c r="T11" s="344"/>
      <c r="U11" s="344"/>
      <c r="V11" s="345"/>
      <c r="W11" s="343">
        <f>SUM('06'!L40:'06'!L44)</f>
        <v>0</v>
      </c>
      <c r="X11" s="344"/>
      <c r="Y11" s="344"/>
      <c r="Z11" s="345"/>
      <c r="AA11" s="343">
        <f>SUM('07'!L40:'07'!L44)</f>
        <v>1.02</v>
      </c>
      <c r="AB11" s="344"/>
      <c r="AC11" s="344"/>
      <c r="AD11" s="345"/>
      <c r="AE11" s="343">
        <f>SUM('08'!L40:'08'!L44)</f>
        <v>0</v>
      </c>
      <c r="AF11" s="344"/>
      <c r="AG11" s="344"/>
      <c r="AH11" s="345"/>
      <c r="AI11" s="343">
        <f>SUM('09'!L40:'09'!L44)</f>
        <v>0</v>
      </c>
      <c r="AJ11" s="344"/>
      <c r="AK11" s="344"/>
      <c r="AL11" s="345"/>
      <c r="AM11" s="343">
        <f>SUM('10'!L40:'10'!L44)</f>
        <v>52.97</v>
      </c>
      <c r="AN11" s="344"/>
      <c r="AO11" s="344"/>
      <c r="AP11" s="345"/>
      <c r="AQ11" s="343">
        <f>SUM('11'!L40:'11'!L44)</f>
        <v>42.84</v>
      </c>
      <c r="AR11" s="344"/>
      <c r="AS11" s="344"/>
      <c r="AT11" s="345"/>
      <c r="AU11" s="343">
        <f>SUM('12'!L40:'12'!L44)</f>
        <v>0</v>
      </c>
      <c r="AV11" s="344"/>
      <c r="AW11" s="344"/>
      <c r="AX11" s="345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/>
      <c r="C12" s="343">
        <f>SUM('01'!L45:'01'!L49)</f>
        <v>0</v>
      </c>
      <c r="D12" s="344"/>
      <c r="E12" s="344"/>
      <c r="F12" s="345"/>
      <c r="G12" s="343">
        <f>SUM('02'!L45:'02'!L49)</f>
        <v>600.04</v>
      </c>
      <c r="H12" s="344"/>
      <c r="I12" s="344"/>
      <c r="J12" s="345"/>
      <c r="K12" s="343">
        <f>SUM('03'!L45:'03'!L49)</f>
        <v>380</v>
      </c>
      <c r="L12" s="344"/>
      <c r="M12" s="344"/>
      <c r="N12" s="345"/>
      <c r="O12" s="343">
        <f>SUM('04'!L45:'04'!L49)</f>
        <v>0</v>
      </c>
      <c r="P12" s="344"/>
      <c r="Q12" s="344"/>
      <c r="R12" s="345"/>
      <c r="S12" s="343">
        <f>SUM('05'!L45:'05'!L49)</f>
        <v>0</v>
      </c>
      <c r="T12" s="344"/>
      <c r="U12" s="344"/>
      <c r="V12" s="345"/>
      <c r="W12" s="346">
        <f>SUM('06'!L45:'06'!L49)</f>
        <v>242.41</v>
      </c>
      <c r="X12" s="347"/>
      <c r="Y12" s="347"/>
      <c r="Z12" s="348"/>
      <c r="AA12" s="346">
        <f>SUM('07'!L45:'07'!L49)</f>
        <v>0</v>
      </c>
      <c r="AB12" s="347"/>
      <c r="AC12" s="347"/>
      <c r="AD12" s="348"/>
      <c r="AE12" s="346">
        <f>SUM('08'!L45:'08'!L49)</f>
        <v>222.98</v>
      </c>
      <c r="AF12" s="347"/>
      <c r="AG12" s="347"/>
      <c r="AH12" s="348"/>
      <c r="AI12" s="346">
        <f>SUM('09'!L45:'09'!L49)</f>
        <v>200</v>
      </c>
      <c r="AJ12" s="347"/>
      <c r="AK12" s="347"/>
      <c r="AL12" s="348"/>
      <c r="AM12" s="346">
        <f>SUM('10'!L45:'10'!L49)</f>
        <v>0</v>
      </c>
      <c r="AN12" s="347"/>
      <c r="AO12" s="347"/>
      <c r="AP12" s="348"/>
      <c r="AQ12" s="346">
        <f>SUM('11'!L45:'11'!L49)</f>
        <v>430</v>
      </c>
      <c r="AR12" s="347"/>
      <c r="AS12" s="347"/>
      <c r="AT12" s="348"/>
      <c r="AU12" s="346">
        <f>SUM('12'!L45:'12'!L49)</f>
        <v>0</v>
      </c>
      <c r="AV12" s="347"/>
      <c r="AW12" s="347"/>
      <c r="AX12" s="348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207</v>
      </c>
      <c r="B13" s="195"/>
      <c r="C13" s="343">
        <f>SUM('01'!L50:'01'!L54)</f>
        <v>0</v>
      </c>
      <c r="D13" s="344"/>
      <c r="E13" s="344"/>
      <c r="F13" s="345"/>
      <c r="G13" s="343">
        <f>SUM('02'!L50:'02'!L54)</f>
        <v>95.8</v>
      </c>
      <c r="H13" s="344"/>
      <c r="I13" s="344"/>
      <c r="J13" s="345"/>
      <c r="K13" s="343">
        <f>SUM('03'!L50:'03'!L54)</f>
        <v>4517.74</v>
      </c>
      <c r="L13" s="344"/>
      <c r="M13" s="344"/>
      <c r="N13" s="345"/>
      <c r="O13" s="343">
        <f>SUM('04'!L50:'04'!L54)</f>
        <v>95.8</v>
      </c>
      <c r="P13" s="344"/>
      <c r="Q13" s="344"/>
      <c r="R13" s="345"/>
      <c r="S13" s="343">
        <f>SUM('05'!L50:'05'!L54)</f>
        <v>95.8</v>
      </c>
      <c r="T13" s="344"/>
      <c r="U13" s="344"/>
      <c r="V13" s="345"/>
      <c r="W13" s="343">
        <f>SUM('06'!L50:'06'!L54)</f>
        <v>95.8</v>
      </c>
      <c r="X13" s="344"/>
      <c r="Y13" s="344"/>
      <c r="Z13" s="345"/>
      <c r="AA13" s="343">
        <f>SUM('07'!L50:'07'!L54)</f>
        <v>95.8</v>
      </c>
      <c r="AB13" s="344"/>
      <c r="AC13" s="344"/>
      <c r="AD13" s="345"/>
      <c r="AE13" s="343">
        <f>SUM('08'!L50:'08'!L54)</f>
        <v>117.03</v>
      </c>
      <c r="AF13" s="344"/>
      <c r="AG13" s="344"/>
      <c r="AH13" s="345"/>
      <c r="AI13" s="343">
        <f>SUM('09'!L50:'09'!L54)</f>
        <v>1072.33</v>
      </c>
      <c r="AJ13" s="344"/>
      <c r="AK13" s="344"/>
      <c r="AL13" s="345"/>
      <c r="AM13" s="343">
        <f>SUM('10'!L50:'10'!L54)</f>
        <v>95.8</v>
      </c>
      <c r="AN13" s="344"/>
      <c r="AO13" s="344"/>
      <c r="AP13" s="345"/>
      <c r="AQ13" s="343">
        <f>SUM('11'!L50:'11'!L54)</f>
        <v>95.8</v>
      </c>
      <c r="AR13" s="344"/>
      <c r="AS13" s="344"/>
      <c r="AT13" s="345"/>
      <c r="AU13" s="343">
        <f>SUM('12'!L50:'12'!L54)</f>
        <v>0</v>
      </c>
      <c r="AV13" s="344"/>
      <c r="AW13" s="344"/>
      <c r="AX13" s="345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208</v>
      </c>
      <c r="B14" s="194"/>
      <c r="C14" s="343">
        <f>SUM('01'!L55:'01'!L59)</f>
        <v>0</v>
      </c>
      <c r="D14" s="344"/>
      <c r="E14" s="344"/>
      <c r="F14" s="345"/>
      <c r="G14" s="343">
        <f>SUM('02'!L55:'02'!L59)</f>
        <v>0</v>
      </c>
      <c r="H14" s="344"/>
      <c r="I14" s="344"/>
      <c r="J14" s="345"/>
      <c r="K14" s="343">
        <f>SUM('03'!L55:'03'!L59)</f>
        <v>9.44</v>
      </c>
      <c r="L14" s="344"/>
      <c r="M14" s="344"/>
      <c r="N14" s="345"/>
      <c r="O14" s="343">
        <f>SUM('04'!L55:'04'!L59)</f>
        <v>37.980000000000004</v>
      </c>
      <c r="P14" s="344"/>
      <c r="Q14" s="344"/>
      <c r="R14" s="345"/>
      <c r="S14" s="343">
        <f>SUM('05'!L55:'05'!L59)</f>
        <v>17.350000000000001</v>
      </c>
      <c r="T14" s="344"/>
      <c r="U14" s="344"/>
      <c r="V14" s="345"/>
      <c r="W14" s="346">
        <f>SUM('06'!L55:'06'!L59)</f>
        <v>0</v>
      </c>
      <c r="X14" s="347"/>
      <c r="Y14" s="347"/>
      <c r="Z14" s="348"/>
      <c r="AA14" s="346">
        <f>SUM('07'!L55:'07'!L59)</f>
        <v>51.759999999999991</v>
      </c>
      <c r="AB14" s="347"/>
      <c r="AC14" s="347"/>
      <c r="AD14" s="348"/>
      <c r="AE14" s="346">
        <f>SUM('08'!L55:'08'!L59)</f>
        <v>27.42</v>
      </c>
      <c r="AF14" s="347"/>
      <c r="AG14" s="347"/>
      <c r="AH14" s="348"/>
      <c r="AI14" s="346">
        <f>SUM('09'!L55:'09'!L59)</f>
        <v>0</v>
      </c>
      <c r="AJ14" s="347"/>
      <c r="AK14" s="347"/>
      <c r="AL14" s="348"/>
      <c r="AM14" s="346">
        <f>SUM('10'!L55:'10'!L59)</f>
        <v>57.08</v>
      </c>
      <c r="AN14" s="347"/>
      <c r="AO14" s="347"/>
      <c r="AP14" s="348"/>
      <c r="AQ14" s="346">
        <f>SUM('11'!L55:'11'!L59)</f>
        <v>393.02</v>
      </c>
      <c r="AR14" s="347"/>
      <c r="AS14" s="347"/>
      <c r="AT14" s="348"/>
      <c r="AU14" s="346">
        <f>SUM('12'!L55:'12'!L59)</f>
        <v>0</v>
      </c>
      <c r="AV14" s="347"/>
      <c r="AW14" s="347"/>
      <c r="AX14" s="348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209</v>
      </c>
      <c r="B15" s="193"/>
      <c r="C15" s="343">
        <f>SUM('01'!L60:'01'!L64)</f>
        <v>0</v>
      </c>
      <c r="D15" s="344"/>
      <c r="E15" s="344"/>
      <c r="F15" s="345"/>
      <c r="G15" s="343">
        <f>SUM('02'!L60:'02'!L64)</f>
        <v>665.77</v>
      </c>
      <c r="H15" s="344"/>
      <c r="I15" s="344"/>
      <c r="J15" s="345"/>
      <c r="K15" s="343">
        <f>SUM('03'!L60:'03'!L64)</f>
        <v>682.39</v>
      </c>
      <c r="L15" s="344"/>
      <c r="M15" s="344"/>
      <c r="N15" s="345"/>
      <c r="O15" s="343">
        <f>SUM('04'!L60:'04'!L64)</f>
        <v>550</v>
      </c>
      <c r="P15" s="344"/>
      <c r="Q15" s="344"/>
      <c r="R15" s="345"/>
      <c r="S15" s="343">
        <f>SUM('05'!L60:'05'!L64)</f>
        <v>652.44000000000005</v>
      </c>
      <c r="T15" s="344"/>
      <c r="U15" s="344"/>
      <c r="V15" s="345"/>
      <c r="W15" s="343">
        <f>SUM('06'!L60:'06'!L64)</f>
        <v>511.74</v>
      </c>
      <c r="X15" s="344"/>
      <c r="Y15" s="344"/>
      <c r="Z15" s="345"/>
      <c r="AA15" s="343">
        <f>SUM('07'!L60:'07'!L64)</f>
        <v>649.1</v>
      </c>
      <c r="AB15" s="344"/>
      <c r="AC15" s="344"/>
      <c r="AD15" s="345"/>
      <c r="AE15" s="343">
        <f>SUM('08'!L60:'08'!L64)</f>
        <v>550</v>
      </c>
      <c r="AF15" s="344"/>
      <c r="AG15" s="344"/>
      <c r="AH15" s="345"/>
      <c r="AI15" s="343">
        <f>SUM('09'!L60:'09'!L64)</f>
        <v>676.35</v>
      </c>
      <c r="AJ15" s="344"/>
      <c r="AK15" s="344"/>
      <c r="AL15" s="345"/>
      <c r="AM15" s="343">
        <f>SUM('10'!L60:'10'!L64)</f>
        <v>550</v>
      </c>
      <c r="AN15" s="344"/>
      <c r="AO15" s="344"/>
      <c r="AP15" s="345"/>
      <c r="AQ15" s="343">
        <f>SUM('11'!L60:'11'!L64)</f>
        <v>647.88</v>
      </c>
      <c r="AR15" s="344"/>
      <c r="AS15" s="344"/>
      <c r="AT15" s="345"/>
      <c r="AU15" s="343">
        <f>SUM('12'!L60:'12'!L64)</f>
        <v>0</v>
      </c>
      <c r="AV15" s="344"/>
      <c r="AW15" s="344"/>
      <c r="AX15" s="345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/>
      <c r="C16" s="343">
        <f>SUM('01'!L65:'01'!L69)</f>
        <v>0</v>
      </c>
      <c r="D16" s="344"/>
      <c r="E16" s="344"/>
      <c r="F16" s="345"/>
      <c r="G16" s="343">
        <f>SUM('02'!L65:'02'!L69)</f>
        <v>0</v>
      </c>
      <c r="H16" s="344"/>
      <c r="I16" s="344"/>
      <c r="J16" s="345"/>
      <c r="K16" s="343">
        <f>SUM('03'!L65:'03'!L69)</f>
        <v>0</v>
      </c>
      <c r="L16" s="344"/>
      <c r="M16" s="344"/>
      <c r="N16" s="345"/>
      <c r="O16" s="343">
        <f>SUM('04'!L65:'04'!L69)</f>
        <v>0</v>
      </c>
      <c r="P16" s="344"/>
      <c r="Q16" s="344"/>
      <c r="R16" s="345"/>
      <c r="S16" s="343">
        <f>SUM('05'!L65:'05'!L69)</f>
        <v>0</v>
      </c>
      <c r="T16" s="344"/>
      <c r="U16" s="344"/>
      <c r="V16" s="345"/>
      <c r="W16" s="349">
        <f>SUM('06'!L65:'06'!L69)</f>
        <v>0</v>
      </c>
      <c r="X16" s="350"/>
      <c r="Y16" s="350"/>
      <c r="Z16" s="351"/>
      <c r="AA16" s="349">
        <f>SUM('07'!L65:'07'!L69)</f>
        <v>0</v>
      </c>
      <c r="AB16" s="350"/>
      <c r="AC16" s="350"/>
      <c r="AD16" s="351"/>
      <c r="AE16" s="349">
        <f>SUM('08'!L65:'08'!L69)</f>
        <v>0</v>
      </c>
      <c r="AF16" s="350"/>
      <c r="AG16" s="350"/>
      <c r="AH16" s="351"/>
      <c r="AI16" s="349">
        <f>SUM('09'!L65:'09'!L69)</f>
        <v>0</v>
      </c>
      <c r="AJ16" s="350"/>
      <c r="AK16" s="350"/>
      <c r="AL16" s="351"/>
      <c r="AM16" s="349">
        <f>SUM('10'!L65:'10'!L69)</f>
        <v>0</v>
      </c>
      <c r="AN16" s="350"/>
      <c r="AO16" s="350"/>
      <c r="AP16" s="351"/>
      <c r="AQ16" s="349">
        <f>SUM('11'!L65:'11'!L69)</f>
        <v>0</v>
      </c>
      <c r="AR16" s="350"/>
      <c r="AS16" s="350"/>
      <c r="AT16" s="351"/>
      <c r="AU16" s="349">
        <f>SUM('12'!L65:'12'!L69)</f>
        <v>0</v>
      </c>
      <c r="AV16" s="350"/>
      <c r="AW16" s="350"/>
      <c r="AX16" s="351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363">
        <f>SUM(C8:C16)</f>
        <v>0</v>
      </c>
      <c r="D17" s="364"/>
      <c r="E17" s="364"/>
      <c r="F17" s="365"/>
      <c r="G17" s="363">
        <f>SUM(G8:G16)</f>
        <v>4821.67</v>
      </c>
      <c r="H17" s="364"/>
      <c r="I17" s="364"/>
      <c r="J17" s="365"/>
      <c r="K17" s="363">
        <f>SUM(K8:K16)</f>
        <v>8724.6099999999988</v>
      </c>
      <c r="L17" s="364"/>
      <c r="M17" s="364"/>
      <c r="N17" s="365"/>
      <c r="O17" s="363">
        <f>SUM(O8:O16)</f>
        <v>4322.7000000000007</v>
      </c>
      <c r="P17" s="364"/>
      <c r="Q17" s="364"/>
      <c r="R17" s="365"/>
      <c r="S17" s="363">
        <f>SUM(S8:S16)</f>
        <v>5958.3200000000015</v>
      </c>
      <c r="T17" s="364"/>
      <c r="U17" s="364"/>
      <c r="V17" s="365"/>
      <c r="W17" s="363">
        <f>SUM(W8:W16)</f>
        <v>4093.3200000000006</v>
      </c>
      <c r="X17" s="364"/>
      <c r="Y17" s="364"/>
      <c r="Z17" s="365"/>
      <c r="AA17" s="363">
        <f>SUM(AA8:AA16)</f>
        <v>4638.26</v>
      </c>
      <c r="AB17" s="364"/>
      <c r="AC17" s="364"/>
      <c r="AD17" s="365"/>
      <c r="AE17" s="363">
        <f>SUM(AE8:AE16)</f>
        <v>3945.4900000000002</v>
      </c>
      <c r="AF17" s="364"/>
      <c r="AG17" s="364"/>
      <c r="AH17" s="365"/>
      <c r="AI17" s="363">
        <f>SUM(AI8:AI16)</f>
        <v>4981.9699999999993</v>
      </c>
      <c r="AJ17" s="364"/>
      <c r="AK17" s="364"/>
      <c r="AL17" s="365"/>
      <c r="AM17" s="363">
        <f>SUM(AM8:AM16)</f>
        <v>3972.5899999999997</v>
      </c>
      <c r="AN17" s="364"/>
      <c r="AO17" s="364"/>
      <c r="AP17" s="365"/>
      <c r="AQ17" s="363">
        <f>SUM(AQ8:AQ16)</f>
        <v>4500.4000000000005</v>
      </c>
      <c r="AR17" s="364"/>
      <c r="AS17" s="364"/>
      <c r="AT17" s="365"/>
      <c r="AU17" s="363">
        <f>SUM(AU8:AU16)</f>
        <v>0</v>
      </c>
      <c r="AV17" s="364"/>
      <c r="AW17" s="364"/>
      <c r="AX17" s="365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 t="s">
        <v>170</v>
      </c>
      <c r="AV18" s="366"/>
      <c r="AW18" s="366"/>
      <c r="AX18" s="366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867</v>
      </c>
      <c r="C19" s="178" t="s">
        <v>52</v>
      </c>
      <c r="D19" s="179" t="s">
        <v>203</v>
      </c>
      <c r="E19" s="179" t="s">
        <v>9</v>
      </c>
      <c r="F19" s="180" t="s">
        <v>10</v>
      </c>
      <c r="G19" s="178" t="s">
        <v>52</v>
      </c>
      <c r="H19" s="179" t="s">
        <v>203</v>
      </c>
      <c r="I19" s="179" t="s">
        <v>9</v>
      </c>
      <c r="J19" s="180" t="s">
        <v>10</v>
      </c>
      <c r="K19" s="178" t="s">
        <v>52</v>
      </c>
      <c r="L19" s="179" t="s">
        <v>203</v>
      </c>
      <c r="M19" s="179" t="s">
        <v>9</v>
      </c>
      <c r="N19" s="180" t="s">
        <v>10</v>
      </c>
      <c r="O19" s="178" t="s">
        <v>52</v>
      </c>
      <c r="P19" s="179" t="s">
        <v>203</v>
      </c>
      <c r="Q19" s="179" t="s">
        <v>9</v>
      </c>
      <c r="R19" s="180" t="s">
        <v>10</v>
      </c>
      <c r="S19" s="178" t="s">
        <v>52</v>
      </c>
      <c r="T19" s="179" t="s">
        <v>203</v>
      </c>
      <c r="U19" s="179" t="s">
        <v>9</v>
      </c>
      <c r="V19" s="180" t="s">
        <v>10</v>
      </c>
      <c r="W19" s="178" t="s">
        <v>52</v>
      </c>
      <c r="X19" s="179" t="s">
        <v>203</v>
      </c>
      <c r="Y19" s="179" t="s">
        <v>9</v>
      </c>
      <c r="Z19" s="180" t="s">
        <v>10</v>
      </c>
      <c r="AA19" s="178" t="s">
        <v>52</v>
      </c>
      <c r="AB19" s="179" t="s">
        <v>203</v>
      </c>
      <c r="AC19" s="179" t="s">
        <v>9</v>
      </c>
      <c r="AD19" s="180" t="s">
        <v>10</v>
      </c>
      <c r="AE19" s="178" t="s">
        <v>52</v>
      </c>
      <c r="AF19" s="179" t="s">
        <v>203</v>
      </c>
      <c r="AG19" s="179" t="s">
        <v>9</v>
      </c>
      <c r="AH19" s="180" t="s">
        <v>10</v>
      </c>
      <c r="AI19" s="178" t="s">
        <v>52</v>
      </c>
      <c r="AJ19" s="179" t="s">
        <v>203</v>
      </c>
      <c r="AK19" s="179" t="s">
        <v>9</v>
      </c>
      <c r="AL19" s="180" t="s">
        <v>10</v>
      </c>
      <c r="AM19" s="178" t="s">
        <v>52</v>
      </c>
      <c r="AN19" s="179" t="s">
        <v>203</v>
      </c>
      <c r="AO19" s="179" t="s">
        <v>9</v>
      </c>
      <c r="AP19" s="180" t="s">
        <v>10</v>
      </c>
      <c r="AQ19" s="178" t="s">
        <v>52</v>
      </c>
      <c r="AR19" s="179" t="s">
        <v>203</v>
      </c>
      <c r="AS19" s="179" t="s">
        <v>9</v>
      </c>
      <c r="AT19" s="180" t="s">
        <v>10</v>
      </c>
      <c r="AU19" s="178" t="s">
        <v>52</v>
      </c>
      <c r="AV19" s="179" t="s">
        <v>203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222</v>
      </c>
    </row>
    <row r="20" spans="1:62" ht="15.75">
      <c r="A20" s="141" t="s">
        <v>851</v>
      </c>
      <c r="B20" s="142">
        <f>[1]AÑO!$AX$20+[1]AÑO!$AX$43</f>
        <v>2649.8091905564916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3236.3391905564913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3196.1891905564912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2594.9391905564912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2591.1791905564914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2792.2991905564913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2791.9691905564914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2989.7591905564914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2984.6791905564914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3187.0391905564916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3162.8391905564913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3723.6691905564912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3965.8091905564911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0.12158218274452832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f>[1]AÑO!$AX$21+'[1]12'!$A$359</f>
        <v>250.72999999999934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1413.7299999999993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1456.7799999999995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1089.5499999999997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1133.6099999999997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1009.8499999999997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1053.9099999999994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1097.9699999999993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1037.8399999999992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1081.8999999999992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1021.7699999999991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1065.1599999999992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2218.1599999999989</v>
      </c>
      <c r="AZ21" s="152">
        <f t="shared" si="14"/>
        <v>11788.57</v>
      </c>
      <c r="BA21" s="21">
        <f t="shared" si="15"/>
        <v>0.27133019942311754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1967.4299999999996</v>
      </c>
    </row>
    <row r="22" spans="1:62" ht="15.75">
      <c r="A22" s="153" t="s">
        <v>852</v>
      </c>
      <c r="B22" s="154">
        <f>[1]AÑO!$AX$22</f>
        <v>349.34999999999997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664.34999999999991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718.08999999999992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812.20999999999981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970.79999999999984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939.53999999999974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946.31999999999971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946.31999999999982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946.31999999999971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961.61999999999966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934.40999999999963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838.20999999999958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1153.2099999999996</v>
      </c>
      <c r="AZ22" s="157">
        <f t="shared" si="14"/>
        <v>2842.37</v>
      </c>
      <c r="BA22" s="21">
        <f t="shared" si="15"/>
        <v>6.5421066247584439E-2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803.85999999999967</v>
      </c>
    </row>
    <row r="23" spans="1:62" ht="15.75">
      <c r="A23" s="146" t="s">
        <v>15</v>
      </c>
      <c r="B23" s="147">
        <f>[1]AÑO!$AX$23</f>
        <v>315.75000000000006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500.75000000000006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505.11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528.59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597.59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554.74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557.09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584.8900000000001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578.24000000000012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585.34000000000015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601.96000000000015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633.76000000000022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818.76000000000022</v>
      </c>
      <c r="AZ23" s="152">
        <f t="shared" si="14"/>
        <v>1791.99</v>
      </c>
      <c r="BA23" s="21">
        <f t="shared" si="15"/>
        <v>4.1245121678391221E-2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503.01000000000016</v>
      </c>
    </row>
    <row r="24" spans="1:62" ht="15.75">
      <c r="A24" s="153" t="s">
        <v>16</v>
      </c>
      <c r="B24" s="154">
        <f>[1]AÑO!$AX$24</f>
        <v>281.89000000000004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431.89000000000004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444.73000000000013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508.6400000000001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555.25000000000011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539.7700000000001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506.91000000000008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611.81000000000006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627.99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623.33000000000004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563.15000000000009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669.87000000000012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819.87000000000012</v>
      </c>
      <c r="AZ24" s="157">
        <f t="shared" si="14"/>
        <v>1362.0200000000002</v>
      </c>
      <c r="BA24" s="21">
        <f t="shared" si="15"/>
        <v>3.1348769037998214E-2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f>[1]AÑO!$AX$25+'[1]12'!$A$358</f>
        <v>4498.5915974244963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4938.5915974244963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5016.2115974244962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3823.8315974244961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5365.8015974244963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4553.4215974244962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4671.0415974244961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4988.661597424496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5656.2815974244959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5773.9015974244958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6207.8531948489936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6337.9431948489937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6795.413194848994</v>
      </c>
      <c r="AZ25" s="152">
        <f t="shared" si="14"/>
        <v>3337.8000000000006</v>
      </c>
      <c r="BA25" s="21">
        <f t="shared" si="15"/>
        <v>7.6824071081944778E-2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2296.8215974244977</v>
      </c>
    </row>
    <row r="26" spans="1:62" ht="15.75">
      <c r="A26" s="153" t="s">
        <v>49</v>
      </c>
      <c r="B26" s="154">
        <f>[1]AÑO!$AX$26</f>
        <v>40.579999999999977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108.57999999999998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101.52999999999997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109.02999999999997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106.53999999999996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124.04999999999995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121.55999999999995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129.06999999999994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126.57999999999993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134.08999999999992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76.599999999999923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84.1099999999999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152.1099999999999</v>
      </c>
      <c r="AZ26" s="157">
        <f t="shared" si="14"/>
        <v>554.92000000000007</v>
      </c>
      <c r="BA26" s="21">
        <f t="shared" si="15"/>
        <v>1.2772249243451614E-2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111.52999999999992</v>
      </c>
    </row>
    <row r="27" spans="1:62" ht="16.5" thickBot="1">
      <c r="A27" s="183" t="s">
        <v>17</v>
      </c>
      <c r="B27" s="184">
        <f>[1]AÑO!$AX$27</f>
        <v>428.91000000000008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478.91000000000008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475.44000000000005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421.78000000000009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455.2000000000001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421.3300000000001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378.17000000000007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428.17000000000007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440.88000000000005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490.88000000000005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494.12000000000012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527.54000000000008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552.67000000000007</v>
      </c>
      <c r="AZ27" s="188">
        <f t="shared" si="14"/>
        <v>416.24</v>
      </c>
      <c r="BA27" s="21">
        <f t="shared" si="15"/>
        <v>9.5803377515575206E-3</v>
      </c>
      <c r="BB27" s="22">
        <f t="shared" si="20"/>
        <v>18</v>
      </c>
      <c r="BC27" s="22">
        <f t="shared" ca="1" si="16"/>
        <v>34.686666666666667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123.75999999999999</v>
      </c>
    </row>
    <row r="28" spans="1:62" ht="15.75">
      <c r="A28" s="163" t="s">
        <v>18</v>
      </c>
      <c r="B28" s="142">
        <f>[1]AÑO!$AX$28</f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6.9479314259199426E-2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1061.3499999999992</v>
      </c>
    </row>
    <row r="29" spans="1:62" ht="15.75">
      <c r="A29" s="146" t="s">
        <v>19</v>
      </c>
      <c r="B29" s="147">
        <f>[1]AÑO!$AX$29</f>
        <v>0.57999999999998408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80.579999999999984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136.13999999999999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175.64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179.64999999999998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206.01999999999998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148.23999999999998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117.19999999999999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137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103.21999999999997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39.42999999999995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45.269999999999953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150.26999999999995</v>
      </c>
      <c r="AZ29" s="152">
        <f t="shared" si="23"/>
        <v>975.96999999999991</v>
      </c>
      <c r="BA29" s="21">
        <f t="shared" si="15"/>
        <v>2.2463295779808747E-2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149.68999999999997</v>
      </c>
    </row>
    <row r="30" spans="1:62" ht="15.75">
      <c r="A30" s="153" t="s">
        <v>20</v>
      </c>
      <c r="B30" s="154">
        <f>[1]AÑO!$AX$30</f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5.1600420923546041E-3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f>[1]AÑO!$AX$31</f>
        <v>74.759999999999962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94.759999999999962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90.279999999999959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68.319999999999965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88.319999999999965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66.359999999999957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65.379999999999953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64.399999999999949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63.419999999999945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62.439999999999941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61.459999999999937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81.459999999999937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101.45999999999994</v>
      </c>
      <c r="AZ31" s="152">
        <f t="shared" si="23"/>
        <v>213.29999999999995</v>
      </c>
      <c r="BA31" s="21">
        <f t="shared" si="15"/>
        <v>4.9093937209475748E-3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26.699999999999974</v>
      </c>
    </row>
    <row r="32" spans="1:62" ht="15.75">
      <c r="A32" s="153" t="s">
        <v>150</v>
      </c>
      <c r="B32" s="154">
        <f>[1]AÑO!$AX$32</f>
        <v>641.90999999999974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691.90999999999974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777.90999999999974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862.62999999999977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1131.7599999999998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1636.5199999999998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1531.1999999999998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1306.7999999999997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1349.0299999999995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1192.6899999999994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1115.4899999999993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1210.4899999999993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1460.4899999999993</v>
      </c>
      <c r="AZ32" s="157">
        <f t="shared" si="23"/>
        <v>1763.7500000000002</v>
      </c>
      <c r="BA32" s="21">
        <f t="shared" si="15"/>
        <v>4.0595139124806792E-2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818.57999999999959</v>
      </c>
    </row>
    <row r="33" spans="1:62" ht="15.75">
      <c r="A33" s="146" t="s">
        <v>83</v>
      </c>
      <c r="B33" s="147">
        <f>[1]AÑO!$AX$33</f>
        <v>600.09000000000026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640.09000000000026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606.68000000000029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1297.6800000000007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1318.1800000000007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1378.1800000000007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1418.1800000000007</v>
      </c>
      <c r="AZ33" s="152">
        <f t="shared" si="23"/>
        <v>3843.8499999999995</v>
      </c>
      <c r="BA33" s="21">
        <f t="shared" si="15"/>
        <v>8.8471509865280532E-2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818.09000000000049</v>
      </c>
    </row>
    <row r="34" spans="1:62" ht="15.75">
      <c r="A34" s="153" t="s">
        <v>22</v>
      </c>
      <c r="B34" s="154">
        <f>[1]AÑO!$AX$34</f>
        <v>-121.44000000000017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-26.440000000000168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63.559999999999832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153.55999999999983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199.55999999999983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-36.080000000000211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63.919999999999732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-29.340000000000259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46.369999999999742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65.369999999999749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109.46999999999974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199.46999999999974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294.46999999999974</v>
      </c>
      <c r="AZ34" s="152">
        <f t="shared" si="23"/>
        <v>961.5</v>
      </c>
      <c r="BA34" s="21">
        <f t="shared" si="15"/>
        <v>2.2130248770234853E-2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415.90999999999991</v>
      </c>
    </row>
    <row r="35" spans="1:62" ht="16.5" thickBot="1">
      <c r="A35" s="183" t="s">
        <v>84</v>
      </c>
      <c r="B35" s="184">
        <f>[1]AÑO!$AX$35</f>
        <v>1486.8000000000006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1616.8000000000006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1753.1900000000007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1741.2100000000007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1713.7900000000006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1840.2800000000007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1817.6800000000007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1861.2100000000007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1903.9900000000007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1837.4800000000007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1519.7900000000006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1573.7600000000007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1703.7600000000007</v>
      </c>
      <c r="AZ35" s="188">
        <f t="shared" si="23"/>
        <v>2177.5700000000002</v>
      </c>
      <c r="BA35" s="21">
        <f t="shared" si="15"/>
        <v>5.0119777238273856E-2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484</v>
      </c>
      <c r="B36" s="142">
        <f>[1]AÑO!$AX$36</f>
        <v>995.49000000000012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1085.4900000000002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1170.4900000000002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1361.4000000000003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1451.4200000000003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1367.4200000000003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1375.4200000000003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1550.4200000000003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1212.8700000000003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1470.9900000000005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1555.9900000000005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2060.9900000000007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2150.9900000000007</v>
      </c>
      <c r="AZ36" s="182">
        <f t="shared" si="23"/>
        <v>1013.47</v>
      </c>
      <c r="BA36" s="21">
        <f t="shared" si="15"/>
        <v>2.332641000641697E-2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1155.5000000000005</v>
      </c>
    </row>
    <row r="37" spans="1:62" ht="15.75">
      <c r="A37" s="146" t="s">
        <v>853</v>
      </c>
      <c r="B37" s="147">
        <f>'[1]12'!$A$346</f>
        <v>230.73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230.73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-39.919999999999959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-36.919999999999959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8.0800000000000409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53.080000000000041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138.08000000000004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143.08000000000004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188.08000000000004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233.08000000000004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278.08000000000004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258.08000000000004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303.08000000000004</v>
      </c>
      <c r="AZ37" s="152">
        <f t="shared" si="23"/>
        <v>496.95</v>
      </c>
      <c r="BA37" s="21">
        <f t="shared" si="15"/>
        <v>1.1437989731012179E-2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72.350000000000051</v>
      </c>
    </row>
    <row r="38" spans="1:62" ht="15.75">
      <c r="A38" s="153" t="s">
        <v>23</v>
      </c>
      <c r="B38" s="154">
        <f>[1]AÑO!$AX$38</f>
        <v>179.00000000000009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239.00000000000009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202.62000000000012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228.02000000000012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273.72000000000008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261.43000000000006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262.33000000000004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288.73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317.43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339.43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386.93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368.9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428.9</v>
      </c>
      <c r="AZ38" s="157">
        <f t="shared" si="23"/>
        <v>585.1</v>
      </c>
      <c r="BA38" s="21">
        <f t="shared" si="15"/>
        <v>1.346688357302591E-2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249.89999999999989</v>
      </c>
    </row>
    <row r="39" spans="1:62" ht="15.75">
      <c r="A39" s="146" t="s">
        <v>24</v>
      </c>
      <c r="B39" s="147">
        <f>[1]AÑO!$AX$39</f>
        <v>1484.2807879809902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1494.2807879809902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1514.2807879809902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294.28078798099023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1645.5407879809902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310.54078798099022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330.54078798099022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290.54078798099022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305.54078798099022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320.54078798099022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1753.5615759619805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1768.5615759619805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1778.5615759619805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f>[1]AÑO!$AX$40</f>
        <v>7334.3661040380202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7384.3661040380202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7462.1861040380199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6525.7961040380205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7625.6761040380206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6629.816104038021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6676.8361040380214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6574.7961040380214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6621.6861040380218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6668.5961040380216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7976.632208076041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8067.1622080760408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8117.1622080760408</v>
      </c>
      <c r="AZ40" s="157">
        <f t="shared" si="23"/>
        <v>136.91000000000003</v>
      </c>
      <c r="BA40" s="21">
        <f t="shared" si="15"/>
        <v>3.1511725003981845E-3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782.79610403802053</v>
      </c>
    </row>
    <row r="41" spans="1:62" ht="15.75">
      <c r="A41" s="146" t="s">
        <v>25</v>
      </c>
      <c r="B41" s="147">
        <f>[1]AÑO!$AX$41</f>
        <v>4701.0100000000011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801.01000000000113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921.08000000000084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801.91999999999916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801.92000000000064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802.20000000000221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801.37000000000319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1266.8200000000029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965.92000000000371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965.92000000000371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928.46000000000367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565.12000000000353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-3334.8799999999965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-8035.8899999999976</v>
      </c>
    </row>
    <row r="42" spans="1:62" ht="15" customHeight="1">
      <c r="A42" s="153" t="s">
        <v>152</v>
      </c>
      <c r="B42" s="154">
        <f>[1]AÑO!$AX$42</f>
        <v>1802.0200000000004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1802.0200000000004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1802.0200000000004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5886.22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1802.0200000000004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5846.2800000000007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5846.2800000000007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5846.2800000000007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5846.2800000000007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5846.2800000000007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1802.0200000000004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1802.0200000000004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1.1508189688109648E-2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641.85919055649231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f>[1]AÑO!$AX$45</f>
        <v>-64.069999999999965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-59.069999999999965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-72.459999999999965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-98.399999999999963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-98.399999999999963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-98.399999999999963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-98.399999999999963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-98.399999999999963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-101.82999999999996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-106.82999999999996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-188.80999999999995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-198.80999999999995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-193.80999999999995</v>
      </c>
      <c r="AZ45" s="177">
        <f t="shared" si="23"/>
        <v>159.74</v>
      </c>
      <c r="BA45" s="21">
        <f t="shared" si="15"/>
        <v>3.6766364415572708E-3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-129.73999999999998</v>
      </c>
    </row>
    <row r="46" spans="1:62" ht="17.25" thickTop="1" thickBot="1">
      <c r="A46" s="216" t="s">
        <v>5</v>
      </c>
      <c r="B46" s="217">
        <f>SUM(B20:B45)</f>
        <v>29513.88768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29436.417680000002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29781.797680000003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30650.79768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31370.127680000005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33221.117680000003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33489.99768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33373.887680000007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33465.297679999996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34296.507680000002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34310.415360000006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35973.295360000011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35948.425360000001</v>
      </c>
      <c r="AZ46" s="227">
        <f>SUM(AZ20:AZ45)</f>
        <v>43447.319999999992</v>
      </c>
      <c r="BA46" s="1"/>
      <c r="BB46" s="1"/>
      <c r="BC46" s="124">
        <f ca="1">SUM(BC20:BC45)</f>
        <v>3620.6099999999992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6434.5376800000004</v>
      </c>
    </row>
    <row r="47" spans="1:62" s="29" customFormat="1" ht="12.75">
      <c r="A47" s="207" t="s">
        <v>158</v>
      </c>
      <c r="B47" s="125"/>
      <c r="C47" s="125">
        <f>C5-B46</f>
        <v>-29513.88768</v>
      </c>
      <c r="D47" s="125">
        <f>C17-D46</f>
        <v>77.470000000000255</v>
      </c>
      <c r="E47" s="125">
        <f>C17-E46</f>
        <v>0</v>
      </c>
      <c r="F47" s="125"/>
      <c r="G47" s="125">
        <f>G5-F46</f>
        <v>-4207.0376800000049</v>
      </c>
      <c r="H47" s="125">
        <f>G17-H46</f>
        <v>0</v>
      </c>
      <c r="I47" s="125">
        <f>G17-I46</f>
        <v>345.38000000000011</v>
      </c>
      <c r="J47" s="125"/>
      <c r="K47" s="125">
        <f>K5-J46</f>
        <v>-4207.0376800000013</v>
      </c>
      <c r="L47" s="125">
        <f>K17-L46</f>
        <v>0</v>
      </c>
      <c r="M47" s="125">
        <f>K17-M46</f>
        <v>868.99999999999818</v>
      </c>
      <c r="N47" s="125"/>
      <c r="O47" s="125">
        <f>O5-N46</f>
        <v>-4207.0376800000013</v>
      </c>
      <c r="P47" s="125">
        <f>O17-P46</f>
        <v>0</v>
      </c>
      <c r="Q47" s="125">
        <f>O17-Q46</f>
        <v>719.33000000000084</v>
      </c>
      <c r="R47" s="125"/>
      <c r="S47" s="125">
        <f>S5-R46</f>
        <v>-4207.0376800000013</v>
      </c>
      <c r="T47" s="125">
        <f>S17-T46</f>
        <v>0</v>
      </c>
      <c r="U47" s="125">
        <f>S17-U46</f>
        <v>1850.9900000000016</v>
      </c>
      <c r="V47" s="125"/>
      <c r="W47" s="125">
        <f>W5-V46</f>
        <v>-4207.0376800000049</v>
      </c>
      <c r="X47" s="125">
        <f>W17-X46</f>
        <v>0</v>
      </c>
      <c r="Y47" s="125">
        <f>W17-Y46</f>
        <v>268.88000000000056</v>
      </c>
      <c r="Z47" s="125"/>
      <c r="AA47" s="125">
        <f>AA5-Z46</f>
        <v>-4207.0376800000013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-4207.0376800000049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-4207.037679999994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-4207.0376800000013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-4207.0353600000017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-5869.9153600000063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4000*12</f>
        <v>48000</v>
      </c>
      <c r="BA48" s="112"/>
      <c r="BB48" s="1" t="s">
        <v>192</v>
      </c>
      <c r="BC48" s="112">
        <f ca="1">12*BC46</f>
        <v>43447.319999999992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67" t="s">
        <v>147</v>
      </c>
      <c r="D52" s="368"/>
      <c r="E52" s="368"/>
      <c r="F52" s="369"/>
      <c r="G52" s="367" t="s">
        <v>147</v>
      </c>
      <c r="H52" s="368"/>
      <c r="I52" s="368"/>
      <c r="J52" s="369"/>
      <c r="K52" s="367" t="s">
        <v>147</v>
      </c>
      <c r="L52" s="368"/>
      <c r="M52" s="368"/>
      <c r="N52" s="369"/>
      <c r="O52" s="367" t="s">
        <v>147</v>
      </c>
      <c r="P52" s="368"/>
      <c r="Q52" s="368"/>
      <c r="R52" s="369"/>
      <c r="S52" s="367" t="s">
        <v>147</v>
      </c>
      <c r="T52" s="368"/>
      <c r="U52" s="368"/>
      <c r="V52" s="369"/>
      <c r="W52" s="367" t="s">
        <v>147</v>
      </c>
      <c r="X52" s="368"/>
      <c r="Y52" s="368"/>
      <c r="Z52" s="369"/>
      <c r="AA52" s="367" t="s">
        <v>147</v>
      </c>
      <c r="AB52" s="368"/>
      <c r="AC52" s="368"/>
      <c r="AD52" s="369"/>
      <c r="AE52" s="367" t="s">
        <v>147</v>
      </c>
      <c r="AF52" s="368"/>
      <c r="AG52" s="368"/>
      <c r="AH52" s="369"/>
      <c r="AI52" s="367" t="s">
        <v>147</v>
      </c>
      <c r="AJ52" s="368"/>
      <c r="AK52" s="368"/>
      <c r="AL52" s="369"/>
      <c r="AM52" s="367" t="s">
        <v>147</v>
      </c>
      <c r="AN52" s="368"/>
      <c r="AO52" s="368"/>
      <c r="AP52" s="369"/>
      <c r="AQ52" s="367" t="s">
        <v>147</v>
      </c>
      <c r="AR52" s="368"/>
      <c r="AS52" s="368"/>
      <c r="AT52" s="369"/>
      <c r="AU52" s="367" t="s">
        <v>147</v>
      </c>
      <c r="AV52" s="368"/>
      <c r="AW52" s="368"/>
      <c r="AX52" s="369"/>
    </row>
    <row r="53" spans="2:62" ht="15.75" thickBot="1">
      <c r="C53" s="93" t="s">
        <v>148</v>
      </c>
      <c r="D53" s="370" t="s">
        <v>29</v>
      </c>
      <c r="E53" s="371"/>
      <c r="F53" s="94" t="s">
        <v>86</v>
      </c>
      <c r="G53" s="93" t="s">
        <v>148</v>
      </c>
      <c r="H53" s="370" t="s">
        <v>29</v>
      </c>
      <c r="I53" s="371"/>
      <c r="J53" s="94" t="s">
        <v>86</v>
      </c>
      <c r="K53" s="93" t="s">
        <v>148</v>
      </c>
      <c r="L53" s="370" t="s">
        <v>29</v>
      </c>
      <c r="M53" s="371"/>
      <c r="N53" s="94" t="s">
        <v>86</v>
      </c>
      <c r="O53" s="93" t="s">
        <v>148</v>
      </c>
      <c r="P53" s="370" t="s">
        <v>29</v>
      </c>
      <c r="Q53" s="371"/>
      <c r="R53" s="94" t="s">
        <v>86</v>
      </c>
      <c r="S53" s="93" t="s">
        <v>148</v>
      </c>
      <c r="T53" s="370" t="s">
        <v>29</v>
      </c>
      <c r="U53" s="371"/>
      <c r="V53" s="94" t="s">
        <v>86</v>
      </c>
      <c r="W53" s="93" t="s">
        <v>148</v>
      </c>
      <c r="X53" s="370" t="s">
        <v>29</v>
      </c>
      <c r="Y53" s="371"/>
      <c r="Z53" s="94" t="s">
        <v>86</v>
      </c>
      <c r="AA53" s="93" t="s">
        <v>148</v>
      </c>
      <c r="AB53" s="370" t="s">
        <v>29</v>
      </c>
      <c r="AC53" s="371"/>
      <c r="AD53" s="94" t="s">
        <v>86</v>
      </c>
      <c r="AE53" s="93" t="s">
        <v>148</v>
      </c>
      <c r="AF53" s="370" t="s">
        <v>29</v>
      </c>
      <c r="AG53" s="371"/>
      <c r="AH53" s="94" t="s">
        <v>86</v>
      </c>
      <c r="AI53" s="93" t="s">
        <v>148</v>
      </c>
      <c r="AJ53" s="370" t="s">
        <v>29</v>
      </c>
      <c r="AK53" s="371"/>
      <c r="AL53" s="94" t="s">
        <v>86</v>
      </c>
      <c r="AM53" s="93" t="s">
        <v>148</v>
      </c>
      <c r="AN53" s="370" t="s">
        <v>29</v>
      </c>
      <c r="AO53" s="371"/>
      <c r="AP53" s="94" t="s">
        <v>86</v>
      </c>
      <c r="AQ53" s="93" t="s">
        <v>148</v>
      </c>
      <c r="AR53" s="370" t="s">
        <v>29</v>
      </c>
      <c r="AS53" s="371"/>
      <c r="AT53" s="94" t="s">
        <v>86</v>
      </c>
      <c r="AU53" s="93" t="s">
        <v>148</v>
      </c>
      <c r="AV53" s="370" t="s">
        <v>29</v>
      </c>
      <c r="AW53" s="371"/>
      <c r="AX53" s="94" t="s">
        <v>86</v>
      </c>
    </row>
    <row r="54" spans="2:62">
      <c r="C54" s="95"/>
      <c r="D54" s="372"/>
      <c r="E54" s="373"/>
      <c r="F54" s="98"/>
      <c r="G54" s="95"/>
      <c r="H54" s="372"/>
      <c r="I54" s="373"/>
      <c r="J54" s="100"/>
      <c r="K54" s="95"/>
      <c r="L54" s="378"/>
      <c r="M54" s="379"/>
      <c r="N54" s="100"/>
      <c r="O54" s="95"/>
      <c r="P54" s="383"/>
      <c r="Q54" s="384"/>
      <c r="R54" s="102"/>
      <c r="S54" s="95"/>
      <c r="T54" s="378"/>
      <c r="U54" s="379"/>
      <c r="V54" s="103"/>
      <c r="W54" s="95"/>
      <c r="X54" s="378"/>
      <c r="Y54" s="379"/>
      <c r="Z54" s="104"/>
      <c r="AA54" s="95"/>
      <c r="AB54" s="385"/>
      <c r="AC54" s="386"/>
      <c r="AD54" s="239"/>
      <c r="AE54" s="95"/>
      <c r="AF54" s="385"/>
      <c r="AG54" s="386"/>
      <c r="AH54" s="239"/>
      <c r="AI54" s="95"/>
      <c r="AJ54" s="385"/>
      <c r="AK54" s="386"/>
      <c r="AL54" s="239"/>
      <c r="AM54" s="95"/>
      <c r="AN54" s="385"/>
      <c r="AO54" s="386"/>
      <c r="AP54" s="239"/>
      <c r="AQ54" s="95"/>
      <c r="AR54" s="385"/>
      <c r="AS54" s="386"/>
      <c r="AT54" s="239"/>
      <c r="AU54" s="95"/>
      <c r="AV54" s="372"/>
      <c r="AW54" s="373"/>
      <c r="AX54" s="100"/>
    </row>
    <row r="55" spans="2:62">
      <c r="C55" s="96"/>
      <c r="D55" s="376"/>
      <c r="E55" s="377"/>
      <c r="F55" s="98"/>
      <c r="G55" s="96"/>
      <c r="H55" s="376"/>
      <c r="I55" s="377"/>
      <c r="J55" s="100"/>
      <c r="K55" s="96"/>
      <c r="L55" s="376"/>
      <c r="M55" s="377"/>
      <c r="N55" s="100"/>
      <c r="O55" s="96"/>
      <c r="P55" s="376"/>
      <c r="Q55" s="377"/>
      <c r="R55" s="100"/>
      <c r="S55" s="96"/>
      <c r="T55" s="376"/>
      <c r="U55" s="377"/>
      <c r="V55" s="100"/>
      <c r="W55" s="96"/>
      <c r="X55" s="376"/>
      <c r="Y55" s="377"/>
      <c r="Z55" s="100"/>
      <c r="AA55" s="96"/>
      <c r="AB55" s="376"/>
      <c r="AC55" s="377"/>
      <c r="AD55" s="100"/>
      <c r="AE55" s="96"/>
      <c r="AF55" s="376"/>
      <c r="AG55" s="377"/>
      <c r="AH55" s="100"/>
      <c r="AI55" s="96"/>
      <c r="AJ55" s="376"/>
      <c r="AK55" s="377"/>
      <c r="AL55" s="100"/>
      <c r="AM55" s="96"/>
      <c r="AN55" s="387"/>
      <c r="AO55" s="388"/>
      <c r="AP55" s="100"/>
      <c r="AQ55" s="96"/>
      <c r="AR55" s="376"/>
      <c r="AS55" s="377"/>
      <c r="AT55" s="100"/>
      <c r="AU55" s="96"/>
      <c r="AV55" s="376"/>
      <c r="AW55" s="377"/>
      <c r="AX55" s="100"/>
    </row>
    <row r="56" spans="2:62">
      <c r="B56" s="119"/>
      <c r="C56" s="96"/>
      <c r="D56" s="376"/>
      <c r="E56" s="377"/>
      <c r="F56" s="98"/>
      <c r="G56" s="96"/>
      <c r="H56" s="376"/>
      <c r="I56" s="377"/>
      <c r="J56" s="100"/>
      <c r="K56" s="96"/>
      <c r="L56" s="376"/>
      <c r="M56" s="377"/>
      <c r="N56" s="100"/>
      <c r="O56" s="96"/>
      <c r="P56" s="385"/>
      <c r="Q56" s="386"/>
      <c r="R56" s="102"/>
      <c r="S56" s="96"/>
      <c r="T56" s="376"/>
      <c r="U56" s="377"/>
      <c r="V56" s="100"/>
      <c r="W56" s="96"/>
      <c r="X56" s="376"/>
      <c r="Y56" s="377"/>
      <c r="Z56" s="100"/>
      <c r="AA56" s="96"/>
      <c r="AB56" s="376"/>
      <c r="AC56" s="377"/>
      <c r="AD56" s="100"/>
      <c r="AE56" s="96"/>
      <c r="AF56" s="376"/>
      <c r="AG56" s="377"/>
      <c r="AH56" s="100"/>
      <c r="AI56" s="96"/>
      <c r="AJ56" s="387"/>
      <c r="AK56" s="388"/>
      <c r="AL56" s="100"/>
      <c r="AM56" s="96"/>
      <c r="AN56" s="387"/>
      <c r="AO56" s="388"/>
      <c r="AP56" s="100"/>
      <c r="AQ56" s="96"/>
      <c r="AR56" s="376"/>
      <c r="AS56" s="377"/>
      <c r="AT56" s="100"/>
      <c r="AU56" s="96"/>
      <c r="AV56" s="376"/>
      <c r="AW56" s="377"/>
      <c r="AX56" s="100"/>
    </row>
    <row r="57" spans="2:62">
      <c r="C57" s="96"/>
      <c r="D57" s="376"/>
      <c r="E57" s="377"/>
      <c r="F57" s="98"/>
      <c r="G57" s="96"/>
      <c r="H57" s="376"/>
      <c r="I57" s="377"/>
      <c r="J57" s="100"/>
      <c r="K57" s="96"/>
      <c r="L57" s="376"/>
      <c r="M57" s="377"/>
      <c r="N57" s="100"/>
      <c r="O57" s="96"/>
      <c r="P57" s="380"/>
      <c r="Q57" s="381"/>
      <c r="R57" s="100"/>
      <c r="S57" s="96"/>
      <c r="T57" s="376"/>
      <c r="U57" s="377"/>
      <c r="V57" s="100"/>
      <c r="W57" s="96"/>
      <c r="X57" s="376"/>
      <c r="Y57" s="377"/>
      <c r="Z57" s="100"/>
      <c r="AA57" s="96"/>
      <c r="AB57" s="393"/>
      <c r="AC57" s="394"/>
      <c r="AD57" s="100"/>
      <c r="AE57" s="96"/>
      <c r="AF57" s="376"/>
      <c r="AG57" s="377"/>
      <c r="AH57" s="100"/>
      <c r="AI57" s="96"/>
      <c r="AJ57" s="387"/>
      <c r="AK57" s="388"/>
      <c r="AL57" s="100"/>
      <c r="AM57" s="96"/>
      <c r="AN57" s="387"/>
      <c r="AO57" s="388"/>
      <c r="AP57" s="100"/>
      <c r="AQ57" s="96"/>
      <c r="AR57" s="376"/>
      <c r="AS57" s="377"/>
      <c r="AT57" s="100"/>
      <c r="AU57" s="96"/>
      <c r="AV57" s="376"/>
      <c r="AW57" s="377"/>
      <c r="AX57" s="100"/>
    </row>
    <row r="58" spans="2:62">
      <c r="C58" s="96"/>
      <c r="D58" s="376"/>
      <c r="E58" s="377"/>
      <c r="F58" s="98"/>
      <c r="G58" s="96"/>
      <c r="H58" s="376"/>
      <c r="I58" s="377"/>
      <c r="J58" s="100"/>
      <c r="K58" s="96"/>
      <c r="L58" s="376"/>
      <c r="M58" s="377"/>
      <c r="N58" s="100"/>
      <c r="O58" s="96"/>
      <c r="P58" s="376"/>
      <c r="Q58" s="377"/>
      <c r="R58" s="100"/>
      <c r="S58" s="96"/>
      <c r="T58" s="376"/>
      <c r="U58" s="377"/>
      <c r="V58" s="100"/>
      <c r="W58" s="96"/>
      <c r="X58" s="376"/>
      <c r="Y58" s="377"/>
      <c r="Z58" s="100"/>
      <c r="AA58" s="96"/>
      <c r="AB58" s="393"/>
      <c r="AC58" s="394"/>
      <c r="AD58" s="100"/>
      <c r="AE58" s="96"/>
      <c r="AF58" s="376"/>
      <c r="AG58" s="377"/>
      <c r="AH58" s="100"/>
      <c r="AI58" s="96"/>
      <c r="AJ58" s="389"/>
      <c r="AK58" s="390"/>
      <c r="AL58" s="100"/>
      <c r="AM58" s="96"/>
      <c r="AN58" s="387"/>
      <c r="AO58" s="388"/>
      <c r="AP58" s="100"/>
      <c r="AQ58" s="96"/>
      <c r="AR58" s="376"/>
      <c r="AS58" s="377"/>
      <c r="AT58" s="100"/>
      <c r="AU58" s="96"/>
      <c r="AV58" s="376"/>
      <c r="AW58" s="377"/>
      <c r="AX58" s="100"/>
    </row>
    <row r="59" spans="2:62">
      <c r="C59" s="96"/>
      <c r="D59" s="376"/>
      <c r="E59" s="377"/>
      <c r="F59" s="98"/>
      <c r="G59" s="96"/>
      <c r="H59" s="376"/>
      <c r="I59" s="377"/>
      <c r="J59" s="100"/>
      <c r="K59" s="96"/>
      <c r="L59" s="376"/>
      <c r="M59" s="377"/>
      <c r="N59" s="100"/>
      <c r="O59" s="96"/>
      <c r="P59" s="376"/>
      <c r="Q59" s="377"/>
      <c r="R59" s="100"/>
      <c r="S59" s="96"/>
      <c r="T59" s="387"/>
      <c r="U59" s="388"/>
      <c r="V59" s="100"/>
      <c r="W59" s="96"/>
      <c r="X59" s="387"/>
      <c r="Y59" s="388"/>
      <c r="Z59" s="100"/>
      <c r="AA59" s="96"/>
      <c r="AB59" s="387"/>
      <c r="AC59" s="388"/>
      <c r="AD59" s="100"/>
      <c r="AE59" s="96"/>
      <c r="AF59" s="376"/>
      <c r="AG59" s="377"/>
      <c r="AH59" s="100"/>
      <c r="AI59" s="96"/>
      <c r="AJ59" s="389"/>
      <c r="AK59" s="390"/>
      <c r="AL59" s="100"/>
      <c r="AM59" s="96"/>
      <c r="AN59" s="397"/>
      <c r="AO59" s="398"/>
      <c r="AP59" s="100"/>
      <c r="AQ59" s="96"/>
      <c r="AR59" s="376"/>
      <c r="AS59" s="377"/>
      <c r="AT59" s="100"/>
      <c r="AU59" s="96"/>
      <c r="AV59" s="376"/>
      <c r="AW59" s="377"/>
      <c r="AX59" s="100"/>
    </row>
    <row r="60" spans="2:62">
      <c r="C60" s="96"/>
      <c r="D60" s="376"/>
      <c r="E60" s="377"/>
      <c r="F60" s="98"/>
      <c r="G60" s="96"/>
      <c r="H60" s="376"/>
      <c r="I60" s="377"/>
      <c r="J60" s="100"/>
      <c r="K60" s="235"/>
      <c r="L60" s="380"/>
      <c r="M60" s="381"/>
      <c r="N60" s="236"/>
      <c r="O60" s="96"/>
      <c r="P60" s="376"/>
      <c r="Q60" s="377"/>
      <c r="R60" s="100"/>
      <c r="S60" s="96"/>
      <c r="T60" s="387"/>
      <c r="U60" s="388"/>
      <c r="V60" s="100"/>
      <c r="W60" s="96"/>
      <c r="X60" s="389"/>
      <c r="Y60" s="390"/>
      <c r="Z60" s="100"/>
      <c r="AA60" s="96"/>
      <c r="AB60" s="389"/>
      <c r="AC60" s="390"/>
      <c r="AD60" s="100"/>
      <c r="AE60" s="96"/>
      <c r="AF60" s="387"/>
      <c r="AG60" s="388"/>
      <c r="AH60" s="100"/>
      <c r="AI60" s="96"/>
      <c r="AJ60" s="389"/>
      <c r="AK60" s="390"/>
      <c r="AL60" s="100"/>
      <c r="AM60" s="96"/>
      <c r="AN60" s="389"/>
      <c r="AO60" s="390"/>
      <c r="AP60" s="100"/>
      <c r="AQ60" s="96"/>
      <c r="AR60" s="376"/>
      <c r="AS60" s="377"/>
      <c r="AT60" s="100"/>
      <c r="AU60" s="96"/>
      <c r="AV60" s="376"/>
      <c r="AW60" s="377"/>
      <c r="AX60" s="100"/>
    </row>
    <row r="61" spans="2:62">
      <c r="C61" s="96"/>
      <c r="D61" s="376"/>
      <c r="E61" s="377"/>
      <c r="F61" s="98"/>
      <c r="G61" s="96"/>
      <c r="H61" s="376"/>
      <c r="I61" s="377"/>
      <c r="J61" s="100"/>
      <c r="K61" s="96"/>
      <c r="L61" s="382"/>
      <c r="M61" s="377"/>
      <c r="N61" s="100"/>
      <c r="O61" s="96"/>
      <c r="P61" s="376"/>
      <c r="Q61" s="377"/>
      <c r="R61" s="100"/>
      <c r="S61" s="96"/>
      <c r="T61" s="387"/>
      <c r="U61" s="388"/>
      <c r="V61" s="100"/>
      <c r="W61" s="96"/>
      <c r="X61" s="389"/>
      <c r="Y61" s="390"/>
      <c r="Z61" s="100"/>
      <c r="AA61" s="96"/>
      <c r="AB61" s="389"/>
      <c r="AC61" s="390"/>
      <c r="AD61" s="100"/>
      <c r="AE61" s="96"/>
      <c r="AF61" s="389"/>
      <c r="AG61" s="390"/>
      <c r="AH61" s="100"/>
      <c r="AI61" s="96"/>
      <c r="AJ61" s="389"/>
      <c r="AK61" s="390"/>
      <c r="AL61" s="100"/>
      <c r="AM61" s="96"/>
      <c r="AN61" s="389"/>
      <c r="AO61" s="390"/>
      <c r="AP61" s="100"/>
      <c r="AQ61" s="96"/>
      <c r="AR61" s="376"/>
      <c r="AS61" s="377"/>
      <c r="AT61" s="100"/>
      <c r="AU61" s="96"/>
      <c r="AV61" s="376"/>
      <c r="AW61" s="377"/>
      <c r="AX61" s="100"/>
    </row>
    <row r="62" spans="2:62">
      <c r="C62" s="96"/>
      <c r="D62" s="376"/>
      <c r="E62" s="377"/>
      <c r="F62" s="98"/>
      <c r="G62" s="96"/>
      <c r="H62" s="376"/>
      <c r="I62" s="377"/>
      <c r="J62" s="100"/>
      <c r="K62" s="96"/>
      <c r="L62" s="376"/>
      <c r="M62" s="377"/>
      <c r="N62" s="100"/>
      <c r="O62" s="96"/>
      <c r="P62" s="376"/>
      <c r="Q62" s="377"/>
      <c r="R62" s="100"/>
      <c r="S62" s="96"/>
      <c r="T62" s="387"/>
      <c r="U62" s="388"/>
      <c r="V62" s="100"/>
      <c r="W62" s="96"/>
      <c r="X62" s="389"/>
      <c r="Y62" s="390"/>
      <c r="Z62" s="100"/>
      <c r="AA62" s="96"/>
      <c r="AB62" s="389"/>
      <c r="AC62" s="390"/>
      <c r="AD62" s="100"/>
      <c r="AE62" s="96"/>
      <c r="AF62" s="389"/>
      <c r="AG62" s="390"/>
      <c r="AH62" s="100"/>
      <c r="AI62" s="96"/>
      <c r="AJ62" s="389"/>
      <c r="AK62" s="390"/>
      <c r="AL62" s="100"/>
      <c r="AM62" s="96"/>
      <c r="AN62" s="389"/>
      <c r="AO62" s="390"/>
      <c r="AP62" s="100"/>
      <c r="AQ62" s="96"/>
      <c r="AR62" s="376"/>
      <c r="AS62" s="377"/>
      <c r="AT62" s="100"/>
      <c r="AU62" s="96"/>
      <c r="AV62" s="376"/>
      <c r="AW62" s="377"/>
      <c r="AX62" s="100"/>
    </row>
    <row r="63" spans="2:62">
      <c r="C63" s="96"/>
      <c r="D63" s="376"/>
      <c r="E63" s="377"/>
      <c r="F63" s="98"/>
      <c r="G63" s="96"/>
      <c r="H63" s="376"/>
      <c r="I63" s="377"/>
      <c r="J63" s="100"/>
      <c r="K63" s="96"/>
      <c r="L63" s="376"/>
      <c r="M63" s="377"/>
      <c r="N63" s="100"/>
      <c r="O63" s="96"/>
      <c r="P63" s="376"/>
      <c r="Q63" s="377"/>
      <c r="R63" s="100"/>
      <c r="S63" s="96"/>
      <c r="T63" s="387"/>
      <c r="U63" s="388"/>
      <c r="V63" s="100"/>
      <c r="W63" s="96"/>
      <c r="X63" s="389"/>
      <c r="Y63" s="390"/>
      <c r="Z63" s="100"/>
      <c r="AA63" s="96"/>
      <c r="AB63" s="389"/>
      <c r="AC63" s="390"/>
      <c r="AD63" s="100"/>
      <c r="AE63" s="96"/>
      <c r="AF63" s="389"/>
      <c r="AG63" s="390"/>
      <c r="AH63" s="100"/>
      <c r="AI63" s="96"/>
      <c r="AJ63" s="389"/>
      <c r="AK63" s="390"/>
      <c r="AL63" s="100"/>
      <c r="AM63" s="96"/>
      <c r="AN63" s="389"/>
      <c r="AO63" s="390"/>
      <c r="AP63" s="100"/>
      <c r="AQ63" s="96"/>
      <c r="AR63" s="376"/>
      <c r="AS63" s="377"/>
      <c r="AT63" s="100"/>
      <c r="AU63" s="96"/>
      <c r="AV63" s="376"/>
      <c r="AW63" s="377"/>
      <c r="AX63" s="100"/>
    </row>
    <row r="64" spans="2:62">
      <c r="C64" s="96"/>
      <c r="D64" s="376"/>
      <c r="E64" s="377"/>
      <c r="F64" s="98"/>
      <c r="G64" s="96"/>
      <c r="H64" s="376"/>
      <c r="I64" s="377"/>
      <c r="J64" s="100"/>
      <c r="K64" s="96"/>
      <c r="L64" s="376"/>
      <c r="M64" s="377"/>
      <c r="N64" s="100"/>
      <c r="O64" s="96"/>
      <c r="P64" s="376"/>
      <c r="Q64" s="377"/>
      <c r="R64" s="100"/>
      <c r="S64" s="96"/>
      <c r="T64" s="387"/>
      <c r="U64" s="388"/>
      <c r="V64" s="100"/>
      <c r="W64" s="96"/>
      <c r="X64" s="389"/>
      <c r="Y64" s="390"/>
      <c r="Z64" s="100"/>
      <c r="AA64" s="96"/>
      <c r="AB64" s="389"/>
      <c r="AC64" s="390"/>
      <c r="AD64" s="100"/>
      <c r="AE64" s="96"/>
      <c r="AF64" s="389"/>
      <c r="AG64" s="390"/>
      <c r="AH64" s="100"/>
      <c r="AI64" s="96"/>
      <c r="AJ64" s="389"/>
      <c r="AK64" s="390"/>
      <c r="AL64" s="100"/>
      <c r="AM64" s="96"/>
      <c r="AN64" s="389"/>
      <c r="AO64" s="390"/>
      <c r="AP64" s="100"/>
      <c r="AQ64" s="96"/>
      <c r="AR64" s="376"/>
      <c r="AS64" s="377"/>
      <c r="AT64" s="100"/>
      <c r="AU64" s="96"/>
      <c r="AV64" s="376"/>
      <c r="AW64" s="377"/>
      <c r="AX64" s="100"/>
    </row>
    <row r="65" spans="1:50">
      <c r="C65" s="96"/>
      <c r="D65" s="376"/>
      <c r="E65" s="377"/>
      <c r="F65" s="98"/>
      <c r="G65" s="96"/>
      <c r="H65" s="376"/>
      <c r="I65" s="377"/>
      <c r="J65" s="100"/>
      <c r="K65" s="96"/>
      <c r="L65" s="376"/>
      <c r="M65" s="377"/>
      <c r="N65" s="100"/>
      <c r="O65" s="96"/>
      <c r="P65" s="376"/>
      <c r="Q65" s="377"/>
      <c r="R65" s="100"/>
      <c r="S65" s="96"/>
      <c r="T65" s="387"/>
      <c r="U65" s="388"/>
      <c r="V65" s="100"/>
      <c r="W65" s="96"/>
      <c r="X65" s="389"/>
      <c r="Y65" s="390"/>
      <c r="Z65" s="100"/>
      <c r="AA65" s="96"/>
      <c r="AB65" s="389"/>
      <c r="AC65" s="390"/>
      <c r="AD65" s="100"/>
      <c r="AE65" s="96"/>
      <c r="AF65" s="389"/>
      <c r="AG65" s="390"/>
      <c r="AH65" s="100"/>
      <c r="AI65" s="96"/>
      <c r="AJ65" s="389"/>
      <c r="AK65" s="390"/>
      <c r="AL65" s="100"/>
      <c r="AM65" s="96"/>
      <c r="AN65" s="389"/>
      <c r="AO65" s="390"/>
      <c r="AP65" s="100"/>
      <c r="AQ65" s="96"/>
      <c r="AR65" s="376"/>
      <c r="AS65" s="377"/>
      <c r="AT65" s="100"/>
      <c r="AU65" s="96"/>
      <c r="AV65" s="376"/>
      <c r="AW65" s="377"/>
      <c r="AX65" s="100"/>
    </row>
    <row r="66" spans="1:50">
      <c r="C66" s="96"/>
      <c r="D66" s="376"/>
      <c r="E66" s="377"/>
      <c r="F66" s="98"/>
      <c r="G66" s="96"/>
      <c r="H66" s="376"/>
      <c r="I66" s="377"/>
      <c r="J66" s="100"/>
      <c r="K66" s="96"/>
      <c r="L66" s="376"/>
      <c r="M66" s="377"/>
      <c r="N66" s="100"/>
      <c r="O66" s="96"/>
      <c r="P66" s="376"/>
      <c r="Q66" s="377"/>
      <c r="R66" s="100"/>
      <c r="S66" s="96"/>
      <c r="T66" s="389"/>
      <c r="U66" s="390"/>
      <c r="V66" s="100"/>
      <c r="W66" s="96"/>
      <c r="X66" s="389"/>
      <c r="Y66" s="390"/>
      <c r="Z66" s="100"/>
      <c r="AA66" s="96"/>
      <c r="AB66" s="389"/>
      <c r="AC66" s="390"/>
      <c r="AD66" s="100"/>
      <c r="AE66" s="96"/>
      <c r="AF66" s="389"/>
      <c r="AG66" s="390"/>
      <c r="AH66" s="100"/>
      <c r="AI66" s="96"/>
      <c r="AJ66" s="389"/>
      <c r="AK66" s="390"/>
      <c r="AL66" s="100"/>
      <c r="AM66" s="96"/>
      <c r="AN66" s="389"/>
      <c r="AO66" s="390"/>
      <c r="AP66" s="100"/>
      <c r="AQ66" s="96"/>
      <c r="AR66" s="376"/>
      <c r="AS66" s="377"/>
      <c r="AT66" s="100"/>
      <c r="AU66" s="96"/>
      <c r="AV66" s="376"/>
      <c r="AW66" s="377"/>
      <c r="AX66" s="100"/>
    </row>
    <row r="67" spans="1:50">
      <c r="C67" s="96"/>
      <c r="D67" s="376"/>
      <c r="E67" s="377"/>
      <c r="F67" s="98"/>
      <c r="G67" s="96"/>
      <c r="H67" s="376"/>
      <c r="I67" s="377"/>
      <c r="J67" s="100"/>
      <c r="K67" s="96"/>
      <c r="L67" s="376"/>
      <c r="M67" s="377"/>
      <c r="N67" s="100"/>
      <c r="O67" s="96"/>
      <c r="P67" s="376"/>
      <c r="Q67" s="377"/>
      <c r="R67" s="100"/>
      <c r="S67" s="96"/>
      <c r="T67" s="389"/>
      <c r="U67" s="390"/>
      <c r="V67" s="100"/>
      <c r="W67" s="96"/>
      <c r="X67" s="389"/>
      <c r="Y67" s="390"/>
      <c r="Z67" s="100"/>
      <c r="AA67" s="96"/>
      <c r="AB67" s="389"/>
      <c r="AC67" s="390"/>
      <c r="AD67" s="100"/>
      <c r="AE67" s="96"/>
      <c r="AF67" s="389"/>
      <c r="AG67" s="390"/>
      <c r="AH67" s="100"/>
      <c r="AI67" s="96"/>
      <c r="AJ67" s="389"/>
      <c r="AK67" s="390"/>
      <c r="AL67" s="100"/>
      <c r="AM67" s="96"/>
      <c r="AN67" s="389"/>
      <c r="AO67" s="390"/>
      <c r="AP67" s="100"/>
      <c r="AQ67" s="96"/>
      <c r="AR67" s="376"/>
      <c r="AS67" s="377"/>
      <c r="AT67" s="100"/>
      <c r="AU67" s="96"/>
      <c r="AV67" s="376"/>
      <c r="AW67" s="377"/>
      <c r="AX67" s="100"/>
    </row>
    <row r="68" spans="1:50">
      <c r="C68" s="96"/>
      <c r="D68" s="376"/>
      <c r="E68" s="377"/>
      <c r="F68" s="98"/>
      <c r="G68" s="96"/>
      <c r="H68" s="376"/>
      <c r="I68" s="377"/>
      <c r="J68" s="100"/>
      <c r="K68" s="96"/>
      <c r="L68" s="376"/>
      <c r="M68" s="377"/>
      <c r="N68" s="100"/>
      <c r="O68" s="96"/>
      <c r="P68" s="376"/>
      <c r="Q68" s="377"/>
      <c r="R68" s="100"/>
      <c r="S68" s="96"/>
      <c r="T68" s="389"/>
      <c r="U68" s="390"/>
      <c r="V68" s="100"/>
      <c r="W68" s="96"/>
      <c r="X68" s="389"/>
      <c r="Y68" s="390"/>
      <c r="Z68" s="100"/>
      <c r="AA68" s="96"/>
      <c r="AB68" s="389"/>
      <c r="AC68" s="390"/>
      <c r="AD68" s="100"/>
      <c r="AE68" s="96"/>
      <c r="AF68" s="389"/>
      <c r="AG68" s="390"/>
      <c r="AH68" s="100"/>
      <c r="AI68" s="96"/>
      <c r="AJ68" s="389"/>
      <c r="AK68" s="390"/>
      <c r="AL68" s="100"/>
      <c r="AM68" s="96"/>
      <c r="AN68" s="389"/>
      <c r="AO68" s="390"/>
      <c r="AP68" s="100"/>
      <c r="AQ68" s="96"/>
      <c r="AR68" s="376"/>
      <c r="AS68" s="377"/>
      <c r="AT68" s="100"/>
      <c r="AU68" s="96"/>
      <c r="AV68" s="376"/>
      <c r="AW68" s="377"/>
      <c r="AX68" s="100"/>
    </row>
    <row r="69" spans="1:50">
      <c r="C69" s="96"/>
      <c r="D69" s="376"/>
      <c r="E69" s="377"/>
      <c r="F69" s="98"/>
      <c r="G69" s="96"/>
      <c r="H69" s="376"/>
      <c r="I69" s="377"/>
      <c r="J69" s="100"/>
      <c r="K69" s="96"/>
      <c r="L69" s="376"/>
      <c r="M69" s="377"/>
      <c r="N69" s="100"/>
      <c r="O69" s="96"/>
      <c r="P69" s="376"/>
      <c r="Q69" s="377"/>
      <c r="R69" s="100"/>
      <c r="S69" s="96"/>
      <c r="T69" s="389"/>
      <c r="U69" s="390"/>
      <c r="V69" s="100"/>
      <c r="W69" s="96"/>
      <c r="X69" s="389"/>
      <c r="Y69" s="390"/>
      <c r="Z69" s="100"/>
      <c r="AA69" s="96"/>
      <c r="AB69" s="389"/>
      <c r="AC69" s="390"/>
      <c r="AD69" s="100"/>
      <c r="AE69" s="96"/>
      <c r="AF69" s="389"/>
      <c r="AG69" s="390"/>
      <c r="AH69" s="100"/>
      <c r="AI69" s="96"/>
      <c r="AJ69" s="389"/>
      <c r="AK69" s="390"/>
      <c r="AL69" s="100"/>
      <c r="AM69" s="96"/>
      <c r="AN69" s="389"/>
      <c r="AO69" s="390"/>
      <c r="AP69" s="100"/>
      <c r="AQ69" s="96"/>
      <c r="AR69" s="376"/>
      <c r="AS69" s="377"/>
      <c r="AT69" s="100"/>
      <c r="AU69" s="96"/>
      <c r="AV69" s="376"/>
      <c r="AW69" s="377"/>
      <c r="AX69" s="100"/>
    </row>
    <row r="70" spans="1:50">
      <c r="C70" s="96"/>
      <c r="D70" s="376"/>
      <c r="E70" s="377"/>
      <c r="F70" s="98"/>
      <c r="G70" s="96"/>
      <c r="H70" s="376"/>
      <c r="I70" s="377"/>
      <c r="J70" s="100"/>
      <c r="K70" s="96"/>
      <c r="L70" s="376"/>
      <c r="M70" s="377"/>
      <c r="N70" s="100"/>
      <c r="O70" s="96"/>
      <c r="P70" s="376"/>
      <c r="Q70" s="377"/>
      <c r="R70" s="100"/>
      <c r="S70" s="96"/>
      <c r="T70" s="376"/>
      <c r="U70" s="377"/>
      <c r="V70" s="100"/>
      <c r="W70" s="96"/>
      <c r="X70" s="376"/>
      <c r="Y70" s="377"/>
      <c r="Z70" s="100"/>
      <c r="AA70" s="96"/>
      <c r="AB70" s="389"/>
      <c r="AC70" s="390"/>
      <c r="AD70" s="100"/>
      <c r="AE70" s="96"/>
      <c r="AF70" s="389"/>
      <c r="AG70" s="390"/>
      <c r="AH70" s="100"/>
      <c r="AI70" s="96"/>
      <c r="AJ70" s="389"/>
      <c r="AK70" s="390"/>
      <c r="AL70" s="100"/>
      <c r="AM70" s="96"/>
      <c r="AN70" s="389"/>
      <c r="AO70" s="390"/>
      <c r="AP70" s="100"/>
      <c r="AQ70" s="96"/>
      <c r="AR70" s="376"/>
      <c r="AS70" s="377"/>
      <c r="AT70" s="100"/>
      <c r="AU70" s="96"/>
      <c r="AV70" s="376"/>
      <c r="AW70" s="377"/>
      <c r="AX70" s="100"/>
    </row>
    <row r="71" spans="1:50" ht="15.75" thickBot="1">
      <c r="C71" s="97"/>
      <c r="D71" s="374"/>
      <c r="E71" s="375"/>
      <c r="F71" s="99"/>
      <c r="G71" s="97"/>
      <c r="H71" s="374"/>
      <c r="I71" s="375"/>
      <c r="J71" s="101"/>
      <c r="K71" s="97"/>
      <c r="L71" s="374"/>
      <c r="M71" s="375"/>
      <c r="N71" s="101"/>
      <c r="O71" s="97"/>
      <c r="P71" s="374"/>
      <c r="Q71" s="375"/>
      <c r="R71" s="101"/>
      <c r="S71" s="97"/>
      <c r="T71" s="391"/>
      <c r="U71" s="392"/>
      <c r="V71" s="101"/>
      <c r="W71" s="97"/>
      <c r="X71" s="391"/>
      <c r="Y71" s="392"/>
      <c r="Z71" s="101"/>
      <c r="AA71" s="97"/>
      <c r="AB71" s="395"/>
      <c r="AC71" s="396"/>
      <c r="AD71" s="101"/>
      <c r="AE71" s="97"/>
      <c r="AF71" s="395"/>
      <c r="AG71" s="396"/>
      <c r="AH71" s="101"/>
      <c r="AI71" s="97"/>
      <c r="AJ71" s="395"/>
      <c r="AK71" s="396"/>
      <c r="AL71" s="101"/>
      <c r="AM71" s="97"/>
      <c r="AN71" s="395"/>
      <c r="AO71" s="396"/>
      <c r="AP71" s="101"/>
      <c r="AQ71" s="97"/>
      <c r="AR71" s="374"/>
      <c r="AS71" s="375"/>
      <c r="AT71" s="101"/>
      <c r="AU71" s="97"/>
      <c r="AV71" s="374"/>
      <c r="AW71" s="375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228</v>
      </c>
      <c r="C74">
        <v>30</v>
      </c>
      <c r="D74">
        <f>100/C74</f>
        <v>3.3333333333333335</v>
      </c>
    </row>
    <row r="75" spans="1:50">
      <c r="A75" t="s">
        <v>229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162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29258.260000000002</v>
      </c>
      <c r="L19" s="438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251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 t="s">
        <v>711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701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707</v>
      </c>
      <c r="H46" s="1"/>
      <c r="I46" s="419"/>
      <c r="J46" s="423" t="s">
        <v>743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712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698</v>
      </c>
      <c r="D48" s="137">
        <v>67.47</v>
      </c>
      <c r="E48" s="138"/>
      <c r="F48" s="138"/>
      <c r="G48" s="16" t="s">
        <v>716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717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718</v>
      </c>
      <c r="H50" s="1"/>
      <c r="I50" s="418" t="str">
        <f>AÑO!A13</f>
        <v>Gubernamental</v>
      </c>
      <c r="J50" s="421" t="s">
        <v>709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726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727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735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710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695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696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719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722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742</v>
      </c>
      <c r="D79" s="135">
        <v>122.95</v>
      </c>
      <c r="E79" s="139"/>
      <c r="F79" s="139"/>
      <c r="G79" s="17" t="s">
        <v>736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706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713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207</v>
      </c>
      <c r="D187" s="137">
        <v>20.98</v>
      </c>
      <c r="E187" s="138"/>
      <c r="F187" s="138"/>
      <c r="G187" s="16" t="s">
        <v>702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733</v>
      </c>
      <c r="H189" s="89">
        <f>9.99+8.99+6.99+3.99+7.99</f>
        <v>37.950000000000003</v>
      </c>
      <c r="I189" s="1" t="s">
        <v>731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737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738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741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322</v>
      </c>
      <c r="D246" s="137">
        <v>105.14</v>
      </c>
      <c r="E246" s="138"/>
      <c r="F246" s="138"/>
      <c r="G246" s="16" t="s">
        <v>699</v>
      </c>
    </row>
    <row r="247" spans="1:9" ht="15" customHeight="1">
      <c r="A247" s="112"/>
      <c r="B247" s="134">
        <v>343.08</v>
      </c>
      <c r="C247" s="16" t="s">
        <v>207</v>
      </c>
      <c r="D247" s="137">
        <v>203.92</v>
      </c>
      <c r="E247" s="138"/>
      <c r="F247" s="138"/>
      <c r="G247" s="16" t="s">
        <v>723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739</v>
      </c>
      <c r="H248" s="89">
        <f>33.98+1.99</f>
        <v>35.97</v>
      </c>
      <c r="I248" s="89" t="s">
        <v>731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741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648</v>
      </c>
      <c r="D257" s="137"/>
      <c r="E257" s="138">
        <f>100.67+100.67</f>
        <v>201.34</v>
      </c>
      <c r="F257" s="138"/>
      <c r="G257" s="16" t="s">
        <v>325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694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5.3699999999997416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604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721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740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65.369999999999749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/>
      <c r="E306" s="138"/>
      <c r="F306" s="138">
        <v>60</v>
      </c>
      <c r="G306" s="16" t="s">
        <v>714</v>
      </c>
    </row>
    <row r="307" spans="2:7">
      <c r="B307" s="134"/>
      <c r="C307" s="27"/>
      <c r="D307" s="137">
        <v>35.96</v>
      </c>
      <c r="E307" s="138"/>
      <c r="F307" s="138"/>
      <c r="G307" s="16" t="s">
        <v>715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720</v>
      </c>
    </row>
    <row r="309" spans="2:7">
      <c r="B309" s="134"/>
      <c r="C309" s="16"/>
      <c r="D309" s="137"/>
      <c r="E309" s="138"/>
      <c r="F309" s="138">
        <v>60</v>
      </c>
      <c r="G309" s="16" t="s">
        <v>744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700</v>
      </c>
    </row>
    <row r="327" spans="2:9">
      <c r="B327" s="134">
        <v>100</v>
      </c>
      <c r="C327" s="16" t="s">
        <v>701</v>
      </c>
      <c r="D327" s="137">
        <v>15</v>
      </c>
      <c r="E327" s="138"/>
      <c r="F327" s="138"/>
      <c r="G327" s="16" t="s">
        <v>728</v>
      </c>
    </row>
    <row r="328" spans="2:9">
      <c r="B328" s="134">
        <v>155.97</v>
      </c>
      <c r="C328" s="16" t="s">
        <v>207</v>
      </c>
      <c r="D328" s="137"/>
      <c r="E328" s="138">
        <v>46.98</v>
      </c>
      <c r="F328" s="138"/>
      <c r="G328" s="16" t="s">
        <v>741</v>
      </c>
      <c r="H328" s="89">
        <f>9.99+34.99+2</f>
        <v>46.980000000000004</v>
      </c>
      <c r="I328" s="89" t="s">
        <v>731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225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745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162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30089.47</v>
      </c>
      <c r="L19" s="438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/>
      <c r="K25" s="422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350</v>
      </c>
      <c r="K30" s="422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540</v>
      </c>
      <c r="K31" s="424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771</v>
      </c>
      <c r="K32" s="424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251</v>
      </c>
      <c r="K33" s="424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344</v>
      </c>
      <c r="K40" s="422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58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 t="s">
        <v>774</v>
      </c>
      <c r="K42" s="424"/>
      <c r="L42" s="229">
        <v>52.06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749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752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753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760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767</v>
      </c>
      <c r="H50" s="1"/>
      <c r="I50" s="418" t="str">
        <f>AÑO!A13</f>
        <v>Gubernamental</v>
      </c>
      <c r="J50" s="421" t="s">
        <v>709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768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769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770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772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780</v>
      </c>
      <c r="H55" s="1"/>
      <c r="I55" s="418" t="str">
        <f>AÑO!A14</f>
        <v>Mutualite/DKV</v>
      </c>
      <c r="J55" s="421" t="s">
        <v>386</v>
      </c>
      <c r="K55" s="422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781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751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761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766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798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226</v>
      </c>
      <c r="D79" s="135">
        <f>22.3+25.93</f>
        <v>48.230000000000004</v>
      </c>
      <c r="E79" s="139"/>
      <c r="F79" s="139"/>
      <c r="G79" s="17" t="s">
        <v>793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748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757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759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778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779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782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796</v>
      </c>
      <c r="D130" s="137">
        <v>65</v>
      </c>
      <c r="E130" s="138"/>
      <c r="F130" s="138"/>
      <c r="G130" s="16" t="s">
        <v>797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749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765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789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322</v>
      </c>
      <c r="D246" s="137">
        <f>2.99+15.99-2.4</f>
        <v>16.580000000000002</v>
      </c>
      <c r="E246" s="138"/>
      <c r="F246" s="138"/>
      <c r="G246" s="16" t="s">
        <v>749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777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708</v>
      </c>
      <c r="D257" s="137"/>
      <c r="E257" s="138">
        <v>100.67</v>
      </c>
      <c r="F257" s="138"/>
      <c r="G257" s="16" t="s">
        <v>325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747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9.4699999999997431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755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756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795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109.46999999999974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>
        <f>37.5+37.5</f>
        <v>75</v>
      </c>
      <c r="E306" s="138"/>
      <c r="F306" s="138"/>
      <c r="G306" s="16" t="s">
        <v>758</v>
      </c>
    </row>
    <row r="307" spans="2:7">
      <c r="B307" s="134">
        <f>28.54*2</f>
        <v>57.08</v>
      </c>
      <c r="C307" s="27" t="s">
        <v>386</v>
      </c>
      <c r="D307" s="137"/>
      <c r="E307" s="138"/>
      <c r="F307" s="138">
        <v>50</v>
      </c>
      <c r="G307" s="16" t="s">
        <v>763</v>
      </c>
    </row>
    <row r="308" spans="2:7">
      <c r="B308" s="134"/>
      <c r="C308" s="27"/>
      <c r="D308" s="137">
        <v>35.96</v>
      </c>
      <c r="E308" s="138"/>
      <c r="F308" s="138"/>
      <c r="G308" s="16" t="s">
        <v>764</v>
      </c>
    </row>
    <row r="309" spans="2:7">
      <c r="B309" s="134"/>
      <c r="C309" s="16"/>
      <c r="D309" s="137">
        <v>16.21</v>
      </c>
      <c r="E309" s="138"/>
      <c r="F309" s="138"/>
      <c r="G309" s="16" t="s">
        <v>784</v>
      </c>
    </row>
    <row r="310" spans="2:7">
      <c r="B310" s="134"/>
      <c r="C310" s="16"/>
      <c r="D310" s="137"/>
      <c r="E310" s="138"/>
      <c r="F310" s="138">
        <v>50</v>
      </c>
      <c r="G310" s="16" t="s">
        <v>783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785</v>
      </c>
    </row>
    <row r="312" spans="2:7">
      <c r="B312" s="134"/>
      <c r="C312" s="16"/>
      <c r="D312" s="137"/>
      <c r="E312" s="138"/>
      <c r="F312" s="138">
        <v>60</v>
      </c>
      <c r="G312" s="16" t="s">
        <v>786</v>
      </c>
    </row>
    <row r="313" spans="2:7">
      <c r="B313" s="134"/>
      <c r="C313" s="16"/>
      <c r="D313" s="137">
        <v>5.3</v>
      </c>
      <c r="E313" s="138"/>
      <c r="F313" s="138"/>
      <c r="G313" s="16" t="s">
        <v>788</v>
      </c>
    </row>
    <row r="314" spans="2:7">
      <c r="B314" s="134"/>
      <c r="C314" s="16"/>
      <c r="D314" s="137">
        <v>12.95</v>
      </c>
      <c r="E314" s="138"/>
      <c r="F314" s="138"/>
      <c r="G314" s="16" t="s">
        <v>801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799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800</v>
      </c>
    </row>
    <row r="317" spans="2:7">
      <c r="B317" s="134"/>
      <c r="C317" s="16"/>
      <c r="D317" s="137"/>
      <c r="E317" s="138"/>
      <c r="F317" s="138">
        <v>4.5</v>
      </c>
      <c r="G317" s="16" t="s">
        <v>805</v>
      </c>
    </row>
    <row r="318" spans="2:7">
      <c r="B318" s="134"/>
      <c r="C318" s="16"/>
      <c r="D318" s="137"/>
      <c r="E318" s="138"/>
      <c r="F318" s="138">
        <v>84.93</v>
      </c>
      <c r="G318" s="16" t="s">
        <v>806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746</v>
      </c>
    </row>
    <row r="407" spans="2:7">
      <c r="B407" s="134">
        <v>0.89</v>
      </c>
      <c r="C407" s="16" t="s">
        <v>344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225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332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4501.8900000000003</v>
      </c>
      <c r="L5" s="430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3">
        <v>620.14</v>
      </c>
      <c r="L6" s="414"/>
      <c r="M6" s="1" t="s">
        <v>162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6307.51</v>
      </c>
      <c r="L8" s="41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30103.380000000005</v>
      </c>
      <c r="L19" s="438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350</v>
      </c>
      <c r="K30" s="422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601</v>
      </c>
      <c r="K31" s="424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809</v>
      </c>
      <c r="K40" s="422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815</v>
      </c>
      <c r="K45" s="422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814</v>
      </c>
      <c r="H46" s="1"/>
      <c r="I46" s="419"/>
      <c r="J46" s="423" t="s">
        <v>829</v>
      </c>
      <c r="K46" s="424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825</v>
      </c>
      <c r="H47" s="1"/>
      <c r="I47" s="419"/>
      <c r="J47" s="423" t="s">
        <v>830</v>
      </c>
      <c r="K47" s="424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827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838</v>
      </c>
      <c r="H50" s="1"/>
      <c r="I50" s="418" t="str">
        <f>AÑO!A13</f>
        <v>Gubernamental</v>
      </c>
      <c r="J50" s="421" t="s">
        <v>820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842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844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846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819</v>
      </c>
      <c r="K55" s="422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602</v>
      </c>
      <c r="K56" s="424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812</v>
      </c>
      <c r="K60" s="422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828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840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839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847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848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796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835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776</v>
      </c>
      <c r="D257" s="137"/>
      <c r="E257" s="138"/>
      <c r="F257" s="138"/>
      <c r="G257" s="16" t="s">
        <v>325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59.469999999999743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199.46999999999974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635</v>
      </c>
      <c r="D306" s="137"/>
      <c r="E306" s="138"/>
      <c r="F306" s="138">
        <v>80</v>
      </c>
      <c r="G306" s="16" t="s">
        <v>818</v>
      </c>
    </row>
    <row r="307" spans="2:8">
      <c r="B307" s="134">
        <v>300</v>
      </c>
      <c r="C307" s="27" t="s">
        <v>822</v>
      </c>
      <c r="D307" s="137">
        <v>82.87</v>
      </c>
      <c r="E307" s="138"/>
      <c r="F307" s="138"/>
      <c r="G307" s="16" t="s">
        <v>821</v>
      </c>
    </row>
    <row r="308" spans="2:8">
      <c r="B308" s="134">
        <f>L56</f>
        <v>93.02</v>
      </c>
      <c r="C308" s="27" t="s">
        <v>386</v>
      </c>
      <c r="D308" s="137">
        <v>33</v>
      </c>
      <c r="E308" s="138"/>
      <c r="F308" s="138"/>
      <c r="G308" s="16" t="s">
        <v>824</v>
      </c>
    </row>
    <row r="309" spans="2:8">
      <c r="B309" s="134"/>
      <c r="C309" s="16"/>
      <c r="D309" s="137">
        <v>40.18</v>
      </c>
      <c r="E309" s="138"/>
      <c r="F309" s="138"/>
      <c r="G309" s="16" t="s">
        <v>826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834</v>
      </c>
    </row>
    <row r="312" spans="2:8">
      <c r="B312" s="134"/>
      <c r="C312" s="16"/>
      <c r="D312" s="137">
        <v>50</v>
      </c>
      <c r="E312" s="138"/>
      <c r="F312" s="138"/>
      <c r="G312" s="16" t="s">
        <v>837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817</v>
      </c>
    </row>
    <row r="327" spans="2:7">
      <c r="B327" s="134">
        <v>30</v>
      </c>
      <c r="C327" s="16" t="s">
        <v>816</v>
      </c>
      <c r="D327" s="137"/>
      <c r="E327" s="138"/>
      <c r="F327" s="138"/>
      <c r="G327" s="16"/>
    </row>
    <row r="328" spans="2:7">
      <c r="B328" s="134">
        <v>250</v>
      </c>
      <c r="C328" s="16" t="s">
        <v>829</v>
      </c>
      <c r="D328" s="137"/>
      <c r="E328" s="138"/>
      <c r="F328" s="138"/>
      <c r="G328" s="16"/>
    </row>
    <row r="329" spans="2:7">
      <c r="B329" s="134">
        <v>150</v>
      </c>
      <c r="C329" s="16" t="s">
        <v>830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775</v>
      </c>
      <c r="D359" s="135">
        <v>65</v>
      </c>
      <c r="E359" s="139"/>
      <c r="F359" s="139"/>
      <c r="G359" s="17" t="s">
        <v>808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836</v>
      </c>
    </row>
    <row r="368" spans="1:7">
      <c r="B368" s="134"/>
      <c r="C368" s="16"/>
      <c r="D368" s="137">
        <v>34</v>
      </c>
      <c r="E368" s="138"/>
      <c r="F368" s="138"/>
      <c r="G368" s="16" t="s">
        <v>843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807</v>
      </c>
    </row>
    <row r="407" spans="2:7">
      <c r="B407" s="134">
        <v>42.84</v>
      </c>
      <c r="C407" s="16" t="s">
        <v>809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225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845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4501.8900000000003</v>
      </c>
      <c r="L5" s="430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3">
        <v>620.14</v>
      </c>
      <c r="L6" s="414"/>
      <c r="M6" s="1" t="s">
        <v>162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6307.51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30103.380000000005</v>
      </c>
      <c r="L19" s="438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350</v>
      </c>
      <c r="K30" s="422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8" t="str">
        <f>AÑO!A13</f>
        <v>Gubernamental</v>
      </c>
      <c r="J50" s="421" t="s">
        <v>820</v>
      </c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796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865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823</v>
      </c>
      <c r="D257" s="137"/>
      <c r="E257" s="138"/>
      <c r="F257" s="138"/>
      <c r="G257" s="16" t="s">
        <v>325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109.46999999999974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294.46999999999974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775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849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"/>
  <sheetViews>
    <sheetView topLeftCell="A64" workbookViewId="0">
      <selection activeCell="J75" sqref="J75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2:7">
      <c r="B67" t="s">
        <v>861</v>
      </c>
      <c r="C67" t="s">
        <v>862</v>
      </c>
      <c r="D67" t="s">
        <v>864</v>
      </c>
      <c r="E67" t="s">
        <v>863</v>
      </c>
      <c r="F67" t="s">
        <v>93</v>
      </c>
      <c r="G67" t="s">
        <v>866</v>
      </c>
    </row>
    <row r="68" spans="2:7">
      <c r="B68">
        <v>5</v>
      </c>
      <c r="C68">
        <f>12*B68</f>
        <v>60</v>
      </c>
      <c r="D68">
        <v>17000</v>
      </c>
      <c r="E68">
        <f>D68/C68</f>
        <v>283.33333333333331</v>
      </c>
      <c r="F68">
        <v>1.65</v>
      </c>
      <c r="G68">
        <f>((D68*F68)/100)</f>
        <v>280.5</v>
      </c>
    </row>
    <row r="69" spans="2:7">
      <c r="B69">
        <v>4</v>
      </c>
      <c r="C69">
        <f>12*B69</f>
        <v>48</v>
      </c>
      <c r="D69">
        <f>D68-(E68*12)</f>
        <v>13600</v>
      </c>
      <c r="E69">
        <f>D69/C69</f>
        <v>283.33333333333331</v>
      </c>
      <c r="F69">
        <f>F68</f>
        <v>1.65</v>
      </c>
      <c r="G69">
        <f>((D69*F69)/100)</f>
        <v>224.4</v>
      </c>
    </row>
    <row r="70" spans="2:7">
      <c r="B70">
        <v>3</v>
      </c>
      <c r="C70">
        <f>12*B70</f>
        <v>36</v>
      </c>
      <c r="D70">
        <f>D69-(E69*12)</f>
        <v>10200</v>
      </c>
      <c r="E70">
        <f>D70/C70</f>
        <v>283.33333333333331</v>
      </c>
      <c r="F70">
        <f>F69</f>
        <v>1.65</v>
      </c>
      <c r="G70">
        <f>((D70*F70)/100)</f>
        <v>168.3</v>
      </c>
    </row>
    <row r="71" spans="2:7">
      <c r="B71">
        <v>2</v>
      </c>
      <c r="C71">
        <f>12*B71</f>
        <v>24</v>
      </c>
      <c r="D71">
        <f>D70-(E70*12)</f>
        <v>6800</v>
      </c>
      <c r="E71">
        <f>D71/C71</f>
        <v>283.33333333333331</v>
      </c>
      <c r="F71">
        <f>F70</f>
        <v>1.65</v>
      </c>
      <c r="G71">
        <f>((D71*F71)/100)</f>
        <v>112.2</v>
      </c>
    </row>
    <row r="72" spans="2:7">
      <c r="B72">
        <v>1</v>
      </c>
      <c r="C72">
        <f>12*B72</f>
        <v>12</v>
      </c>
      <c r="D72">
        <f>D71-(E71*12)</f>
        <v>3400</v>
      </c>
      <c r="E72">
        <f>D72/C72</f>
        <v>283.33333333333331</v>
      </c>
      <c r="F72">
        <f>F71</f>
        <v>1.65</v>
      </c>
      <c r="G72">
        <f>((D72*F72)/100)</f>
        <v>56.1</v>
      </c>
    </row>
    <row r="73" spans="2:7">
      <c r="E73">
        <f>(D68+G73)/C68</f>
        <v>297.35833333333335</v>
      </c>
      <c r="G73">
        <f>SUM(G68:G72)</f>
        <v>841.50000000000011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676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236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F25" workbookViewId="0">
      <selection activeCell="N35" sqref="N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420</v>
      </c>
      <c r="B1" s="240"/>
      <c r="C1" s="241"/>
      <c r="D1" s="319"/>
      <c r="E1" s="242"/>
      <c r="F1" s="243" t="s">
        <v>421</v>
      </c>
      <c r="G1" s="244"/>
      <c r="H1" s="244"/>
      <c r="I1" s="244"/>
      <c r="J1" s="244"/>
      <c r="K1" s="245" t="s">
        <v>422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423</v>
      </c>
      <c r="B2" s="252" t="s">
        <v>424</v>
      </c>
      <c r="C2" s="252" t="s">
        <v>425</v>
      </c>
      <c r="D2" s="320" t="s">
        <v>480</v>
      </c>
      <c r="E2" s="252" t="s">
        <v>426</v>
      </c>
      <c r="F2" s="253" t="s">
        <v>427</v>
      </c>
      <c r="G2" s="254" t="s">
        <v>428</v>
      </c>
      <c r="H2" s="254" t="s">
        <v>429</v>
      </c>
      <c r="I2" s="254" t="s">
        <v>430</v>
      </c>
      <c r="J2" s="254" t="s">
        <v>7</v>
      </c>
      <c r="K2" s="255" t="s">
        <v>427</v>
      </c>
      <c r="L2" s="256" t="s">
        <v>428</v>
      </c>
      <c r="M2" s="256" t="s">
        <v>430</v>
      </c>
      <c r="N2" s="257" t="s">
        <v>7</v>
      </c>
      <c r="O2" s="258" t="s">
        <v>7</v>
      </c>
      <c r="P2" s="259" t="s">
        <v>431</v>
      </c>
      <c r="Q2" s="259" t="s">
        <v>773</v>
      </c>
      <c r="R2" s="259" t="s">
        <v>93</v>
      </c>
      <c r="S2" s="260" t="s">
        <v>432</v>
      </c>
      <c r="T2" s="261"/>
    </row>
    <row r="3" spans="1:27">
      <c r="A3" s="262" t="s">
        <v>433</v>
      </c>
      <c r="B3" s="262" t="s">
        <v>434</v>
      </c>
      <c r="C3" s="263">
        <v>5600</v>
      </c>
      <c r="D3" s="321">
        <f ca="1">_xlfn.DAYS(K3,F3)</f>
        <v>1608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43817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454</v>
      </c>
    </row>
    <row r="4" spans="1:27">
      <c r="A4" s="262" t="s">
        <v>435</v>
      </c>
      <c r="B4" s="262" t="s">
        <v>332</v>
      </c>
      <c r="C4" s="263">
        <v>4090</v>
      </c>
      <c r="D4" s="321">
        <f ca="1">_xlfn.DAYS(K4,F4)</f>
        <v>212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43817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454</v>
      </c>
      <c r="T4" s="339"/>
    </row>
    <row r="5" spans="1:27">
      <c r="A5" s="262" t="s">
        <v>435</v>
      </c>
      <c r="B5" s="262" t="s">
        <v>436</v>
      </c>
      <c r="C5" s="263">
        <v>5100</v>
      </c>
      <c r="D5" s="321">
        <f ca="1">_xlfn.DAYS(K5,F5)</f>
        <v>663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43817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437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423</v>
      </c>
      <c r="B12" s="290" t="s">
        <v>424</v>
      </c>
      <c r="C12" s="290" t="s">
        <v>425</v>
      </c>
      <c r="D12" s="323" t="s">
        <v>480</v>
      </c>
      <c r="E12" s="290" t="s">
        <v>426</v>
      </c>
      <c r="F12" s="291" t="s">
        <v>427</v>
      </c>
      <c r="G12" s="292" t="s">
        <v>428</v>
      </c>
      <c r="H12" s="292" t="s">
        <v>429</v>
      </c>
      <c r="I12" s="292" t="s">
        <v>430</v>
      </c>
      <c r="J12" s="292" t="s">
        <v>7</v>
      </c>
      <c r="K12" s="293" t="s">
        <v>427</v>
      </c>
      <c r="L12" s="294" t="s">
        <v>428</v>
      </c>
      <c r="M12" s="294" t="s">
        <v>430</v>
      </c>
      <c r="N12" s="295" t="s">
        <v>7</v>
      </c>
      <c r="O12" s="296" t="s">
        <v>7</v>
      </c>
      <c r="P12" s="297" t="s">
        <v>431</v>
      </c>
      <c r="Q12" s="297" t="s">
        <v>773</v>
      </c>
      <c r="R12" s="297" t="s">
        <v>93</v>
      </c>
      <c r="S12" s="298" t="s">
        <v>432</v>
      </c>
      <c r="T12" s="338" t="s">
        <v>519</v>
      </c>
      <c r="U12" s="338" t="s">
        <v>692</v>
      </c>
      <c r="X12" s="329" t="s">
        <v>450</v>
      </c>
      <c r="Y12" s="329" t="s">
        <v>451</v>
      </c>
      <c r="Z12" s="329" t="s">
        <v>452</v>
      </c>
      <c r="AA12" s="329" t="s">
        <v>453</v>
      </c>
    </row>
    <row r="13" spans="1:27">
      <c r="A13" s="262" t="s">
        <v>433</v>
      </c>
      <c r="B13" s="262" t="s">
        <v>438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438</v>
      </c>
      <c r="T13" s="59">
        <f>R13+R14</f>
        <v>-4.7120556421087471E-2</v>
      </c>
      <c r="X13" s="39">
        <f t="shared" ref="X13:X41" ca="1" si="1">D13/D$43</f>
        <v>3.5570854847963282E-2</v>
      </c>
      <c r="Y13" s="119">
        <f ca="1">X13*E13</f>
        <v>142.9688324153758</v>
      </c>
      <c r="Z13" s="38"/>
    </row>
    <row r="14" spans="1:27">
      <c r="A14" s="262" t="s">
        <v>433</v>
      </c>
      <c r="B14" s="262" t="s">
        <v>438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439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433</v>
      </c>
      <c r="B15" s="262" t="s">
        <v>440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440</v>
      </c>
      <c r="X15" s="39">
        <f t="shared" ca="1" si="1"/>
        <v>3.1554790590935168E-2</v>
      </c>
      <c r="Y15" s="119">
        <f t="shared" ca="1" si="3"/>
        <v>0</v>
      </c>
    </row>
    <row r="16" spans="1:27">
      <c r="A16" s="262" t="s">
        <v>433</v>
      </c>
      <c r="B16" s="262" t="s">
        <v>441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441</v>
      </c>
      <c r="X16" s="39">
        <f t="shared" ca="1" si="1"/>
        <v>8.0321285140562242E-3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433</v>
      </c>
      <c r="B19" s="262" t="s">
        <v>441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441</v>
      </c>
      <c r="T19" s="59">
        <f>R19+R21+R24</f>
        <v>0.24013324659263452</v>
      </c>
      <c r="X19" s="39">
        <f t="shared" ca="1" si="1"/>
        <v>0.4985656913367757</v>
      </c>
      <c r="Y19" s="119">
        <f t="shared" ca="1" si="3"/>
        <v>2205.3554391738385</v>
      </c>
    </row>
    <row r="20" spans="1:25">
      <c r="A20" s="262" t="s">
        <v>433</v>
      </c>
      <c r="B20" s="262" t="s">
        <v>441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481</v>
      </c>
      <c r="X20" s="39">
        <f t="shared" ca="1" si="1"/>
        <v>0.36259323006310956</v>
      </c>
      <c r="Y20" s="119">
        <f t="shared" ca="1" si="3"/>
        <v>217.77349397590362</v>
      </c>
    </row>
    <row r="21" spans="1:25">
      <c r="A21" s="262" t="s">
        <v>433</v>
      </c>
      <c r="B21" s="262" t="s">
        <v>441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433</v>
      </c>
      <c r="B24" s="262" t="s">
        <v>441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433</v>
      </c>
      <c r="B25" s="262" t="s">
        <v>441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441</v>
      </c>
      <c r="X25" s="39">
        <f t="shared" ca="1" si="1"/>
        <v>0.16523235800344235</v>
      </c>
      <c r="Y25" s="119">
        <f t="shared" ca="1" si="3"/>
        <v>100.45519741135972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435</v>
      </c>
      <c r="B28" s="262" t="s">
        <v>436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436</v>
      </c>
      <c r="T28" s="59">
        <f>R28+R29+R30+R34</f>
        <v>0.15363527784681297</v>
      </c>
      <c r="U28" s="59">
        <f>(L28/L5)-1</f>
        <v>0</v>
      </c>
      <c r="X28" s="39">
        <f t="shared" ca="1" si="1"/>
        <v>0.3763625932300631</v>
      </c>
      <c r="Y28" s="119">
        <f t="shared" ca="1" si="3"/>
        <v>1937.5495865060241</v>
      </c>
    </row>
    <row r="29" spans="1:25">
      <c r="A29" s="262" t="s">
        <v>435</v>
      </c>
      <c r="B29" s="262" t="s">
        <v>436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435</v>
      </c>
      <c r="B30" s="262" t="s">
        <v>436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449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435</v>
      </c>
      <c r="B33" s="262" t="s">
        <v>332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332</v>
      </c>
      <c r="X33" s="39">
        <f t="shared" ca="1" si="1"/>
        <v>1.2621916236374068E-2</v>
      </c>
      <c r="Y33" s="119">
        <f t="shared" ca="1" si="3"/>
        <v>52.117485025817551</v>
      </c>
    </row>
    <row r="34" spans="1:27">
      <c r="A34" s="262" t="s">
        <v>435</v>
      </c>
      <c r="B34" s="262" t="s">
        <v>436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435</v>
      </c>
      <c r="B35" s="262" t="s">
        <v>332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332</v>
      </c>
      <c r="U35" s="59"/>
      <c r="X35" s="39">
        <f t="shared" ca="1" si="1"/>
        <v>8.5484796328169826E-2</v>
      </c>
      <c r="Y35" s="119">
        <f t="shared" ca="1" si="3"/>
        <v>349.52569256454393</v>
      </c>
    </row>
    <row r="36" spans="1:27">
      <c r="A36" s="262" t="s">
        <v>435</v>
      </c>
      <c r="B36" s="262" t="s">
        <v>436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392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1.5760183591508892</v>
      </c>
      <c r="Y42" s="327">
        <f ca="1">SUM(Y13:Y41)</f>
        <v>5005.7457270728628</v>
      </c>
      <c r="Z42" s="328">
        <f ca="1">P42/Y42</f>
        <v>0.87965616375302269</v>
      </c>
      <c r="AA42" s="328">
        <f ca="1">Z42/(D$43/365)</f>
        <v>0.18420797462412697</v>
      </c>
    </row>
    <row r="43" spans="1:27">
      <c r="C43" s="119" t="s">
        <v>483</v>
      </c>
      <c r="D43" s="46">
        <f ca="1">_xlfn.DAYS(TODAY(),F13)</f>
        <v>1743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459</v>
      </c>
      <c r="U62" s="41" t="s">
        <v>460</v>
      </c>
      <c r="V62" s="38"/>
    </row>
    <row r="63" spans="3:29" ht="15.75">
      <c r="G63" s="38"/>
      <c r="S63" t="s">
        <v>461</v>
      </c>
      <c r="T63" s="308" t="s">
        <v>462</v>
      </c>
      <c r="U63" s="309"/>
      <c r="V63" s="38"/>
    </row>
    <row r="64" spans="3:29">
      <c r="F64" s="38"/>
      <c r="G64" s="38"/>
      <c r="S64" t="s">
        <v>463</v>
      </c>
      <c r="T64" s="308" t="s">
        <v>464</v>
      </c>
      <c r="U64" t="s">
        <v>465</v>
      </c>
    </row>
    <row r="65" spans="6:22">
      <c r="F65" s="38"/>
      <c r="G65" s="38"/>
      <c r="H65" s="38"/>
      <c r="K65" t="s">
        <v>466</v>
      </c>
      <c r="T65" s="38"/>
      <c r="U65" t="s">
        <v>467</v>
      </c>
      <c r="V65" s="38"/>
    </row>
    <row r="66" spans="6:22">
      <c r="K66" s="310">
        <v>43587</v>
      </c>
      <c r="T66" s="305"/>
    </row>
    <row r="67" spans="6:22">
      <c r="K67" t="s">
        <v>468</v>
      </c>
      <c r="T67" s="311"/>
    </row>
    <row r="68" spans="6:22">
      <c r="K68" t="s">
        <v>469</v>
      </c>
      <c r="M68" t="s">
        <v>146</v>
      </c>
      <c r="T68" s="308"/>
      <c r="U68">
        <f>5000/12</f>
        <v>416.66666666666669</v>
      </c>
    </row>
    <row r="69" spans="6:22">
      <c r="K69" t="s">
        <v>470</v>
      </c>
      <c r="U69">
        <f>2.2/U68</f>
        <v>5.28E-3</v>
      </c>
    </row>
    <row r="70" spans="6:22">
      <c r="K70" t="s">
        <v>471</v>
      </c>
      <c r="U70">
        <f>100*U69</f>
        <v>0.52800000000000002</v>
      </c>
    </row>
    <row r="71" spans="6:22">
      <c r="K71" t="s">
        <v>472</v>
      </c>
      <c r="U71">
        <f>2.2*12</f>
        <v>26.400000000000002</v>
      </c>
    </row>
    <row r="72" spans="6:22">
      <c r="K72" t="s">
        <v>473</v>
      </c>
    </row>
    <row r="73" spans="6:22">
      <c r="K73" t="s">
        <v>474</v>
      </c>
    </row>
    <row r="74" spans="6:22">
      <c r="K74" t="s">
        <v>475</v>
      </c>
    </row>
    <row r="75" spans="6:22">
      <c r="K75" t="s">
        <v>476</v>
      </c>
    </row>
    <row r="76" spans="6:22">
      <c r="K76" t="s">
        <v>477</v>
      </c>
    </row>
    <row r="77" spans="6:22">
      <c r="K77" t="s">
        <v>478</v>
      </c>
    </row>
    <row r="78" spans="6:22">
      <c r="K78" t="s">
        <v>479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6" sqref="G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489</v>
      </c>
      <c r="B1" s="446"/>
      <c r="C1" s="446"/>
      <c r="D1" s="446"/>
      <c r="E1" s="446"/>
    </row>
    <row r="2" spans="1:5">
      <c r="A2" s="331" t="s">
        <v>485</v>
      </c>
      <c r="B2" s="332" t="s">
        <v>86</v>
      </c>
      <c r="C2" s="332" t="s">
        <v>486</v>
      </c>
      <c r="D2" s="332" t="s">
        <v>487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488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518</v>
      </c>
      <c r="B15" s="444"/>
      <c r="C15" s="444"/>
      <c r="D15" s="444"/>
      <c r="E15" s="444"/>
    </row>
    <row r="17" spans="1:4">
      <c r="A17" s="330" t="s">
        <v>490</v>
      </c>
    </row>
    <row r="19" spans="1:4">
      <c r="A19" t="s">
        <v>491</v>
      </c>
    </row>
    <row r="20" spans="1:4">
      <c r="A20" t="s">
        <v>492</v>
      </c>
    </row>
    <row r="21" spans="1:4">
      <c r="A21" t="s">
        <v>493</v>
      </c>
    </row>
    <row r="22" spans="1:4">
      <c r="A22" t="s">
        <v>494</v>
      </c>
    </row>
    <row r="23" spans="1:4">
      <c r="A23" t="s">
        <v>495</v>
      </c>
    </row>
    <row r="24" spans="1:4">
      <c r="A24" t="s">
        <v>496</v>
      </c>
    </row>
    <row r="25" spans="1:4">
      <c r="A25" t="s">
        <v>497</v>
      </c>
    </row>
    <row r="26" spans="1:4">
      <c r="A26" t="s">
        <v>859</v>
      </c>
    </row>
    <row r="27" spans="1:4">
      <c r="A27" t="s">
        <v>860</v>
      </c>
    </row>
    <row r="30" spans="1:4">
      <c r="A30" s="330" t="s">
        <v>498</v>
      </c>
      <c r="B30" s="330" t="s">
        <v>499</v>
      </c>
      <c r="C30" s="330" t="s">
        <v>500</v>
      </c>
      <c r="D30" s="330" t="s">
        <v>501</v>
      </c>
    </row>
    <row r="32" spans="1:4">
      <c r="A32" t="s">
        <v>502</v>
      </c>
      <c r="B32" t="s">
        <v>503</v>
      </c>
      <c r="C32" t="s">
        <v>504</v>
      </c>
      <c r="D32" t="s">
        <v>505</v>
      </c>
    </row>
    <row r="33" spans="1:4">
      <c r="A33" t="s">
        <v>506</v>
      </c>
      <c r="B33" t="s">
        <v>507</v>
      </c>
      <c r="C33" t="s">
        <v>508</v>
      </c>
      <c r="D33" t="s">
        <v>503</v>
      </c>
    </row>
    <row r="34" spans="1:4">
      <c r="A34" t="s">
        <v>509</v>
      </c>
      <c r="B34" t="s">
        <v>510</v>
      </c>
      <c r="C34" t="s">
        <v>511</v>
      </c>
      <c r="D34" t="s">
        <v>505</v>
      </c>
    </row>
    <row r="35" spans="1:4">
      <c r="A35" t="s">
        <v>512</v>
      </c>
      <c r="B35" t="s">
        <v>503</v>
      </c>
      <c r="C35" t="s">
        <v>508</v>
      </c>
      <c r="D35" t="s">
        <v>513</v>
      </c>
    </row>
    <row r="36" spans="1:4">
      <c r="A36" t="s">
        <v>344</v>
      </c>
      <c r="B36" t="s">
        <v>503</v>
      </c>
      <c r="C36" t="s">
        <v>504</v>
      </c>
      <c r="D36" t="s">
        <v>513</v>
      </c>
    </row>
    <row r="37" spans="1:4">
      <c r="A37" t="s">
        <v>514</v>
      </c>
      <c r="B37" t="s">
        <v>505</v>
      </c>
      <c r="C37" t="s">
        <v>511</v>
      </c>
      <c r="D37" t="s">
        <v>510</v>
      </c>
    </row>
    <row r="38" spans="1:4">
      <c r="A38" t="s">
        <v>515</v>
      </c>
      <c r="B38" t="s">
        <v>503</v>
      </c>
      <c r="C38" t="s">
        <v>511</v>
      </c>
      <c r="D38" t="s">
        <v>503</v>
      </c>
    </row>
    <row r="39" spans="1:4">
      <c r="A39" t="s">
        <v>516</v>
      </c>
      <c r="B39" t="s">
        <v>505</v>
      </c>
      <c r="C39" t="s">
        <v>504</v>
      </c>
      <c r="D39" t="s">
        <v>503</v>
      </c>
    </row>
    <row r="40" spans="1:4">
      <c r="A40" t="s">
        <v>517</v>
      </c>
      <c r="B40" t="s">
        <v>505</v>
      </c>
      <c r="C40" t="s">
        <v>504</v>
      </c>
      <c r="D40" t="s">
        <v>510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260</v>
      </c>
      <c r="I7" t="s">
        <v>261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276</v>
      </c>
      <c r="I10" t="s">
        <v>277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2">
      <c r="A49" t="s">
        <v>46</v>
      </c>
      <c r="B49" t="s">
        <v>165</v>
      </c>
    </row>
    <row r="50" spans="1:2">
      <c r="A50" t="s">
        <v>167</v>
      </c>
      <c r="B50" t="s">
        <v>166</v>
      </c>
    </row>
    <row r="51" spans="1:2">
      <c r="A51" t="s">
        <v>189</v>
      </c>
      <c r="B51" t="s">
        <v>165</v>
      </c>
    </row>
    <row r="52" spans="1:2">
      <c r="A52" t="s">
        <v>198</v>
      </c>
      <c r="B52" t="s">
        <v>197</v>
      </c>
    </row>
    <row r="53" spans="1:2">
      <c r="A53" t="s">
        <v>201</v>
      </c>
      <c r="B53" t="s">
        <v>202</v>
      </c>
    </row>
    <row r="54" spans="1:2">
      <c r="A54" t="s">
        <v>33</v>
      </c>
      <c r="B54" t="s">
        <v>166</v>
      </c>
    </row>
    <row r="55" spans="1:2">
      <c r="A55" t="s">
        <v>729</v>
      </c>
      <c r="B55" t="s">
        <v>730</v>
      </c>
    </row>
    <row r="56" spans="1:2">
      <c r="A56" t="s">
        <v>857</v>
      </c>
      <c r="B56" t="s">
        <v>166</v>
      </c>
    </row>
    <row r="58" spans="1:2">
      <c r="A58" t="s">
        <v>810</v>
      </c>
      <c r="B58" t="s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2019</v>
      </c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29"/>
      <c r="L5" s="430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745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3"/>
      <c r="L6" s="414"/>
      <c r="M6" s="1" t="s">
        <v>162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3"/>
      <c r="L7" s="414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3"/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3"/>
      <c r="L9" s="414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3"/>
      <c r="L10" s="414"/>
      <c r="M10" s="1" t="s">
        <v>153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3"/>
      <c r="L11" s="414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249</v>
      </c>
      <c r="D12" s="137"/>
      <c r="E12" s="138"/>
      <c r="F12" s="138"/>
      <c r="G12" s="16"/>
      <c r="H12" s="112">
        <v>38.04000000000002</v>
      </c>
      <c r="I12" s="108" t="s">
        <v>155</v>
      </c>
      <c r="J12" s="107" t="s">
        <v>156</v>
      </c>
      <c r="K12" s="413"/>
      <c r="L12" s="414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271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373</v>
      </c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182</v>
      </c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5">
        <f>SUM(K5:K18)</f>
        <v>0</v>
      </c>
      <c r="L19" s="416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18" t="str">
        <f>AÑO!A8</f>
        <v>Manolo Salario</v>
      </c>
      <c r="J25" s="421" t="s">
        <v>321</v>
      </c>
      <c r="K25" s="422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8" t="str">
        <f>AÑO!A9</f>
        <v>Rocío Salario</v>
      </c>
      <c r="J30" s="421" t="s">
        <v>350</v>
      </c>
      <c r="K30" s="422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775</v>
      </c>
      <c r="D31" s="137"/>
      <c r="E31" s="138"/>
      <c r="F31" s="138"/>
      <c r="G31" s="16"/>
      <c r="H31" s="112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210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12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18" t="str">
        <f>AÑO!A12</f>
        <v>Regalos</v>
      </c>
      <c r="J45" s="421"/>
      <c r="K45" s="422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8" t="str">
        <f>AÑO!A13</f>
        <v>Gubernamental</v>
      </c>
      <c r="J50" s="421" t="s">
        <v>820</v>
      </c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8" t="str">
        <f>AÑO!A15</f>
        <v>Alquiler Cartama</v>
      </c>
      <c r="J60" s="421" t="s">
        <v>37</v>
      </c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3"/>
      <c r="J69" s="434"/>
      <c r="K69" s="435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199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645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787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796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50</v>
      </c>
      <c r="C146" s="19" t="s">
        <v>172</v>
      </c>
      <c r="D146" s="137" t="s">
        <v>858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854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1:8" ht="15" customHeight="1" thickBot="1">
      <c r="B243" s="410"/>
      <c r="C243" s="411"/>
      <c r="D243" s="411"/>
      <c r="E243" s="411"/>
      <c r="F243" s="411"/>
      <c r="G243" s="412"/>
      <c r="H243" s="1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322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329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855</v>
      </c>
      <c r="D257" s="137"/>
      <c r="E257" s="138"/>
      <c r="F257" s="138"/>
      <c r="G257" s="16" t="s">
        <v>325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1:9" ht="15" customHeight="1" thickBot="1">
      <c r="B263" s="410"/>
      <c r="C263" s="411"/>
      <c r="D263" s="411"/>
      <c r="E263" s="411"/>
      <c r="F263" s="411"/>
      <c r="G263" s="412"/>
      <c r="H263" s="112"/>
    </row>
    <row r="264" spans="1:9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1:8" ht="15" customHeight="1" thickBot="1">
      <c r="B283" s="410"/>
      <c r="C283" s="411"/>
      <c r="D283" s="411"/>
      <c r="E283" s="411"/>
      <c r="F283" s="411"/>
      <c r="G283" s="412"/>
      <c r="H283" s="112"/>
    </row>
    <row r="284" spans="1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856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1:8" ht="15" customHeight="1" thickBot="1">
      <c r="B303" s="410"/>
      <c r="C303" s="411"/>
      <c r="D303" s="411"/>
      <c r="E303" s="411"/>
      <c r="F303" s="411"/>
      <c r="G303" s="412"/>
      <c r="H303" s="112"/>
    </row>
    <row r="304" spans="1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224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Imprevistos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0</v>
      </c>
      <c r="C346" s="19" t="s">
        <v>194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NULO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849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177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162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195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239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244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251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239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 t="s">
        <v>281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157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233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234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237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238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248</v>
      </c>
      <c r="H50" s="1"/>
      <c r="I50" s="418" t="str">
        <f>AÑO!A13</f>
        <v>Gubernamental</v>
      </c>
      <c r="J50" s="421" t="s">
        <v>230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254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255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268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272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273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8" t="str">
        <f>AÑO!A15</f>
        <v>Alquiler Cartama</v>
      </c>
      <c r="J60" s="421" t="s">
        <v>240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245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257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259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264</v>
      </c>
      <c r="H69" s="1"/>
      <c r="I69" s="433"/>
      <c r="J69" s="434"/>
      <c r="K69" s="435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275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48.45</v>
      </c>
      <c r="E86" s="138"/>
      <c r="F86" s="138"/>
      <c r="G86" s="16" t="s">
        <v>252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279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199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234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157</v>
      </c>
      <c r="D173" s="137">
        <v>225.14</v>
      </c>
      <c r="E173" s="138"/>
      <c r="F173" s="138"/>
      <c r="G173" s="16" t="s">
        <v>241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</v>
      </c>
      <c r="E186" s="138"/>
      <c r="F186" s="138"/>
      <c r="G186" s="16" t="s">
        <v>247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273</v>
      </c>
    </row>
    <row r="247" spans="2:7" ht="15" customHeight="1">
      <c r="B247" s="134">
        <v>40</v>
      </c>
      <c r="C247" s="16" t="s">
        <v>283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242</v>
      </c>
    </row>
    <row r="267" spans="2:7">
      <c r="B267" s="134"/>
      <c r="C267" s="16"/>
      <c r="D267" s="137">
        <v>10.45</v>
      </c>
      <c r="E267" s="138"/>
      <c r="F267" s="138"/>
      <c r="G267" s="16" t="s">
        <v>246</v>
      </c>
    </row>
    <row r="268" spans="2:7">
      <c r="B268" s="134"/>
      <c r="C268" s="16"/>
      <c r="D268" s="137"/>
      <c r="E268" s="138">
        <v>57.96</v>
      </c>
      <c r="F268" s="138"/>
      <c r="G268" s="16" t="s">
        <v>270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256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269</v>
      </c>
    </row>
    <row r="308" spans="2:7">
      <c r="B308" s="134">
        <v>61.11</v>
      </c>
      <c r="C308" s="27" t="s">
        <v>282</v>
      </c>
      <c r="D308" s="137">
        <v>11.12</v>
      </c>
      <c r="E308" s="138"/>
      <c r="F308" s="138"/>
      <c r="G308" s="16" t="s">
        <v>274</v>
      </c>
    </row>
    <row r="309" spans="2:7">
      <c r="B309" s="134"/>
      <c r="C309" s="16"/>
      <c r="D309" s="137">
        <v>6</v>
      </c>
      <c r="E309" s="138"/>
      <c r="F309" s="138"/>
      <c r="G309" s="16" t="s">
        <v>273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243</v>
      </c>
    </row>
    <row r="347" spans="2:7">
      <c r="B347" s="134"/>
      <c r="C347" s="16"/>
      <c r="D347" s="137"/>
      <c r="E347" s="138"/>
      <c r="F347" s="138">
        <v>30</v>
      </c>
      <c r="G347" s="16" t="s">
        <v>265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250</v>
      </c>
    </row>
    <row r="368" spans="2:7">
      <c r="B368" s="134"/>
      <c r="C368" s="16"/>
      <c r="D368" s="137">
        <v>60</v>
      </c>
      <c r="E368" s="138"/>
      <c r="F368" s="138"/>
      <c r="G368" s="16" t="s">
        <v>258</v>
      </c>
    </row>
    <row r="369" spans="2:7">
      <c r="B369" s="134"/>
      <c r="C369" s="16"/>
      <c r="D369" s="137">
        <v>26.58</v>
      </c>
      <c r="E369" s="138"/>
      <c r="F369" s="138"/>
      <c r="G369" s="16" t="s">
        <v>262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231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278</v>
      </c>
    </row>
    <row r="426" spans="1:8" ht="15.75">
      <c r="A426" s="112">
        <v>3900</v>
      </c>
      <c r="B426" s="134">
        <f>A425-SUM(A426:A439)</f>
        <v>120.06999999999971</v>
      </c>
      <c r="C426" s="19" t="s">
        <v>225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-7198.9199999999992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181</v>
      </c>
      <c r="D467" s="137"/>
      <c r="E467" s="138">
        <v>500</v>
      </c>
      <c r="F467" s="138"/>
      <c r="G467" s="16" t="s">
        <v>235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162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249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284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227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251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301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285</v>
      </c>
      <c r="H46" s="1"/>
      <c r="I46" s="419"/>
      <c r="J46" s="423" t="s">
        <v>157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286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293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297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296</v>
      </c>
      <c r="H50" s="1"/>
      <c r="I50" s="418" t="str">
        <f>AÑO!A13</f>
        <v>Gubernamental</v>
      </c>
      <c r="J50" s="421" t="s">
        <v>230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303</v>
      </c>
      <c r="H51" s="1"/>
      <c r="I51" s="419"/>
      <c r="J51" s="423" t="s">
        <v>337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307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308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327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341</v>
      </c>
      <c r="H55" s="1"/>
      <c r="I55" s="418" t="str">
        <f>AÑO!A14</f>
        <v>Mutualite/DKV</v>
      </c>
      <c r="J55" s="436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288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287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295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299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309</v>
      </c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289</v>
      </c>
      <c r="H78" s="1" t="s">
        <v>157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312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787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294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306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300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304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319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329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290</v>
      </c>
    </row>
    <row r="267" spans="1:7">
      <c r="B267" s="134">
        <v>4021.94</v>
      </c>
      <c r="C267" s="16" t="s">
        <v>337</v>
      </c>
      <c r="D267" s="137"/>
      <c r="E267" s="138"/>
      <c r="F267" s="138">
        <v>15</v>
      </c>
      <c r="G267" s="16" t="s">
        <v>343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302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315</v>
      </c>
    </row>
    <row r="308" spans="2:7">
      <c r="B308" s="134">
        <f>L55</f>
        <v>9.44</v>
      </c>
      <c r="C308" s="27" t="s">
        <v>326</v>
      </c>
      <c r="D308" s="137">
        <v>8.27</v>
      </c>
      <c r="E308" s="138"/>
      <c r="F308" s="138"/>
      <c r="G308" s="16" t="s">
        <v>316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311</v>
      </c>
    </row>
    <row r="327" spans="2:7">
      <c r="B327" s="134">
        <v>100</v>
      </c>
      <c r="C327" s="16" t="s">
        <v>301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291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292</v>
      </c>
    </row>
    <row r="348" spans="2:7">
      <c r="B348" s="134"/>
      <c r="C348" s="16"/>
      <c r="D348" s="137">
        <v>16</v>
      </c>
      <c r="E348" s="138"/>
      <c r="F348" s="138"/>
      <c r="G348" s="16" t="s">
        <v>305</v>
      </c>
    </row>
    <row r="349" spans="2:7">
      <c r="B349" s="134"/>
      <c r="C349" s="16"/>
      <c r="D349" s="137">
        <v>10</v>
      </c>
      <c r="E349" s="138"/>
      <c r="F349" s="138"/>
      <c r="G349" s="16" t="s">
        <v>306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231</v>
      </c>
    </row>
    <row r="407" spans="2:7">
      <c r="B407" s="134">
        <v>-984.2</v>
      </c>
      <c r="C407" s="16" t="s">
        <v>332</v>
      </c>
      <c r="D407" s="137">
        <v>44.93</v>
      </c>
      <c r="E407" s="138"/>
      <c r="F407" s="138"/>
      <c r="G407" s="16" t="s">
        <v>331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225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333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339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162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26443.759999999998</v>
      </c>
      <c r="L19" s="438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284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350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251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344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364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 t="s">
        <v>58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365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349</v>
      </c>
      <c r="D48" s="137">
        <v>5.35</v>
      </c>
      <c r="E48" s="138"/>
      <c r="F48" s="138"/>
      <c r="G48" s="16" t="s">
        <v>376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381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384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353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6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39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368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384</v>
      </c>
      <c r="D67" s="137">
        <v>41</v>
      </c>
      <c r="E67" s="138"/>
      <c r="F67" s="138"/>
      <c r="G67" s="31" t="s">
        <v>378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362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379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374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375</v>
      </c>
      <c r="D109" s="137">
        <v>11</v>
      </c>
      <c r="E109" s="138"/>
      <c r="F109" s="138">
        <v>3</v>
      </c>
      <c r="G109" s="31" t="s">
        <v>380</v>
      </c>
      <c r="H109" s="1"/>
      <c r="M109" s="1"/>
      <c r="R109" s="3"/>
    </row>
    <row r="110" spans="1:18" ht="15.75">
      <c r="B110" s="134">
        <v>1370</v>
      </c>
      <c r="C110" s="18" t="s">
        <v>363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346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359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352</v>
      </c>
    </row>
    <row r="287" spans="2:8">
      <c r="B287" s="134"/>
      <c r="C287" s="16"/>
      <c r="D287" s="137">
        <v>9.65</v>
      </c>
      <c r="E287" s="138"/>
      <c r="F287" s="138"/>
      <c r="G287" s="16" t="s">
        <v>358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f>37.5+37.5</f>
        <v>75</v>
      </c>
      <c r="E306" s="138"/>
      <c r="F306" s="138"/>
      <c r="G306" s="16" t="s">
        <v>382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361</v>
      </c>
    </row>
    <row r="308" spans="2:7">
      <c r="B308" s="134">
        <f>L55+L56+L57</f>
        <v>37.980000000000004</v>
      </c>
      <c r="C308" s="27" t="s">
        <v>386</v>
      </c>
      <c r="D308" s="137"/>
      <c r="E308" s="138"/>
      <c r="F308" s="138">
        <v>50</v>
      </c>
      <c r="G308" s="16" t="s">
        <v>368</v>
      </c>
    </row>
    <row r="309" spans="2:7">
      <c r="B309" s="134"/>
      <c r="C309" s="16"/>
      <c r="D309" s="137">
        <v>63.9</v>
      </c>
      <c r="E309" s="138"/>
      <c r="F309" s="138"/>
      <c r="G309" s="16" t="s">
        <v>388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363</v>
      </c>
      <c r="D387" s="137"/>
      <c r="E387" s="138"/>
      <c r="F387" s="138"/>
      <c r="G387" s="16"/>
    </row>
    <row r="388" spans="2:7">
      <c r="B388" s="134">
        <v>106.26</v>
      </c>
      <c r="C388" s="27" t="s">
        <v>364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345</v>
      </c>
    </row>
    <row r="407" spans="2:7">
      <c r="B407" s="134">
        <v>3.75</v>
      </c>
      <c r="C407" s="16" t="s">
        <v>344</v>
      </c>
      <c r="D407" s="137"/>
      <c r="E407" s="138">
        <f>10+10</f>
        <v>20</v>
      </c>
      <c r="F407" s="138"/>
      <c r="G407" s="16" t="s">
        <v>369</v>
      </c>
    </row>
    <row r="408" spans="2:7">
      <c r="B408" s="134">
        <v>984.2</v>
      </c>
      <c r="C408" s="18" t="s">
        <v>363</v>
      </c>
      <c r="D408" s="137"/>
      <c r="E408" s="138"/>
      <c r="F408" s="138"/>
      <c r="G408" s="16"/>
    </row>
    <row r="409" spans="2:7">
      <c r="B409" s="134">
        <v>85.02</v>
      </c>
      <c r="C409" s="27" t="s">
        <v>364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225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363</v>
      </c>
      <c r="D469" s="137"/>
      <c r="E469" s="138"/>
      <c r="F469" s="138"/>
      <c r="G469" s="16"/>
    </row>
    <row r="470" spans="1:7">
      <c r="B470" s="134">
        <v>43.19</v>
      </c>
      <c r="C470" s="27" t="s">
        <v>364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162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27163.090000000004</v>
      </c>
      <c r="L19" s="438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350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284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251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392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391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394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377</v>
      </c>
      <c r="D48" s="137">
        <v>27.34</v>
      </c>
      <c r="E48" s="138"/>
      <c r="F48" s="138"/>
      <c r="G48" s="16" t="s">
        <v>400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408</v>
      </c>
      <c r="H50" s="1"/>
      <c r="I50" s="418" t="str">
        <f>AÑO!A13</f>
        <v>Gubernamental</v>
      </c>
      <c r="J50" s="421" t="s">
        <v>402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409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413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521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522</v>
      </c>
      <c r="H55" s="1"/>
      <c r="I55" s="418" t="str">
        <f>AÑO!A14</f>
        <v>Mutualite/DKV</v>
      </c>
      <c r="J55" s="421" t="s">
        <v>396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399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406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395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419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528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787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394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482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415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411</v>
      </c>
    </row>
    <row r="207" spans="2:12">
      <c r="B207" s="134">
        <v>15</v>
      </c>
      <c r="C207" s="16" t="s">
        <v>482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322</v>
      </c>
      <c r="D246" s="137">
        <v>15</v>
      </c>
      <c r="E246" s="138"/>
      <c r="F246" s="138"/>
      <c r="G246" s="16" t="s">
        <v>409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351</v>
      </c>
      <c r="D257" s="137"/>
      <c r="E257" s="138">
        <f>100.67</f>
        <v>100.67</v>
      </c>
      <c r="F257" s="138"/>
      <c r="G257" s="16" t="s">
        <v>526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404</v>
      </c>
    </row>
    <row r="287" spans="2:8">
      <c r="B287" s="134">
        <v>35</v>
      </c>
      <c r="C287" s="16" t="s">
        <v>527</v>
      </c>
      <c r="D287" s="137">
        <v>54.8</v>
      </c>
      <c r="E287" s="138"/>
      <c r="F287" s="138"/>
      <c r="G287" s="16" t="s">
        <v>529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v>4.4000000000000004</v>
      </c>
      <c r="E306" s="138"/>
      <c r="F306" s="138"/>
      <c r="G306" s="16" t="s">
        <v>389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396</v>
      </c>
    </row>
    <row r="308" spans="2:7">
      <c r="B308" s="134">
        <v>17.45</v>
      </c>
      <c r="C308" s="27" t="s">
        <v>405</v>
      </c>
      <c r="D308" s="137">
        <f>51.89+44.67</f>
        <v>96.56</v>
      </c>
      <c r="E308" s="138"/>
      <c r="F308" s="138"/>
      <c r="G308" s="16" t="s">
        <v>520</v>
      </c>
    </row>
    <row r="309" spans="2:7">
      <c r="B309" s="134">
        <v>170</v>
      </c>
      <c r="C309" s="16" t="s">
        <v>482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548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393</v>
      </c>
    </row>
    <row r="407" spans="2:7">
      <c r="B407" s="134">
        <v>45.86</v>
      </c>
      <c r="C407" s="16" t="s">
        <v>392</v>
      </c>
      <c r="D407" s="137"/>
      <c r="E407" s="138"/>
      <c r="F407" s="138"/>
      <c r="G407" s="16"/>
    </row>
    <row r="408" spans="2:7">
      <c r="B408" s="134">
        <v>-1094.26</v>
      </c>
      <c r="C408" s="16" t="s">
        <v>332</v>
      </c>
      <c r="D408" s="137">
        <v>44.48</v>
      </c>
      <c r="E408" s="138"/>
      <c r="F408" s="138"/>
      <c r="G408" s="16" t="s">
        <v>418</v>
      </c>
    </row>
    <row r="409" spans="2:7">
      <c r="B409" s="134">
        <f>29.29+20</f>
        <v>49.29</v>
      </c>
      <c r="C409" s="16" t="s">
        <v>482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225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333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M5+2156.93</f>
        <v>1614.1099999999997</v>
      </c>
      <c r="L5" s="430"/>
      <c r="M5" s="1">
        <f>-542.82</f>
        <v>-542.82000000000005</v>
      </c>
      <c r="N5" s="1" t="s">
        <v>525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162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29014.079999999998</v>
      </c>
      <c r="L19" s="438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540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350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251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 t="s">
        <v>281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157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532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544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533</v>
      </c>
      <c r="D48" s="137">
        <v>27.2</v>
      </c>
      <c r="E48" s="138"/>
      <c r="F48" s="138"/>
      <c r="G48" s="16" t="s">
        <v>557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558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562</v>
      </c>
      <c r="H50" s="1"/>
      <c r="I50" s="418" t="str">
        <f>AÑO!A13</f>
        <v>Gubernamental</v>
      </c>
      <c r="J50" s="421" t="s">
        <v>553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569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571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577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582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586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541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554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542</v>
      </c>
      <c r="D67" s="137">
        <v>36.049999999999997</v>
      </c>
      <c r="E67" s="138"/>
      <c r="F67" s="138"/>
      <c r="G67" s="31" t="s">
        <v>565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566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568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572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573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536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538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555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556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576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578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579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585</v>
      </c>
      <c r="H146" s="1"/>
      <c r="M146" s="1"/>
      <c r="R146" s="3"/>
    </row>
    <row r="147" spans="1:22" ht="15.75">
      <c r="A147" s="1"/>
      <c r="B147" s="134">
        <v>-60</v>
      </c>
      <c r="C147" s="16" t="s">
        <v>534</v>
      </c>
      <c r="D147" s="137"/>
      <c r="E147" s="138"/>
      <c r="F147" s="138"/>
      <c r="G147" s="16" t="s">
        <v>535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567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569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570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587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322</v>
      </c>
      <c r="D246" s="137"/>
      <c r="E246" s="138">
        <v>21.08</v>
      </c>
      <c r="F246" s="138"/>
      <c r="G246" s="16" t="s">
        <v>561</v>
      </c>
    </row>
    <row r="247" spans="1:7" ht="15" customHeight="1">
      <c r="A247" s="112"/>
      <c r="B247" s="134">
        <f>-10</f>
        <v>-10</v>
      </c>
      <c r="C247" s="16" t="s">
        <v>589</v>
      </c>
      <c r="D247" s="137">
        <v>12.99</v>
      </c>
      <c r="E247" s="138"/>
      <c r="F247" s="138"/>
      <c r="G247" s="16" t="s">
        <v>569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351</v>
      </c>
      <c r="D257" s="137"/>
      <c r="E257" s="138">
        <v>100.67</v>
      </c>
      <c r="F257" s="138"/>
      <c r="G257" s="16" t="s">
        <v>325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546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575</v>
      </c>
      <c r="H267" s="89" t="s">
        <v>574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581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549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560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530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539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551</v>
      </c>
    </row>
    <row r="308" spans="2:7">
      <c r="B308" s="134"/>
      <c r="C308" s="27"/>
      <c r="D308" s="137"/>
      <c r="E308" s="138"/>
      <c r="F308" s="138">
        <v>50</v>
      </c>
      <c r="G308" s="16" t="s">
        <v>552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531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543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564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582</v>
      </c>
    </row>
    <row r="369" spans="2:7">
      <c r="B369" s="134"/>
      <c r="C369" s="16"/>
      <c r="D369" s="137">
        <v>11</v>
      </c>
      <c r="E369" s="138"/>
      <c r="F369" s="138"/>
      <c r="G369" s="16" t="s">
        <v>583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225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537</v>
      </c>
      <c r="D469" s="137"/>
      <c r="E469" s="138"/>
      <c r="F469" s="138"/>
      <c r="G469" s="16" t="s">
        <v>232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162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29282.959999999999</v>
      </c>
      <c r="L19" s="438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350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540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601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588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58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593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599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533</v>
      </c>
      <c r="D48" s="137">
        <v>8.1</v>
      </c>
      <c r="E48" s="138"/>
      <c r="F48" s="138"/>
      <c r="G48" s="16" t="s">
        <v>618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596</v>
      </c>
      <c r="D49" s="137">
        <v>2.5499999999999998</v>
      </c>
      <c r="E49" s="138"/>
      <c r="F49" s="138"/>
      <c r="G49" s="16" t="s">
        <v>627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623</v>
      </c>
      <c r="D50" s="137">
        <v>69.97</v>
      </c>
      <c r="E50" s="138"/>
      <c r="F50" s="138"/>
      <c r="G50" s="16" t="s">
        <v>638</v>
      </c>
      <c r="H50" s="1"/>
      <c r="I50" s="418" t="str">
        <f>AÑO!A13</f>
        <v>Gubernamental</v>
      </c>
      <c r="J50" s="421" t="s">
        <v>553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641</v>
      </c>
      <c r="D51" s="137">
        <v>5.29</v>
      </c>
      <c r="E51" s="138"/>
      <c r="F51" s="138"/>
      <c r="G51" s="16" t="s">
        <v>640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602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602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602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617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594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603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624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637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626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646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598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600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599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628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639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593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322</v>
      </c>
      <c r="D246" s="137">
        <v>33.729999999999997</v>
      </c>
      <c r="E246" s="138"/>
      <c r="F246" s="138"/>
      <c r="G246" s="16" t="s">
        <v>636</v>
      </c>
    </row>
    <row r="247" spans="1:7" ht="15" customHeight="1">
      <c r="A247" s="112"/>
      <c r="B247" s="134">
        <v>-5</v>
      </c>
      <c r="C247" s="16" t="s">
        <v>623</v>
      </c>
      <c r="D247" s="137">
        <v>20</v>
      </c>
      <c r="E247" s="138"/>
      <c r="F247" s="138"/>
      <c r="G247" s="16" t="s">
        <v>638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621</v>
      </c>
      <c r="D257" s="137"/>
      <c r="E257" s="138">
        <v>100.67</v>
      </c>
      <c r="F257" s="138"/>
      <c r="G257" s="16" t="s">
        <v>647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630</v>
      </c>
      <c r="D258" s="137">
        <v>349</v>
      </c>
      <c r="E258" s="138"/>
      <c r="F258" s="138"/>
      <c r="G258" s="16" t="s">
        <v>597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599</v>
      </c>
    </row>
    <row r="287" spans="2:8">
      <c r="B287" s="134"/>
      <c r="C287" s="16"/>
      <c r="D287" s="137"/>
      <c r="E287" s="138"/>
      <c r="F287" s="138">
        <v>50</v>
      </c>
      <c r="G287" s="16" t="s">
        <v>608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609</v>
      </c>
    </row>
    <row r="289" spans="2:8">
      <c r="B289" s="134"/>
      <c r="C289" s="16"/>
      <c r="D289" s="137">
        <v>26.31</v>
      </c>
      <c r="E289" s="138"/>
      <c r="F289" s="138"/>
      <c r="G289" s="16" t="s">
        <v>611</v>
      </c>
    </row>
    <row r="290" spans="2:8">
      <c r="B290" s="134"/>
      <c r="C290" s="16"/>
      <c r="D290" s="137"/>
      <c r="E290" s="138">
        <v>31.95</v>
      </c>
      <c r="F290" s="138"/>
      <c r="G290" s="16" t="s">
        <v>629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590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592</v>
      </c>
    </row>
    <row r="308" spans="2:7">
      <c r="B308" s="134">
        <f>37.49+14.27+14.27</f>
        <v>66.03</v>
      </c>
      <c r="C308" s="27" t="s">
        <v>602</v>
      </c>
      <c r="D308" s="137">
        <f>37.5+37.5</f>
        <v>75</v>
      </c>
      <c r="E308" s="138"/>
      <c r="F308" s="138"/>
      <c r="G308" s="16" t="s">
        <v>619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616</v>
      </c>
    </row>
    <row r="327" spans="2:7">
      <c r="B327" s="134">
        <v>100</v>
      </c>
      <c r="C327" s="16" t="s">
        <v>607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633</v>
      </c>
      <c r="D358" s="137">
        <v>64.3</v>
      </c>
      <c r="E358" s="138"/>
      <c r="F358" s="138"/>
      <c r="G358" s="16" t="s">
        <v>631</v>
      </c>
    </row>
    <row r="359" spans="1:7" ht="16.5" thickBot="1">
      <c r="A359" s="112"/>
      <c r="B359" s="135">
        <f>12.64+6.66</f>
        <v>19.3</v>
      </c>
      <c r="C359" s="17" t="s">
        <v>641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595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591</v>
      </c>
    </row>
    <row r="407" spans="2:7">
      <c r="B407" s="134">
        <v>1</v>
      </c>
      <c r="C407" s="16" t="s">
        <v>588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225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649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162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320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153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249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29166.850000000002</v>
      </c>
      <c r="L19" s="438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321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251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210</v>
      </c>
      <c r="J35" s="421" t="s">
        <v>317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18" t="str">
        <f>AÑO!A12</f>
        <v>Regalos</v>
      </c>
      <c r="J45" s="421" t="s">
        <v>688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656</v>
      </c>
      <c r="H46" s="1"/>
      <c r="I46" s="419"/>
      <c r="J46" s="423" t="s">
        <v>689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634</v>
      </c>
      <c r="D48" s="137">
        <v>22.34</v>
      </c>
      <c r="E48" s="138"/>
      <c r="F48" s="138"/>
      <c r="G48" s="16" t="s">
        <v>657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641</v>
      </c>
      <c r="D49" s="137">
        <v>49.31</v>
      </c>
      <c r="E49" s="138"/>
      <c r="F49" s="138"/>
      <c r="G49" s="16" t="s">
        <v>663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670</v>
      </c>
      <c r="H50" s="1"/>
      <c r="I50" s="418" t="str">
        <f>AÑO!A13</f>
        <v>Gubernamental</v>
      </c>
      <c r="J50" s="421" t="s">
        <v>553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671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0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1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661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641</v>
      </c>
      <c r="D68" s="137">
        <v>19.5</v>
      </c>
      <c r="E68" s="138"/>
      <c r="F68" s="138">
        <v>5.5</v>
      </c>
      <c r="G68" s="16" t="s">
        <v>667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668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680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659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660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673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787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693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605</v>
      </c>
    </row>
    <row r="207" spans="2:12">
      <c r="B207" s="134"/>
      <c r="C207" s="16"/>
      <c r="D207" s="137">
        <v>23</v>
      </c>
      <c r="E207" s="138"/>
      <c r="F207" s="138"/>
      <c r="G207" s="16" t="s">
        <v>674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322</v>
      </c>
      <c r="D246" s="137">
        <f>55.4-D327</f>
        <v>45.4</v>
      </c>
      <c r="E246" s="138"/>
      <c r="F246" s="138"/>
      <c r="G246" s="16" t="s">
        <v>654</v>
      </c>
    </row>
    <row r="247" spans="1:7" ht="15" customHeight="1">
      <c r="A247" s="112"/>
      <c r="B247" s="134">
        <v>12.12</v>
      </c>
      <c r="C247" s="16" t="s">
        <v>641</v>
      </c>
      <c r="D247" s="137">
        <v>16.52</v>
      </c>
      <c r="E247" s="138"/>
      <c r="F247" s="138"/>
      <c r="G247" s="16" t="s">
        <v>669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329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622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650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26.369999999999742</v>
      </c>
      <c r="B286" s="133">
        <v>70</v>
      </c>
      <c r="C286" s="19" t="s">
        <v>31</v>
      </c>
      <c r="D286" s="137"/>
      <c r="E286" s="138"/>
      <c r="F286" s="138"/>
      <c r="G286" s="16" t="s">
        <v>604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681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678</v>
      </c>
      <c r="D299" s="135"/>
      <c r="E299" s="139"/>
      <c r="F299" s="139"/>
      <c r="G299" s="17"/>
    </row>
    <row r="300" spans="1:8" ht="16.5" thickBot="1">
      <c r="A300" s="112">
        <f>SUM(A286:A299)</f>
        <v>46.369999999999742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635</v>
      </c>
      <c r="D306" s="137">
        <v>35.96</v>
      </c>
      <c r="E306" s="138"/>
      <c r="F306" s="138"/>
      <c r="G306" s="16" t="s">
        <v>664</v>
      </c>
    </row>
    <row r="307" spans="2:7">
      <c r="B307" s="134">
        <v>13.15</v>
      </c>
      <c r="C307" s="27" t="s">
        <v>672</v>
      </c>
      <c r="D307" s="137"/>
      <c r="E307" s="138"/>
      <c r="F307" s="138">
        <v>70</v>
      </c>
      <c r="G307" s="16" t="s">
        <v>666</v>
      </c>
    </row>
    <row r="308" spans="2:7">
      <c r="B308" s="134">
        <v>14.27</v>
      </c>
      <c r="C308" s="27" t="s">
        <v>684</v>
      </c>
      <c r="D308" s="137">
        <v>8.68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652</v>
      </c>
    </row>
    <row r="327" spans="2:7">
      <c r="B327" s="134">
        <v>192.98</v>
      </c>
      <c r="C327" s="16" t="s">
        <v>691</v>
      </c>
      <c r="D327" s="137">
        <v>10</v>
      </c>
      <c r="E327" s="138"/>
      <c r="F327" s="138"/>
      <c r="G327" s="16" t="s">
        <v>654</v>
      </c>
    </row>
    <row r="328" spans="2:7">
      <c r="B328" s="134"/>
      <c r="C328" s="16"/>
      <c r="D328" s="137">
        <v>187.13</v>
      </c>
      <c r="E328" s="138"/>
      <c r="F328" s="138"/>
      <c r="G328" s="16" t="s">
        <v>658</v>
      </c>
    </row>
    <row r="329" spans="2:7">
      <c r="B329" s="134"/>
      <c r="C329" s="16"/>
      <c r="D329" s="137">
        <v>32.14</v>
      </c>
      <c r="E329" s="138"/>
      <c r="F329" s="138"/>
      <c r="G329" s="16" t="s">
        <v>682</v>
      </c>
    </row>
    <row r="330" spans="2:7">
      <c r="B330" s="134"/>
      <c r="C330" s="16"/>
      <c r="D330" s="137">
        <v>7.49</v>
      </c>
      <c r="E330" s="138"/>
      <c r="F330" s="138"/>
      <c r="G330" s="16" t="s">
        <v>683</v>
      </c>
    </row>
    <row r="331" spans="2:7">
      <c r="B331" s="134"/>
      <c r="C331" s="16"/>
      <c r="D331" s="137"/>
      <c r="E331" s="138">
        <v>192.98</v>
      </c>
      <c r="F331" s="138"/>
      <c r="G331" s="16" t="s">
        <v>686</v>
      </c>
    </row>
    <row r="332" spans="2:7">
      <c r="B332" s="134"/>
      <c r="C332" s="16"/>
      <c r="D332" s="137"/>
      <c r="E332" s="138">
        <v>96.65</v>
      </c>
      <c r="F332" s="138"/>
      <c r="G332" s="16" t="s">
        <v>687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645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644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225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271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373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642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641</v>
      </c>
      <c r="D506" s="137">
        <v>23.43</v>
      </c>
      <c r="E506" s="138"/>
      <c r="F506" s="138"/>
      <c r="G506" s="16" t="s">
        <v>665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2019-12-18T13:14:30Z</dcterms:modified>
</cp:coreProperties>
</file>