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60F47E44-4204-464F-84D7-314FF669BF9E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26" i="12" l="1"/>
  <c r="B426" i="13"/>
  <c r="F366" i="11" l="1"/>
  <c r="B4" i="14"/>
  <c r="AM15" i="1" l="1"/>
  <c r="D100" i="11" l="1"/>
  <c r="BB17" i="1"/>
  <c r="D46" i="11" l="1"/>
  <c r="J24" i="15" l="1"/>
  <c r="AW50" i="1"/>
  <c r="B422" i="11"/>
  <c r="K7" i="11"/>
  <c r="AI10" i="1"/>
  <c r="O5" i="11"/>
  <c r="F366" i="10" l="1"/>
  <c r="A7" i="11"/>
  <c r="A8" i="11"/>
  <c r="A9" i="11"/>
  <c r="A10" i="11"/>
  <c r="A11" i="11"/>
  <c r="A12" i="11"/>
  <c r="A13" i="11"/>
  <c r="A6" i="11"/>
  <c r="A11" i="10"/>
  <c r="A7" i="10"/>
  <c r="A10" i="10"/>
  <c r="A13" i="10"/>
  <c r="A12" i="10"/>
  <c r="A9" i="10"/>
  <c r="A6" i="10"/>
  <c r="A7" i="9"/>
  <c r="A8" i="9"/>
  <c r="A9" i="9"/>
  <c r="A10" i="9"/>
  <c r="A11" i="9"/>
  <c r="A12" i="9"/>
  <c r="A13" i="9"/>
  <c r="A14" i="9"/>
  <c r="A15" i="9"/>
  <c r="A16" i="9"/>
  <c r="A6" i="9"/>
  <c r="A16" i="8"/>
  <c r="A12" i="8"/>
  <c r="A13" i="5"/>
  <c r="A7" i="2"/>
  <c r="A14" i="2"/>
  <c r="A15" i="2"/>
  <c r="A16" i="2"/>
  <c r="A9" i="2"/>
  <c r="A10" i="2"/>
  <c r="A11" i="2"/>
  <c r="A12" i="2"/>
  <c r="A6" i="2"/>
  <c r="A13" i="2"/>
  <c r="E6" i="10"/>
  <c r="D226" i="10"/>
  <c r="A20" i="10" l="1"/>
  <c r="A22" i="10" s="1"/>
  <c r="A20" i="9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D51" i="10" l="1"/>
  <c r="A120" i="10" l="1"/>
  <c r="A108" i="12"/>
  <c r="A108" i="13" s="1"/>
  <c r="A109" i="11"/>
  <c r="A109" i="12" s="1"/>
  <c r="A109" i="13" s="1"/>
  <c r="H63" i="17" s="1"/>
  <c r="I63" i="17" s="1"/>
  <c r="A108" i="10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1"/>
  <c r="A30" i="12" s="1"/>
  <c r="A30" i="13" s="1"/>
  <c r="A30" i="10"/>
  <c r="A28" i="10"/>
  <c r="A28" i="11"/>
  <c r="A28" i="12" s="1"/>
  <c r="A28" i="13" s="1"/>
  <c r="A29" i="11"/>
  <c r="A29" i="12" s="1"/>
  <c r="A29" i="13" s="1"/>
  <c r="A26" i="11"/>
  <c r="A26" i="12" s="1"/>
  <c r="A26" i="13" s="1"/>
  <c r="A29" i="10"/>
  <c r="A27" i="10"/>
  <c r="A27" i="11" s="1"/>
  <c r="A27" i="12" s="1"/>
  <c r="A27" i="13" s="1"/>
  <c r="A8" i="12"/>
  <c r="A8" i="13" s="1"/>
  <c r="A9" i="12"/>
  <c r="A9" i="13" s="1"/>
  <c r="A13" i="12"/>
  <c r="A13" i="13" s="1"/>
  <c r="A12" i="12"/>
  <c r="A12" i="13" s="1"/>
  <c r="A40" i="13" l="1"/>
  <c r="A466" i="12"/>
  <c r="A466" i="13" s="1"/>
  <c r="A106" i="12"/>
  <c r="A106" i="13" s="1"/>
  <c r="A120" i="13" s="1"/>
  <c r="A120" i="11"/>
  <c r="A40" i="11"/>
  <c r="A40" i="12"/>
  <c r="A40" i="10"/>
  <c r="A468" i="12"/>
  <c r="A468" i="13" s="1"/>
  <c r="A467" i="12"/>
  <c r="A467" i="13" s="1"/>
  <c r="A120" i="12" l="1"/>
  <c r="A480" i="13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J23" i="15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I21" i="1" l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30" i="1"/>
  <c r="BL30" i="1" s="1"/>
  <c r="BI38" i="1"/>
  <c r="BL38" i="1" s="1"/>
  <c r="BI32" i="1"/>
  <c r="BL32" i="1" s="1"/>
  <c r="BI26" i="1"/>
  <c r="BL26" i="1" s="1"/>
  <c r="BI28" i="1"/>
  <c r="BL28" i="1" s="1"/>
  <c r="BI31" i="1"/>
  <c r="BL31" i="1" s="1"/>
  <c r="BI39" i="1"/>
  <c r="BL39" i="1" s="1"/>
  <c r="BI36" i="1"/>
  <c r="BL36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s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BI22" i="1" s="1"/>
  <c r="BL22" i="1" s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B440" i="13" l="1"/>
  <c r="AV41" i="1" s="1"/>
  <c r="AV46" i="1" s="1"/>
  <c r="AV47" i="1" s="1"/>
  <c r="B440" i="12"/>
  <c r="AR41" i="1" s="1"/>
  <c r="B426" i="11"/>
  <c r="B440" i="11" s="1"/>
  <c r="AN41" i="1" s="1"/>
  <c r="A65" i="15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BI41" i="1" s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BI23" i="1" s="1"/>
  <c r="BL23" i="1" s="1"/>
  <c r="AK23" i="1"/>
  <c r="AK22" i="1"/>
  <c r="AK50" i="1" s="1"/>
  <c r="AJ22" i="1"/>
  <c r="AJ21" i="1"/>
  <c r="AK20" i="1"/>
  <c r="AJ20" i="1"/>
  <c r="AJ24" i="1"/>
  <c r="BI24" i="1" s="1"/>
  <c r="BL24" i="1" s="1"/>
  <c r="AJ25" i="1"/>
  <c r="AJ27" i="1"/>
  <c r="AJ28" i="1"/>
  <c r="AJ29" i="1"/>
  <c r="AJ30" i="1"/>
  <c r="AJ31" i="1"/>
  <c r="AK32" i="1"/>
  <c r="AJ33" i="1"/>
  <c r="AJ34" i="1"/>
  <c r="BI34" i="1" s="1"/>
  <c r="BL34" i="1" s="1"/>
  <c r="AK35" i="1"/>
  <c r="AK36" i="1"/>
  <c r="AJ37" i="1"/>
  <c r="AJ38" i="1"/>
  <c r="AK39" i="1"/>
  <c r="AJ40" i="1"/>
  <c r="AK41" i="1"/>
  <c r="AJ44" i="1"/>
  <c r="AK44" i="1"/>
  <c r="AJ45" i="1"/>
  <c r="AK45" i="1"/>
  <c r="BL41" i="1" l="1"/>
  <c r="A67" i="15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BI20" i="1" s="1"/>
  <c r="BL20" i="1" l="1"/>
  <c r="BL46" i="1" s="1"/>
  <c r="BI46" i="1"/>
  <c r="I70" i="15"/>
  <c r="A71" i="15"/>
  <c r="AG28" i="1"/>
  <c r="AG22" i="1"/>
  <c r="AG50" i="1" s="1"/>
  <c r="AG43" i="1"/>
  <c r="AG31" i="1"/>
  <c r="AG34" i="1"/>
  <c r="AG32" i="1"/>
  <c r="AG21" i="1"/>
  <c r="BJ39" i="1" l="1"/>
  <c r="BJ42" i="1"/>
  <c r="BJ24" i="1"/>
  <c r="BJ29" i="1"/>
  <c r="BJ28" i="1"/>
  <c r="BJ36" i="1"/>
  <c r="BJ44" i="1"/>
  <c r="BJ41" i="1"/>
  <c r="BJ33" i="1"/>
  <c r="BJ23" i="1"/>
  <c r="BJ26" i="1"/>
  <c r="BJ27" i="1"/>
  <c r="BJ25" i="1"/>
  <c r="BJ43" i="1"/>
  <c r="BJ40" i="1"/>
  <c r="BJ22" i="1"/>
  <c r="BJ30" i="1"/>
  <c r="BJ37" i="1"/>
  <c r="BJ31" i="1"/>
  <c r="BJ21" i="1"/>
  <c r="BJ45" i="1"/>
  <c r="BJ38" i="1"/>
  <c r="BJ34" i="1"/>
  <c r="BJ32" i="1"/>
  <c r="BJ35" i="1"/>
  <c r="BJ20" i="1"/>
  <c r="I71" i="15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BK25" i="1" l="1"/>
  <c r="BK31" i="1"/>
  <c r="BK32" i="1"/>
  <c r="BK22" i="1"/>
  <c r="BK41" i="1"/>
  <c r="BK45" i="1"/>
  <c r="BK34" i="1"/>
  <c r="BK40" i="1"/>
  <c r="BK44" i="1"/>
  <c r="BK38" i="1"/>
  <c r="BK43" i="1"/>
  <c r="BK36" i="1"/>
  <c r="BK28" i="1"/>
  <c r="BK21" i="1"/>
  <c r="BK27" i="1"/>
  <c r="BK29" i="1"/>
  <c r="BK24" i="1"/>
  <c r="BK26" i="1"/>
  <c r="BK20" i="1"/>
  <c r="BK37" i="1"/>
  <c r="BK23" i="1"/>
  <c r="BK42" i="1"/>
  <c r="BK35" i="1"/>
  <c r="BK30" i="1"/>
  <c r="BK33" i="1"/>
  <c r="BK39" i="1"/>
  <c r="I72" i="15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7" i="12" l="1"/>
  <c r="A7" i="13" s="1"/>
  <c r="A10" i="12"/>
  <c r="A10" i="13" s="1"/>
  <c r="A11" i="12"/>
  <c r="A11" i="13" s="1"/>
  <c r="A6" i="12" l="1"/>
  <c r="A20" i="11"/>
  <c r="A20" i="12" l="1"/>
  <c r="A6" i="13"/>
  <c r="A20" i="13" s="1"/>
  <c r="A13" i="3" l="1"/>
  <c r="A13" i="4"/>
  <c r="A13" i="6" s="1"/>
  <c r="A13" i="7" s="1"/>
  <c r="A13" i="8" s="1"/>
  <c r="A6" i="3"/>
  <c r="A6" i="4" l="1"/>
  <c r="A6" i="5" l="1"/>
  <c r="A6" i="6" l="1"/>
  <c r="A6" i="7" l="1"/>
  <c r="A6" i="8" l="1"/>
  <c r="A8" i="3"/>
  <c r="A8" i="4" s="1"/>
  <c r="A8" i="5" s="1"/>
  <c r="A8" i="6" s="1"/>
  <c r="A8" i="7" s="1"/>
  <c r="A8" i="8" s="1"/>
  <c r="A11" i="3"/>
  <c r="A11" i="4"/>
  <c r="A11" i="5" s="1"/>
  <c r="A11" i="6" s="1"/>
  <c r="A11" i="7" s="1"/>
  <c r="A11" i="8" s="1"/>
  <c r="A9" i="3"/>
  <c r="A9" i="4" s="1"/>
  <c r="A9" i="5" s="1"/>
  <c r="A9" i="6" s="1"/>
  <c r="A9" i="7" s="1"/>
  <c r="A9" i="8" s="1"/>
  <c r="A12" i="3"/>
  <c r="A12" i="4"/>
  <c r="A12" i="5"/>
  <c r="A12" i="6"/>
  <c r="A12" i="7"/>
  <c r="A10" i="3"/>
  <c r="A10" i="4"/>
  <c r="A10" i="5"/>
  <c r="A10" i="6"/>
  <c r="A10" i="7" s="1"/>
  <c r="A10" i="8" s="1"/>
  <c r="A7" i="3"/>
  <c r="A7" i="4" s="1"/>
  <c r="A7" i="5" l="1"/>
  <c r="A7" i="6" l="1"/>
  <c r="A7" i="7" l="1"/>
  <c r="A7" i="8" l="1"/>
  <c r="A16" i="4"/>
  <c r="A16" i="5" s="1"/>
  <c r="A16" i="6" s="1"/>
  <c r="A16" i="7" s="1"/>
  <c r="A16" i="3"/>
  <c r="A15" i="3"/>
  <c r="A15" i="4" s="1"/>
  <c r="A15" i="5" s="1"/>
  <c r="A15" i="6" s="1"/>
  <c r="A15" i="7" s="1"/>
  <c r="A15" i="8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A20" i="8" s="1"/>
</calcChain>
</file>

<file path=xl/sharedStrings.xml><?xml version="1.0" encoding="utf-8"?>
<sst xmlns="http://schemas.openxmlformats.org/spreadsheetml/2006/main" count="5324" uniqueCount="681">
  <si>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</si>
  <si>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</si>
  <si>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</si>
  <si>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</si>
  <si>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</si>
  <si>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</si>
  <si>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</si>
  <si>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</si>
  <si>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</si>
  <si>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</si>
  <si>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</si>
  <si>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</si>
  <si>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</si>
  <si>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</si>
  <si>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</si>
  <si>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</si>
  <si>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</si>
  <si>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</si>
  <si>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</si>
  <si>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</si>
  <si>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</si>
  <si>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</si>
  <si>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</si>
  <si>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</si>
  <si>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</si>
  <si>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</si>
  <si>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</si>
  <si>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</si>
  <si>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</si>
  <si>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</si>
  <si>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</si>
  <si>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</si>
  <si>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</si>
  <si>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</si>
  <si>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</si>
  <si>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</si>
  <si>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</si>
  <si>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</si>
  <si>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</si>
  <si>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</si>
  <si>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</si>
  <si>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</si>
  <si>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</si>
  <si>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</si>
  <si>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</si>
  <si>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</si>
  <si>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</si>
  <si>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</si>
  <si>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</si>
  <si>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</si>
  <si>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</si>
  <si>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</si>
  <si>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</si>
  <si>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</si>
  <si>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</si>
  <si>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</si>
  <si>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</si>
  <si>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</si>
  <si>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</si>
  <si>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</si>
  <si>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</si>
  <si>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</si>
  <si>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</si>
  <si>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</si>
  <si>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</si>
  <si>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</si>
  <si>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</si>
  <si>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</si>
  <si>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</si>
  <si>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</si>
  <si>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</si>
  <si>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</si>
  <si>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</si>
  <si>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</si>
  <si>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</si>
  <si>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</si>
  <si>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</si>
  <si>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</si>
  <si>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</si>
  <si>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</si>
  <si>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</si>
  <si>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</si>
  <si>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</si>
  <si>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</si>
  <si>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</si>
  <si>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</si>
  <si>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</si>
  <si>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</si>
  <si>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</si>
  <si>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</si>
  <si>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</si>
  <si>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</si>
  <si>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</si>
  <si>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</si>
  <si>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</si>
  <si>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</si>
  <si>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</si>
  <si>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</si>
  <si>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</si>
  <si>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</si>
  <si>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</si>
  <si>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</si>
  <si>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</si>
  <si>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</si>
  <si>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</si>
  <si>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</si>
  <si>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</si>
  <si>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</si>
  <si>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</si>
  <si>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</si>
  <si>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</si>
  <si>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</si>
  <si>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</si>
  <si>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</si>
  <si>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</si>
  <si>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</si>
  <si>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</si>
  <si>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</si>
  <si>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</si>
  <si>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</si>
  <si>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</si>
  <si>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</si>
  <si>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</si>
  <si>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</si>
  <si>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</si>
  <si>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</si>
  <si>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</si>
  <si>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</si>
  <si>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</si>
  <si>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</si>
  <si>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</si>
  <si>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</si>
  <si>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</si>
  <si>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</si>
  <si>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</si>
  <si>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</si>
  <si>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</si>
  <si>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</si>
  <si>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</si>
  <si>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</si>
  <si>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</si>
  <si>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</si>
  <si>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</si>
  <si>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</si>
  <si>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</si>
  <si>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</si>
  <si>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</si>
  <si>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</si>
  <si>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</si>
  <si>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</si>
  <si>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</si>
  <si>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</si>
  <si>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</si>
  <si>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</si>
  <si>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</si>
  <si>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</si>
  <si>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</si>
  <si>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</si>
  <si>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</si>
  <si>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</si>
  <si>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</si>
  <si>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</si>
  <si>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</si>
  <si>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</si>
  <si>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</si>
  <si>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</si>
  <si>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</si>
  <si>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</si>
  <si>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</si>
  <si>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</si>
  <si>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</si>
  <si>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</si>
  <si>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</si>
  <si>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</si>
  <si>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</si>
  <si>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</si>
  <si>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</si>
  <si>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</si>
  <si>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</si>
  <si>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</si>
  <si>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</si>
  <si>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</si>
  <si>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</si>
  <si>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</si>
  <si>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</si>
  <si>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</si>
  <si>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</si>
  <si>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</si>
  <si>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</si>
  <si>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</si>
  <si>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</si>
  <si>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</si>
  <si>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</si>
  <si>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</si>
  <si>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</si>
  <si>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</si>
  <si>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</si>
  <si>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</si>
  <si>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</si>
  <si>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</si>
  <si>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</si>
  <si>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</si>
  <si>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</si>
  <si>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</si>
  <si>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</si>
  <si>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</si>
  <si>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</si>
  <si>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</si>
  <si>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</si>
  <si>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</si>
  <si>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</si>
  <si>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</si>
  <si>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</si>
  <si>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</si>
  <si>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</si>
  <si>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</si>
  <si>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</si>
  <si>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</si>
  <si>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</si>
  <si>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</si>
  <si>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</si>
  <si>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</si>
  <si>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</si>
  <si>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</si>
  <si>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</si>
  <si>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</si>
  <si>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</si>
  <si>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</si>
  <si>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</si>
  <si>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</si>
  <si>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</si>
  <si>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</si>
  <si>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</si>
  <si>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</si>
  <si>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</si>
  <si>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</si>
  <si>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</si>
  <si>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</si>
  <si>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</si>
  <si>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</si>
  <si>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</si>
  <si>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</si>
  <si>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</si>
  <si>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</si>
  <si>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</si>
  <si>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</si>
  <si>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</si>
  <si>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</si>
  <si>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</si>
  <si>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</si>
  <si>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</si>
  <si>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</si>
  <si>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</si>
  <si>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</si>
  <si>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</si>
  <si>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</si>
  <si>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</si>
  <si>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</si>
  <si>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</si>
  <si>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</si>
  <si>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</si>
  <si>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</si>
  <si>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</si>
  <si>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</si>
  <si>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</si>
  <si>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</si>
  <si>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</si>
  <si>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</si>
  <si>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</si>
  <si>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</si>
  <si>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</si>
  <si>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</si>
  <si>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</si>
  <si>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</si>
  <si>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</si>
  <si>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</si>
  <si>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</si>
  <si>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</si>
  <si>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</si>
  <si>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</si>
  <si>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</si>
  <si>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</si>
  <si>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</si>
  <si>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</si>
  <si>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</si>
  <si>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</si>
  <si>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</si>
  <si>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</si>
  <si>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</si>
  <si>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</si>
  <si>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</si>
  <si>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</si>
  <si>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</si>
  <si>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</si>
  <si>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</si>
  <si>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</si>
  <si>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</si>
  <si>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</si>
  <si>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</si>
  <si>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</si>
  <si>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</si>
  <si>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</si>
  <si>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</si>
  <si>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</si>
  <si>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</si>
  <si>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</si>
  <si>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</si>
  <si>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</si>
  <si>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</si>
  <si>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</si>
  <si>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</si>
  <si>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</si>
  <si>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</si>
  <si>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</si>
  <si>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</si>
  <si>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</si>
  <si>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</si>
  <si>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</si>
  <si>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</si>
  <si>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</si>
  <si>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</si>
  <si>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</si>
  <si>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</si>
  <si>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</si>
  <si>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</si>
  <si>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</si>
  <si>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</si>
  <si>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</si>
  <si>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</si>
  <si>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</si>
  <si>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</si>
  <si>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</si>
  <si>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</si>
  <si>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</si>
  <si>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</si>
  <si>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</si>
  <si>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</si>
  <si>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</si>
  <si>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</si>
  <si>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</si>
  <si>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</si>
  <si>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</si>
  <si>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</si>
  <si>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</si>
  <si>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</si>
  <si>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</si>
  <si>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</si>
  <si>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</si>
  <si>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</si>
  <si>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</si>
  <si>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</si>
  <si>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</si>
  <si>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</si>
  <si>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</si>
  <si>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</si>
  <si>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</si>
  <si>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</si>
  <si>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</si>
  <si>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</si>
  <si>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</si>
  <si>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</si>
  <si>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</si>
  <si>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</si>
  <si>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</si>
  <si>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</si>
  <si>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</si>
  <si>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</si>
  <si>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</si>
  <si>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</si>
  <si>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</si>
  <si>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</si>
  <si>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</si>
  <si>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</si>
  <si>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</si>
  <si>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</si>
  <si>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</si>
  <si>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</si>
  <si>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</si>
  <si>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</si>
  <si>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</si>
  <si>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</si>
  <si>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</si>
  <si>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</si>
  <si>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</si>
  <si>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</si>
  <si>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</si>
  <si>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</si>
  <si>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</si>
  <si>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</si>
  <si>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</si>
  <si>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</si>
  <si>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</si>
  <si>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</si>
  <si>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</si>
  <si>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</si>
  <si>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</si>
  <si>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</si>
  <si>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</si>
  <si>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</si>
  <si>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</si>
  <si>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</si>
  <si>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</si>
  <si>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</si>
  <si>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</si>
  <si>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</si>
  <si>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</si>
  <si>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</si>
  <si>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</si>
  <si>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</si>
  <si>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</si>
  <si>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</si>
  <si>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</si>
  <si>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</si>
  <si>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</si>
  <si>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</si>
  <si>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</si>
  <si>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</si>
  <si>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</si>
  <si>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</si>
  <si>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</si>
  <si>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</si>
  <si>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</si>
  <si>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</si>
  <si>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</si>
  <si>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</si>
  <si>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</si>
  <si>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</si>
  <si>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</si>
  <si>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</si>
  <si>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</si>
  <si>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</si>
  <si>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</si>
  <si>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</si>
  <si>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</si>
  <si>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</si>
  <si>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</si>
  <si>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</si>
  <si>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</si>
  <si>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</si>
  <si>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</si>
  <si>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</si>
  <si>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</si>
  <si>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</si>
  <si>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</si>
  <si>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</si>
  <si>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</si>
  <si>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</si>
  <si>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</si>
  <si>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</si>
  <si>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</si>
  <si>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</si>
  <si>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</si>
  <si>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</si>
  <si>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</si>
  <si>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</si>
  <si>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</si>
  <si>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</si>
  <si>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</si>
  <si>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</si>
  <si>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</si>
  <si>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</si>
  <si>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</si>
  <si>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</si>
  <si>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</si>
  <si>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</si>
  <si>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</si>
  <si>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</si>
  <si>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</si>
  <si>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</si>
  <si>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</si>
  <si>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</si>
  <si>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</si>
  <si>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</si>
  <si>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</si>
  <si>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</si>
  <si>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</si>
  <si>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</si>
  <si>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</si>
  <si>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</si>
  <si>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</si>
  <si>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</si>
  <si>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</si>
  <si>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</si>
  <si>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</si>
  <si>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</si>
  <si>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</si>
  <si>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</si>
  <si>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</si>
  <si>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</si>
  <si>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</si>
  <si>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</si>
  <si>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</si>
  <si>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</si>
  <si>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</si>
  <si>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</si>
  <si>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</si>
  <si>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</si>
  <si>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</si>
  <si>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</si>
  <si>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</si>
  <si>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</si>
  <si>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</si>
  <si>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</si>
  <si>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</si>
  <si>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</si>
  <si>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</si>
  <si>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</si>
  <si>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</si>
  <si>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</si>
  <si>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</si>
  <si>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</si>
  <si>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</si>
  <si>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</si>
  <si>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</si>
  <si>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</si>
  <si>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</si>
  <si>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</si>
  <si>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</si>
  <si>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</si>
  <si>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</si>
  <si>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</si>
  <si>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</si>
  <si>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</si>
  <si>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</si>
  <si>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</si>
  <si>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</si>
  <si>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</si>
  <si>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</si>
  <si>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</si>
  <si>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</si>
  <si>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</si>
  <si>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</si>
  <si>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</si>
  <si>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</si>
  <si>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</si>
  <si>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</si>
  <si>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</si>
  <si>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</si>
  <si>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</si>
  <si>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</si>
  <si>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</si>
  <si>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</si>
  <si>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</si>
  <si>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</si>
  <si>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</si>
  <si>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</si>
  <si>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</si>
  <si>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</si>
  <si>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</si>
  <si>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</si>
  <si>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</si>
  <si>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</si>
  <si>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</si>
  <si>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</si>
  <si>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</si>
  <si>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</si>
  <si>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</si>
  <si>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</si>
  <si>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</si>
  <si>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</si>
  <si>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</si>
  <si>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</si>
  <si>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</si>
  <si>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</si>
  <si>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</si>
  <si>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</si>
  <si>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</si>
  <si>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</si>
  <si>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</si>
  <si>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</si>
  <si>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</si>
  <si>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</si>
  <si>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</si>
  <si>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</si>
  <si>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</si>
  <si>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</si>
  <si>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</si>
  <si>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</si>
  <si>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</si>
  <si>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</si>
  <si>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</si>
  <si>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</si>
  <si>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</si>
  <si>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</si>
  <si>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</si>
  <si>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</si>
  <si>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</si>
  <si>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</si>
  <si>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</si>
  <si>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</si>
  <si>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</si>
  <si>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</si>
  <si>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</si>
  <si>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</si>
  <si>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</si>
  <si>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</si>
  <si>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</si>
  <si>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</si>
  <si>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</si>
  <si>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</si>
  <si>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</si>
  <si>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</si>
  <si>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</si>
  <si>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</si>
  <si>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</si>
  <si>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</si>
  <si>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</si>
  <si>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</si>
  <si>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</si>
  <si>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</si>
  <si>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</si>
  <si>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</si>
  <si>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</si>
  <si>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</si>
  <si>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</si>
  <si>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</si>
  <si>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</si>
  <si>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</si>
  <si>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</si>
  <si>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</si>
  <si>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</si>
  <si>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</si>
  <si>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</si>
  <si>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</si>
  <si>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</si>
  <si>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</si>
  <si>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</si>
  <si>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</si>
  <si>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</si>
  <si>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</si>
  <si>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</si>
  <si>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</si>
  <si>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</si>
  <si>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</si>
  <si>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</si>
  <si>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</si>
  <si>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</si>
  <si>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</si>
  <si>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</si>
  <si>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</si>
  <si>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</si>
  <si>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</si>
  <si>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</si>
  <si>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</si>
  <si>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</si>
  <si>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</si>
  <si>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</si>
  <si>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</si>
  <si>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</si>
  <si>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</si>
  <si>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</si>
  <si>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</si>
  <si>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</si>
  <si>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</si>
  <si>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</si>
  <si>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</si>
  <si>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</si>
  <si>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</si>
  <si>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</si>
  <si>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</si>
  <si>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</si>
  <si>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</si>
  <si>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</si>
  <si>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</si>
  <si>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</si>
  <si>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</si>
  <si>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</si>
  <si>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AR</t>
  </si>
  <si>
    <t>AV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</si>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</sst>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2" xfId="0" applyNumberFormat="1" applyFont="1" applyBorder="1" applyAlignment="1">
      <alignment horizontal="left"/>
    </xf>
    <xf numFmtId="0" fontId="0" fillId="0" borderId="103" xfId="0" applyNumberFormat="1" applyFont="1" applyBorder="1" applyAlignment="1">
      <alignment horizontal="left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topLeftCell="A13" zoomScaleNormal="100" workbookViewId="0">
      <pane xSplit="1" topLeftCell="AI1" activePane="topRight" state="frozen"/>
      <selection pane="topRight" activeCell="AX34" sqref="AX34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79" t="s">
        <v>4</v>
      </c>
      <c r="B4" s="64">
        <v>2017</v>
      </c>
      <c r="C4" s="233" t="s">
        <v>0</v>
      </c>
      <c r="D4" s="234"/>
      <c r="E4" s="234"/>
      <c r="F4" s="235"/>
      <c r="G4" s="233" t="s">
        <v>1</v>
      </c>
      <c r="H4" s="234"/>
      <c r="I4" s="234"/>
      <c r="J4" s="235"/>
      <c r="K4" s="233" t="s">
        <v>2</v>
      </c>
      <c r="L4" s="234"/>
      <c r="M4" s="234"/>
      <c r="N4" s="235"/>
      <c r="O4" s="233" t="s">
        <v>3</v>
      </c>
      <c r="P4" s="234"/>
      <c r="Q4" s="234"/>
      <c r="R4" s="235"/>
      <c r="S4" s="233" t="s">
        <v>99</v>
      </c>
      <c r="T4" s="234"/>
      <c r="U4" s="234"/>
      <c r="V4" s="235"/>
      <c r="W4" s="233" t="s">
        <v>95</v>
      </c>
      <c r="X4" s="234"/>
      <c r="Y4" s="234"/>
      <c r="Z4" s="235"/>
      <c r="AA4" s="233" t="s">
        <v>103</v>
      </c>
      <c r="AB4" s="234"/>
      <c r="AC4" s="234"/>
      <c r="AD4" s="235"/>
      <c r="AE4" s="233" t="s">
        <v>104</v>
      </c>
      <c r="AF4" s="234"/>
      <c r="AG4" s="234"/>
      <c r="AH4" s="235"/>
      <c r="AI4" s="233" t="s">
        <v>107</v>
      </c>
      <c r="AJ4" s="234"/>
      <c r="AK4" s="234"/>
      <c r="AL4" s="235"/>
      <c r="AM4" s="233" t="s">
        <v>109</v>
      </c>
      <c r="AN4" s="234"/>
      <c r="AO4" s="234"/>
      <c r="AP4" s="235"/>
      <c r="AQ4" s="233" t="s">
        <v>113</v>
      </c>
      <c r="AR4" s="234"/>
      <c r="AS4" s="234"/>
      <c r="AT4" s="235"/>
      <c r="AU4" s="233" t="s">
        <v>118</v>
      </c>
      <c r="AV4" s="234"/>
      <c r="AW4" s="234"/>
      <c r="AX4" s="235"/>
      <c r="AY4" s="1"/>
      <c r="AZ4" s="1"/>
      <c r="BA4" s="1"/>
      <c r="BB4" s="1"/>
    </row>
    <row r="5" spans="1:54" ht="16.5" thickBot="1">
      <c r="A5" s="6" t="s">
        <v>5</v>
      </c>
      <c r="B5" s="65"/>
      <c r="C5" s="236">
        <f>'01'!K19</f>
        <v>17336.68</v>
      </c>
      <c r="D5" s="237"/>
      <c r="E5" s="237"/>
      <c r="F5" s="238"/>
      <c r="G5" s="236">
        <f>'02'!K19</f>
        <v>20217</v>
      </c>
      <c r="H5" s="237"/>
      <c r="I5" s="237"/>
      <c r="J5" s="238"/>
      <c r="K5" s="245">
        <f>'03'!K19</f>
        <v>21214.57</v>
      </c>
      <c r="L5" s="237"/>
      <c r="M5" s="237"/>
      <c r="N5" s="238"/>
      <c r="O5" s="245">
        <f>'04'!K19</f>
        <v>20719.909999999996</v>
      </c>
      <c r="P5" s="237"/>
      <c r="Q5" s="237"/>
      <c r="R5" s="238"/>
      <c r="S5" s="245">
        <f>'05'!K19</f>
        <v>22905.86</v>
      </c>
      <c r="T5" s="237"/>
      <c r="U5" s="237"/>
      <c r="V5" s="238"/>
      <c r="W5" s="245">
        <f>'06'!K19</f>
        <v>23622.14</v>
      </c>
      <c r="X5" s="237"/>
      <c r="Y5" s="237"/>
      <c r="Z5" s="238"/>
      <c r="AA5" s="245">
        <f>'07'!K19</f>
        <v>24911.559999999998</v>
      </c>
      <c r="AB5" s="237"/>
      <c r="AC5" s="237"/>
      <c r="AD5" s="238"/>
      <c r="AE5" s="245">
        <f>'08'!K19</f>
        <v>24488.75</v>
      </c>
      <c r="AF5" s="237"/>
      <c r="AG5" s="237"/>
      <c r="AH5" s="238"/>
      <c r="AI5" s="245">
        <f>'09'!K19</f>
        <v>24613.260000000002</v>
      </c>
      <c r="AJ5" s="237"/>
      <c r="AK5" s="237"/>
      <c r="AL5" s="238"/>
      <c r="AM5" s="245">
        <f>'10'!K19</f>
        <v>23755.86</v>
      </c>
      <c r="AN5" s="237"/>
      <c r="AO5" s="237"/>
      <c r="AP5" s="238"/>
      <c r="AQ5" s="245">
        <f>'11'!K19</f>
        <v>15101.890000000001</v>
      </c>
      <c r="AR5" s="237"/>
      <c r="AS5" s="237"/>
      <c r="AT5" s="238"/>
      <c r="AU5" s="245">
        <f>'12'!K19</f>
        <v>15101.890000000001</v>
      </c>
      <c r="AV5" s="237"/>
      <c r="AW5" s="237"/>
      <c r="AX5" s="238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8" t="s">
        <v>6</v>
      </c>
      <c r="B7" s="47" t="s">
        <v>66</v>
      </c>
      <c r="C7" s="239" t="s">
        <v>7</v>
      </c>
      <c r="D7" s="240"/>
      <c r="E7" s="240"/>
      <c r="F7" s="241"/>
      <c r="G7" s="239" t="s">
        <v>7</v>
      </c>
      <c r="H7" s="240"/>
      <c r="I7" s="240"/>
      <c r="J7" s="241"/>
      <c r="K7" s="239" t="s">
        <v>7</v>
      </c>
      <c r="L7" s="240"/>
      <c r="M7" s="240"/>
      <c r="N7" s="241"/>
      <c r="O7" s="239" t="s">
        <v>7</v>
      </c>
      <c r="P7" s="240"/>
      <c r="Q7" s="240"/>
      <c r="R7" s="241"/>
      <c r="S7" s="239" t="s">
        <v>7</v>
      </c>
      <c r="T7" s="240"/>
      <c r="U7" s="240"/>
      <c r="V7" s="241"/>
      <c r="W7" s="239" t="s">
        <v>7</v>
      </c>
      <c r="X7" s="240"/>
      <c r="Y7" s="240"/>
      <c r="Z7" s="241"/>
      <c r="AA7" s="239" t="s">
        <v>7</v>
      </c>
      <c r="AB7" s="240"/>
      <c r="AC7" s="240"/>
      <c r="AD7" s="241"/>
      <c r="AE7" s="239" t="s">
        <v>7</v>
      </c>
      <c r="AF7" s="240"/>
      <c r="AG7" s="240"/>
      <c r="AH7" s="241"/>
      <c r="AI7" s="239" t="s">
        <v>7</v>
      </c>
      <c r="AJ7" s="240"/>
      <c r="AK7" s="240"/>
      <c r="AL7" s="241"/>
      <c r="AM7" s="239" t="s">
        <v>7</v>
      </c>
      <c r="AN7" s="240"/>
      <c r="AO7" s="240"/>
      <c r="AP7" s="241"/>
      <c r="AQ7" s="239" t="s">
        <v>7</v>
      </c>
      <c r="AR7" s="240"/>
      <c r="AS7" s="240"/>
      <c r="AT7" s="241"/>
      <c r="AU7" s="239" t="s">
        <v>7</v>
      </c>
      <c r="AV7" s="240"/>
      <c r="AW7" s="240"/>
      <c r="AX7" s="241"/>
      <c r="AY7" s="10" t="s">
        <v>8</v>
      </c>
      <c r="AZ7" s="25" t="s">
        <v>619</v>
      </c>
      <c r="BA7" s="1"/>
      <c r="BB7" s="1"/>
    </row>
    <row r="8" spans="1:54" ht="15.75">
      <c r="A8" s="11" t="s">
        <v>124</v>
      </c>
      <c r="B8" s="199">
        <v>28683.489999999998</v>
      </c>
      <c r="C8" s="242">
        <v>2317.46</v>
      </c>
      <c r="D8" s="243"/>
      <c r="E8" s="243"/>
      <c r="F8" s="244"/>
      <c r="G8" s="242">
        <f>2317.46+1638.24</f>
        <v>3955.7</v>
      </c>
      <c r="H8" s="243"/>
      <c r="I8" s="243"/>
      <c r="J8" s="244"/>
      <c r="K8" s="242">
        <v>2320.84</v>
      </c>
      <c r="L8" s="243"/>
      <c r="M8" s="243"/>
      <c r="N8" s="244"/>
      <c r="O8" s="242">
        <v>2325.9</v>
      </c>
      <c r="P8" s="243"/>
      <c r="Q8" s="243"/>
      <c r="R8" s="244"/>
      <c r="S8" s="242">
        <v>2321.1799999999998</v>
      </c>
      <c r="T8" s="243"/>
      <c r="U8" s="243"/>
      <c r="V8" s="244"/>
      <c r="W8" s="242">
        <v>3973.79</v>
      </c>
      <c r="X8" s="243"/>
      <c r="Y8" s="243"/>
      <c r="Z8" s="244"/>
      <c r="AA8" s="242">
        <v>2328.91</v>
      </c>
      <c r="AB8" s="243"/>
      <c r="AC8" s="243"/>
      <c r="AD8" s="244"/>
      <c r="AE8" s="242">
        <v>2318.6999999999998</v>
      </c>
      <c r="AF8" s="243"/>
      <c r="AG8" s="243"/>
      <c r="AH8" s="244"/>
      <c r="AI8" s="242">
        <v>2328.61</v>
      </c>
      <c r="AJ8" s="243"/>
      <c r="AK8" s="243"/>
      <c r="AL8" s="244"/>
      <c r="AM8" s="242"/>
      <c r="AN8" s="243"/>
      <c r="AO8" s="243"/>
      <c r="AP8" s="244"/>
      <c r="AQ8" s="242"/>
      <c r="AR8" s="243"/>
      <c r="AS8" s="243"/>
      <c r="AT8" s="244"/>
      <c r="AU8" s="242"/>
      <c r="AV8" s="243"/>
      <c r="AW8" s="243"/>
      <c r="AX8" s="244"/>
      <c r="AY8" s="12">
        <f>SUM(C8:AU8)</f>
        <v>24191.09</v>
      </c>
      <c r="AZ8" s="163">
        <f t="shared" ref="AZ8:AZ16" ca="1" si="0">AY8/BB$17</f>
        <v>2419.1089999999999</v>
      </c>
      <c r="BA8" s="1"/>
      <c r="BB8" s="1"/>
    </row>
    <row r="9" spans="1:54" ht="15.75">
      <c r="A9" s="13" t="s">
        <v>125</v>
      </c>
      <c r="B9" s="200">
        <v>4981.99</v>
      </c>
      <c r="C9" s="230">
        <f>72.66+314.12</f>
        <v>386.78</v>
      </c>
      <c r="D9" s="231"/>
      <c r="E9" s="231"/>
      <c r="F9" s="232"/>
      <c r="G9" s="230">
        <f>176.46</f>
        <v>176.46</v>
      </c>
      <c r="H9" s="231"/>
      <c r="I9" s="231"/>
      <c r="J9" s="232"/>
      <c r="K9" s="230">
        <f>259.63+176.46</f>
        <v>436.09000000000003</v>
      </c>
      <c r="L9" s="231"/>
      <c r="M9" s="231"/>
      <c r="N9" s="232"/>
      <c r="O9" s="230">
        <f>249.22+197.22+325.64</f>
        <v>772.07999999999993</v>
      </c>
      <c r="P9" s="231"/>
      <c r="Q9" s="231"/>
      <c r="R9" s="232"/>
      <c r="S9" s="230">
        <f>155.7+267.29</f>
        <v>422.99</v>
      </c>
      <c r="T9" s="231"/>
      <c r="U9" s="231"/>
      <c r="V9" s="232"/>
      <c r="W9" s="230">
        <f>197.22</f>
        <v>197.22</v>
      </c>
      <c r="X9" s="231"/>
      <c r="Y9" s="231"/>
      <c r="Z9" s="232"/>
      <c r="AA9" s="230">
        <f>786.42+134.94+83.04</f>
        <v>1004.3999999999999</v>
      </c>
      <c r="AB9" s="231"/>
      <c r="AC9" s="231"/>
      <c r="AD9" s="232"/>
      <c r="AE9" s="230">
        <f>269.88</f>
        <v>269.88</v>
      </c>
      <c r="AF9" s="231"/>
      <c r="AG9" s="231"/>
      <c r="AH9" s="232"/>
      <c r="AI9" s="230">
        <v>280.26</v>
      </c>
      <c r="AJ9" s="231"/>
      <c r="AK9" s="231"/>
      <c r="AL9" s="232"/>
      <c r="AM9" s="230"/>
      <c r="AN9" s="231"/>
      <c r="AO9" s="231"/>
      <c r="AP9" s="232"/>
      <c r="AQ9" s="230"/>
      <c r="AR9" s="231"/>
      <c r="AS9" s="231"/>
      <c r="AT9" s="232"/>
      <c r="AU9" s="230"/>
      <c r="AV9" s="231"/>
      <c r="AW9" s="231"/>
      <c r="AX9" s="232"/>
      <c r="AY9" s="14">
        <f t="shared" ref="AY9:AY15" si="1">SUM(C9:AX9)</f>
        <v>3946.16</v>
      </c>
      <c r="AZ9" s="163">
        <f t="shared" ca="1" si="0"/>
        <v>394.61599999999999</v>
      </c>
      <c r="BA9" s="1"/>
      <c r="BB9" s="1"/>
    </row>
    <row r="10" spans="1:54" ht="15.75">
      <c r="A10" s="15" t="s">
        <v>126</v>
      </c>
      <c r="B10" s="201">
        <v>723.38</v>
      </c>
      <c r="C10" s="227">
        <v>90.43</v>
      </c>
      <c r="D10" s="228"/>
      <c r="E10" s="228"/>
      <c r="F10" s="229"/>
      <c r="G10" s="227">
        <f>1117.39-956.06</f>
        <v>161.33000000000015</v>
      </c>
      <c r="H10" s="228"/>
      <c r="I10" s="228"/>
      <c r="J10" s="229"/>
      <c r="K10" s="227">
        <v>285.58</v>
      </c>
      <c r="L10" s="228"/>
      <c r="M10" s="228"/>
      <c r="N10" s="229"/>
      <c r="O10" s="227">
        <f>275.29+42.8</f>
        <v>318.09000000000003</v>
      </c>
      <c r="P10" s="228"/>
      <c r="Q10" s="228"/>
      <c r="R10" s="229"/>
      <c r="S10" s="227">
        <f>421.56</f>
        <v>421.56</v>
      </c>
      <c r="T10" s="228"/>
      <c r="U10" s="228"/>
      <c r="V10" s="229"/>
      <c r="W10" s="227">
        <v>341.74</v>
      </c>
      <c r="X10" s="228"/>
      <c r="Y10" s="228"/>
      <c r="Z10" s="229"/>
      <c r="AA10" s="227">
        <v>234.71</v>
      </c>
      <c r="AB10" s="228"/>
      <c r="AC10" s="228"/>
      <c r="AD10" s="229"/>
      <c r="AE10" s="227">
        <v>83.23</v>
      </c>
      <c r="AF10" s="228"/>
      <c r="AG10" s="228"/>
      <c r="AH10" s="229"/>
      <c r="AI10" s="227">
        <f>300+99.65</f>
        <v>399.65</v>
      </c>
      <c r="AJ10" s="228"/>
      <c r="AK10" s="228"/>
      <c r="AL10" s="229"/>
      <c r="AM10" s="227">
        <v>220</v>
      </c>
      <c r="AN10" s="228"/>
      <c r="AO10" s="228"/>
      <c r="AP10" s="229"/>
      <c r="AQ10" s="227"/>
      <c r="AR10" s="228"/>
      <c r="AS10" s="228"/>
      <c r="AT10" s="229"/>
      <c r="AU10" s="227"/>
      <c r="AV10" s="228"/>
      <c r="AW10" s="228"/>
      <c r="AX10" s="229"/>
      <c r="AY10" s="16">
        <f t="shared" si="1"/>
        <v>2556.3200000000002</v>
      </c>
      <c r="AZ10" s="163">
        <f t="shared" ca="1" si="0"/>
        <v>255.63200000000001</v>
      </c>
      <c r="BA10" s="1"/>
      <c r="BB10" s="1"/>
    </row>
    <row r="11" spans="1:54" ht="15.75">
      <c r="A11" s="13" t="s">
        <v>127</v>
      </c>
      <c r="B11" s="200">
        <v>180.64</v>
      </c>
      <c r="C11" s="230">
        <f>1.01+0.04+2831.41+0.05</f>
        <v>2832.51</v>
      </c>
      <c r="D11" s="231"/>
      <c r="E11" s="231"/>
      <c r="F11" s="232"/>
      <c r="G11" s="230"/>
      <c r="H11" s="231"/>
      <c r="I11" s="231"/>
      <c r="J11" s="232"/>
      <c r="K11" s="230"/>
      <c r="L11" s="231"/>
      <c r="M11" s="231"/>
      <c r="N11" s="232"/>
      <c r="O11" s="230">
        <v>0.03</v>
      </c>
      <c r="P11" s="231"/>
      <c r="Q11" s="231"/>
      <c r="R11" s="232"/>
      <c r="S11" s="230">
        <f>38.64</f>
        <v>38.64</v>
      </c>
      <c r="T11" s="231"/>
      <c r="U11" s="231"/>
      <c r="V11" s="232"/>
      <c r="W11" s="230"/>
      <c r="X11" s="231"/>
      <c r="Y11" s="231"/>
      <c r="Z11" s="232"/>
      <c r="AA11" s="230">
        <f>0.02</f>
        <v>0.02</v>
      </c>
      <c r="AB11" s="231"/>
      <c r="AC11" s="231"/>
      <c r="AD11" s="232"/>
      <c r="AE11" s="230"/>
      <c r="AF11" s="231"/>
      <c r="AG11" s="231"/>
      <c r="AH11" s="232"/>
      <c r="AI11" s="230"/>
      <c r="AJ11" s="231"/>
      <c r="AK11" s="231"/>
      <c r="AL11" s="232"/>
      <c r="AM11" s="230"/>
      <c r="AN11" s="231"/>
      <c r="AO11" s="231"/>
      <c r="AP11" s="232"/>
      <c r="AQ11" s="230"/>
      <c r="AR11" s="231"/>
      <c r="AS11" s="231"/>
      <c r="AT11" s="232"/>
      <c r="AU11" s="230"/>
      <c r="AV11" s="231"/>
      <c r="AW11" s="231"/>
      <c r="AX11" s="232"/>
      <c r="AY11" s="14">
        <f t="shared" si="1"/>
        <v>2871.2000000000003</v>
      </c>
      <c r="AZ11" s="163">
        <f t="shared" ca="1" si="0"/>
        <v>287.12</v>
      </c>
      <c r="BA11" s="1"/>
      <c r="BB11" s="1"/>
    </row>
    <row r="12" spans="1:54" ht="15.75">
      <c r="A12" s="15" t="s">
        <v>128</v>
      </c>
      <c r="B12" s="201">
        <v>626.6</v>
      </c>
      <c r="C12" s="227">
        <f>700+50+449</f>
        <v>1199</v>
      </c>
      <c r="D12" s="228"/>
      <c r="E12" s="228"/>
      <c r="F12" s="229"/>
      <c r="G12" s="227">
        <v>447.43</v>
      </c>
      <c r="H12" s="228"/>
      <c r="I12" s="228"/>
      <c r="J12" s="229"/>
      <c r="K12" s="227"/>
      <c r="L12" s="228"/>
      <c r="M12" s="228"/>
      <c r="N12" s="229"/>
      <c r="O12" s="227">
        <f>80.1</f>
        <v>80.099999999999994</v>
      </c>
      <c r="P12" s="228"/>
      <c r="Q12" s="228"/>
      <c r="R12" s="229"/>
      <c r="S12" s="227"/>
      <c r="T12" s="228"/>
      <c r="U12" s="228"/>
      <c r="V12" s="229"/>
      <c r="W12" s="227">
        <f>200</f>
        <v>200</v>
      </c>
      <c r="X12" s="228"/>
      <c r="Y12" s="228"/>
      <c r="Z12" s="229"/>
      <c r="AA12" s="227">
        <f>106.3</f>
        <v>106.3</v>
      </c>
      <c r="AB12" s="228"/>
      <c r="AC12" s="228"/>
      <c r="AD12" s="229"/>
      <c r="AE12" s="227"/>
      <c r="AF12" s="228"/>
      <c r="AG12" s="228"/>
      <c r="AH12" s="229"/>
      <c r="AI12" s="227">
        <v>500</v>
      </c>
      <c r="AJ12" s="228"/>
      <c r="AK12" s="228"/>
      <c r="AL12" s="229"/>
      <c r="AM12" s="227"/>
      <c r="AN12" s="228"/>
      <c r="AO12" s="228"/>
      <c r="AP12" s="229"/>
      <c r="AQ12" s="227"/>
      <c r="AR12" s="228"/>
      <c r="AS12" s="228"/>
      <c r="AT12" s="229"/>
      <c r="AU12" s="227"/>
      <c r="AV12" s="228"/>
      <c r="AW12" s="228"/>
      <c r="AX12" s="229"/>
      <c r="AY12" s="16">
        <f t="shared" si="1"/>
        <v>2532.83</v>
      </c>
      <c r="AZ12" s="163">
        <f t="shared" ca="1" si="0"/>
        <v>253.28299999999999</v>
      </c>
      <c r="BA12" s="1"/>
      <c r="BB12" s="1"/>
    </row>
    <row r="13" spans="1:54" ht="15.75">
      <c r="A13" s="13" t="s">
        <v>129</v>
      </c>
      <c r="B13" s="202">
        <v>3448.3199999999993</v>
      </c>
      <c r="C13" s="230">
        <f>93.93</f>
        <v>93.93</v>
      </c>
      <c r="D13" s="231"/>
      <c r="E13" s="231"/>
      <c r="F13" s="232"/>
      <c r="G13" s="230">
        <f>93.93</f>
        <v>93.93</v>
      </c>
      <c r="H13" s="231"/>
      <c r="I13" s="231"/>
      <c r="J13" s="232"/>
      <c r="K13" s="230">
        <f>93.93</f>
        <v>93.93</v>
      </c>
      <c r="L13" s="231"/>
      <c r="M13" s="231"/>
      <c r="N13" s="232"/>
      <c r="O13" s="230">
        <f>93.93+2290.23</f>
        <v>2384.16</v>
      </c>
      <c r="P13" s="231"/>
      <c r="Q13" s="231"/>
      <c r="R13" s="232"/>
      <c r="S13" s="230">
        <f>93.93</f>
        <v>93.93</v>
      </c>
      <c r="T13" s="231"/>
      <c r="U13" s="231"/>
      <c r="V13" s="232"/>
      <c r="W13" s="230">
        <f>93.93</f>
        <v>93.93</v>
      </c>
      <c r="X13" s="231"/>
      <c r="Y13" s="231"/>
      <c r="Z13" s="232"/>
      <c r="AA13" s="230">
        <f>93.93</f>
        <v>93.93</v>
      </c>
      <c r="AB13" s="231"/>
      <c r="AC13" s="231"/>
      <c r="AD13" s="232"/>
      <c r="AE13" s="230">
        <v>114.74</v>
      </c>
      <c r="AF13" s="231"/>
      <c r="AG13" s="231"/>
      <c r="AH13" s="232"/>
      <c r="AI13" s="230">
        <v>93.93</v>
      </c>
      <c r="AJ13" s="231"/>
      <c r="AK13" s="231"/>
      <c r="AL13" s="232"/>
      <c r="AM13" s="230">
        <v>95.8</v>
      </c>
      <c r="AN13" s="231"/>
      <c r="AO13" s="231"/>
      <c r="AP13" s="232"/>
      <c r="AQ13" s="230"/>
      <c r="AR13" s="231"/>
      <c r="AS13" s="231"/>
      <c r="AT13" s="232"/>
      <c r="AU13" s="230"/>
      <c r="AV13" s="231"/>
      <c r="AW13" s="231"/>
      <c r="AX13" s="232"/>
      <c r="AY13" s="17">
        <f t="shared" si="1"/>
        <v>3252.2099999999991</v>
      </c>
      <c r="AZ13" s="163">
        <f t="shared" ca="1" si="0"/>
        <v>325.22099999999989</v>
      </c>
      <c r="BA13" s="1"/>
      <c r="BB13" s="1"/>
    </row>
    <row r="14" spans="1:54" ht="15.75">
      <c r="A14" s="15" t="s">
        <v>130</v>
      </c>
      <c r="B14" s="201">
        <v>795.41</v>
      </c>
      <c r="C14" s="227"/>
      <c r="D14" s="228"/>
      <c r="E14" s="228"/>
      <c r="F14" s="229"/>
      <c r="G14" s="227">
        <f>27.27+13.86+8.75+34.09</f>
        <v>83.97</v>
      </c>
      <c r="H14" s="228"/>
      <c r="I14" s="228"/>
      <c r="J14" s="229"/>
      <c r="K14" s="227"/>
      <c r="L14" s="228"/>
      <c r="M14" s="228"/>
      <c r="N14" s="229"/>
      <c r="O14" s="227">
        <f>25+27.27+16.9+26.12</f>
        <v>95.289999999999992</v>
      </c>
      <c r="P14" s="228"/>
      <c r="Q14" s="228"/>
      <c r="R14" s="229"/>
      <c r="S14" s="227">
        <f>22.09+27.27</f>
        <v>49.36</v>
      </c>
      <c r="T14" s="228"/>
      <c r="U14" s="228"/>
      <c r="V14" s="229"/>
      <c r="W14" s="227">
        <f>8.75+27.27+27.27</f>
        <v>63.289999999999992</v>
      </c>
      <c r="X14" s="228"/>
      <c r="Y14" s="228"/>
      <c r="Z14" s="229"/>
      <c r="AA14" s="227"/>
      <c r="AB14" s="228"/>
      <c r="AC14" s="228"/>
      <c r="AD14" s="229"/>
      <c r="AE14" s="227"/>
      <c r="AF14" s="228"/>
      <c r="AG14" s="228"/>
      <c r="AH14" s="229"/>
      <c r="AI14" s="227"/>
      <c r="AJ14" s="228"/>
      <c r="AK14" s="228"/>
      <c r="AL14" s="229"/>
      <c r="AM14" s="227"/>
      <c r="AN14" s="228"/>
      <c r="AO14" s="228"/>
      <c r="AP14" s="229"/>
      <c r="AQ14" s="227"/>
      <c r="AR14" s="228"/>
      <c r="AS14" s="228"/>
      <c r="AT14" s="229"/>
      <c r="AU14" s="227"/>
      <c r="AV14" s="228"/>
      <c r="AW14" s="228"/>
      <c r="AX14" s="229"/>
      <c r="AY14" s="16">
        <f t="shared" si="1"/>
        <v>291.90999999999997</v>
      </c>
      <c r="AZ14" s="163">
        <f t="shared" ca="1" si="0"/>
        <v>29.190999999999995</v>
      </c>
      <c r="BA14" s="3"/>
      <c r="BB14" s="3"/>
    </row>
    <row r="15" spans="1:54" ht="15.75">
      <c r="A15" s="13" t="s">
        <v>131</v>
      </c>
      <c r="B15" s="200">
        <v>2461.34</v>
      </c>
      <c r="C15" s="230">
        <v>648.49</v>
      </c>
      <c r="D15" s="231"/>
      <c r="E15" s="231"/>
      <c r="F15" s="232"/>
      <c r="G15" s="230">
        <v>550</v>
      </c>
      <c r="H15" s="231"/>
      <c r="I15" s="231"/>
      <c r="J15" s="232"/>
      <c r="K15" s="230">
        <v>690</v>
      </c>
      <c r="L15" s="231"/>
      <c r="M15" s="231"/>
      <c r="N15" s="232"/>
      <c r="O15" s="230">
        <f>550</f>
        <v>550</v>
      </c>
      <c r="P15" s="231"/>
      <c r="Q15" s="231"/>
      <c r="R15" s="232"/>
      <c r="S15" s="230">
        <v>650.01</v>
      </c>
      <c r="T15" s="231"/>
      <c r="U15" s="231"/>
      <c r="V15" s="232"/>
      <c r="W15" s="230">
        <v>568.34</v>
      </c>
      <c r="X15" s="231"/>
      <c r="Y15" s="231"/>
      <c r="Z15" s="232"/>
      <c r="AA15" s="230">
        <v>632.86</v>
      </c>
      <c r="AB15" s="231"/>
      <c r="AC15" s="231"/>
      <c r="AD15" s="232"/>
      <c r="AE15" s="230">
        <v>550</v>
      </c>
      <c r="AF15" s="231"/>
      <c r="AG15" s="231"/>
      <c r="AH15" s="232"/>
      <c r="AI15" s="230">
        <v>586.85</v>
      </c>
      <c r="AJ15" s="231"/>
      <c r="AK15" s="231"/>
      <c r="AL15" s="232"/>
      <c r="AM15" s="249">
        <f>'10'!K26</f>
        <v>550</v>
      </c>
      <c r="AN15" s="231"/>
      <c r="AO15" s="231"/>
      <c r="AP15" s="232"/>
      <c r="AQ15" s="230"/>
      <c r="AR15" s="231"/>
      <c r="AS15" s="231"/>
      <c r="AT15" s="232"/>
      <c r="AU15" s="230"/>
      <c r="AV15" s="231"/>
      <c r="AW15" s="231"/>
      <c r="AX15" s="232"/>
      <c r="AY15" s="14">
        <f t="shared" si="1"/>
        <v>5976.55</v>
      </c>
      <c r="AZ15" s="163">
        <f t="shared" ca="1" si="0"/>
        <v>597.65499999999997</v>
      </c>
      <c r="BA15" s="1"/>
      <c r="BB15" s="1"/>
    </row>
    <row r="16" spans="1:54" ht="16.5" thickBot="1">
      <c r="A16" s="15" t="s">
        <v>132</v>
      </c>
      <c r="B16" s="203">
        <v>15626.78</v>
      </c>
      <c r="C16" s="246">
        <f>28.78+200.62+1566.27</f>
        <v>1795.67</v>
      </c>
      <c r="D16" s="247"/>
      <c r="E16" s="247"/>
      <c r="F16" s="248"/>
      <c r="G16" s="246">
        <f>47.52</f>
        <v>47.52</v>
      </c>
      <c r="H16" s="247"/>
      <c r="I16" s="247"/>
      <c r="J16" s="248"/>
      <c r="K16" s="246"/>
      <c r="L16" s="247"/>
      <c r="M16" s="247"/>
      <c r="N16" s="248"/>
      <c r="O16" s="246"/>
      <c r="P16" s="247"/>
      <c r="Q16" s="247"/>
      <c r="R16" s="248"/>
      <c r="S16" s="246"/>
      <c r="T16" s="247"/>
      <c r="U16" s="247"/>
      <c r="V16" s="248"/>
      <c r="W16" s="246"/>
      <c r="X16" s="247"/>
      <c r="Y16" s="247"/>
      <c r="Z16" s="248"/>
      <c r="AA16" s="246">
        <v>26.77</v>
      </c>
      <c r="AB16" s="247"/>
      <c r="AC16" s="247"/>
      <c r="AD16" s="248"/>
      <c r="AE16" s="246">
        <v>49</v>
      </c>
      <c r="AF16" s="247"/>
      <c r="AG16" s="247"/>
      <c r="AH16" s="248"/>
      <c r="AI16" s="246"/>
      <c r="AJ16" s="247"/>
      <c r="AK16" s="247"/>
      <c r="AL16" s="248"/>
      <c r="AM16" s="246"/>
      <c r="AN16" s="247"/>
      <c r="AO16" s="247"/>
      <c r="AP16" s="248"/>
      <c r="AQ16" s="246"/>
      <c r="AR16" s="247"/>
      <c r="AS16" s="247"/>
      <c r="AT16" s="248"/>
      <c r="AU16" s="246"/>
      <c r="AV16" s="247"/>
      <c r="AW16" s="247"/>
      <c r="AX16" s="248"/>
      <c r="AY16" s="85">
        <f>SUM(C16:AX16)</f>
        <v>1918.96</v>
      </c>
      <c r="AZ16" s="163">
        <f t="shared" ca="1" si="0"/>
        <v>191.89600000000002</v>
      </c>
      <c r="BA16" s="3"/>
      <c r="BB16" s="3"/>
    </row>
    <row r="17" spans="1:64" ht="16.5" thickBot="1">
      <c r="A17" s="6" t="s">
        <v>5</v>
      </c>
      <c r="B17" s="204">
        <f>SUM(B8:B16)</f>
        <v>57527.95</v>
      </c>
      <c r="C17" s="250">
        <f>SUM(C8:C16)</f>
        <v>9364.27</v>
      </c>
      <c r="D17" s="251"/>
      <c r="E17" s="251"/>
      <c r="F17" s="252"/>
      <c r="G17" s="250">
        <f>SUM(G8:G16)</f>
        <v>5516.3400000000011</v>
      </c>
      <c r="H17" s="251"/>
      <c r="I17" s="251"/>
      <c r="J17" s="252"/>
      <c r="K17" s="250">
        <f>SUM(K8:K16)</f>
        <v>3826.44</v>
      </c>
      <c r="L17" s="251"/>
      <c r="M17" s="251"/>
      <c r="N17" s="252"/>
      <c r="O17" s="250">
        <f>SUM(O8:O16)</f>
        <v>6525.6500000000005</v>
      </c>
      <c r="P17" s="251"/>
      <c r="Q17" s="251"/>
      <c r="R17" s="252"/>
      <c r="S17" s="250">
        <f>SUM(S8:S16)</f>
        <v>3997.67</v>
      </c>
      <c r="T17" s="251"/>
      <c r="U17" s="251"/>
      <c r="V17" s="252"/>
      <c r="W17" s="250">
        <f>SUM(W8:W16)</f>
        <v>5438.31</v>
      </c>
      <c r="X17" s="251"/>
      <c r="Y17" s="251"/>
      <c r="Z17" s="252"/>
      <c r="AA17" s="250">
        <f>SUM(AA8:AA16)</f>
        <v>4427.8999999999996</v>
      </c>
      <c r="AB17" s="251"/>
      <c r="AC17" s="251"/>
      <c r="AD17" s="252"/>
      <c r="AE17" s="250">
        <f>SUM(AE8:AE16)</f>
        <v>3385.5499999999997</v>
      </c>
      <c r="AF17" s="251"/>
      <c r="AG17" s="251"/>
      <c r="AH17" s="252"/>
      <c r="AI17" s="250">
        <f>SUM(AI8:AI16)</f>
        <v>4189.3</v>
      </c>
      <c r="AJ17" s="251"/>
      <c r="AK17" s="251"/>
      <c r="AL17" s="252"/>
      <c r="AM17" s="250">
        <f>SUM(AM8:AM16)</f>
        <v>865.8</v>
      </c>
      <c r="AN17" s="251"/>
      <c r="AO17" s="251"/>
      <c r="AP17" s="252"/>
      <c r="AQ17" s="250">
        <f>SUM(AQ8:AQ16)</f>
        <v>0</v>
      </c>
      <c r="AR17" s="251"/>
      <c r="AS17" s="251"/>
      <c r="AT17" s="252"/>
      <c r="AU17" s="250">
        <f>SUM(AU8:AU16)</f>
        <v>0</v>
      </c>
      <c r="AV17" s="251"/>
      <c r="AW17" s="251"/>
      <c r="AX17" s="252"/>
      <c r="AY17" s="18">
        <f>SUM(AY8:AY16)</f>
        <v>47537.23</v>
      </c>
      <c r="AZ17" s="163">
        <f ca="1">AY17/BB$17</f>
        <v>4753.723</v>
      </c>
      <c r="BA17" s="1" t="s">
        <v>117</v>
      </c>
      <c r="BB17" s="1">
        <f ca="1">MONTH(TODAY())</f>
        <v>10</v>
      </c>
      <c r="BC17" s="87"/>
    </row>
    <row r="18" spans="1:64" ht="32.25" customHeight="1" thickTop="1" thickBot="1">
      <c r="A18" s="19"/>
      <c r="B18" s="19"/>
      <c r="C18" s="253"/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/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53"/>
      <c r="AT18" s="253"/>
      <c r="AU18" s="253" t="s">
        <v>477</v>
      </c>
      <c r="AV18" s="253"/>
      <c r="AW18" s="253"/>
      <c r="AX18" s="253"/>
      <c r="AY18" s="217">
        <f>(2250*13)+5500+(550*12)+(93.93*12)</f>
        <v>42477.16</v>
      </c>
      <c r="AZ18" s="217">
        <f ca="1">12*AZ17</f>
        <v>57044.675999999999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0</v>
      </c>
      <c r="AP20" s="178">
        <f t="shared" ref="AP20:AP45" si="11">AL20+AN20-AO20</f>
        <v>832.79999999999984</v>
      </c>
      <c r="AQ20" s="26" t="s">
        <v>114</v>
      </c>
      <c r="AR20" s="177">
        <f>'11'!B20</f>
        <v>544</v>
      </c>
      <c r="AS20" s="177">
        <f>SUM('11'!D20:F20)</f>
        <v>0</v>
      </c>
      <c r="AT20" s="178">
        <f t="shared" ref="AT20:AT45" si="12">AP20+AR20-AS20</f>
        <v>1376.7999999999997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1920.7999999999997</v>
      </c>
      <c r="AY20" s="39">
        <f t="shared" ref="AY20:AY27" si="14">E20+I20+M20+Q20+U20+Y20+AC20+AG20+AK20+AO20+AS20+AW20</f>
        <v>6510.2099999999991</v>
      </c>
      <c r="AZ20" s="40">
        <f t="shared" ref="AZ20:AZ45" si="15">AY20/AY$46</f>
        <v>0.15632002358891511</v>
      </c>
      <c r="BA20" s="41">
        <f>_xlfn.RANK.EQ(AZ20,$AZ$20:$AZ$45,)</f>
        <v>2</v>
      </c>
      <c r="BB20" s="41">
        <f t="shared" ref="BB20:BB45" ca="1" si="16">AY20/BB$17</f>
        <v>651.02099999999996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7056.6</v>
      </c>
      <c r="BJ20" s="40">
        <f t="shared" ref="BJ20:BJ45" ca="1" si="17">BI20/BI$46</f>
        <v>0.14844677417624411</v>
      </c>
      <c r="BK20" s="41">
        <f ca="1">_xlfn.RANK.EQ(BJ20,$BJ$20:$BJ$45,)</f>
        <v>2</v>
      </c>
      <c r="BL20" s="41">
        <f ca="1">BI20/BB$17</f>
        <v>705.66000000000008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96.94</v>
      </c>
      <c r="AP21" s="181">
        <f t="shared" si="11"/>
        <v>1748.1599999999999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2876.16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4004.16</v>
      </c>
      <c r="AY21" s="44">
        <f t="shared" si="14"/>
        <v>9958.76</v>
      </c>
      <c r="AZ21" s="40">
        <f t="shared" si="15"/>
        <v>0.23912494345287547</v>
      </c>
      <c r="BA21" s="41">
        <f t="shared" ref="BA21:BA45" si="18">_xlfn.RANK.EQ(AZ21,$AZ$20:$AZ$45,)</f>
        <v>1</v>
      </c>
      <c r="BB21" s="41">
        <f t="shared" ca="1" si="16"/>
        <v>995.87599999999998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11706.92</v>
      </c>
      <c r="BJ21" s="40">
        <f t="shared" ca="1" si="17"/>
        <v>0.24627363171206471</v>
      </c>
      <c r="BK21" s="41">
        <f t="shared" ref="BK21:BK45" ca="1" si="20">_xlfn.RANK.EQ(BJ21,$BJ$20:$BJ$45,)</f>
        <v>1</v>
      </c>
      <c r="BL21" s="41">
        <f t="shared" ref="BL21:BL45" ca="1" si="21">BI21/BB$17</f>
        <v>1170.692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127.17</v>
      </c>
      <c r="AP22" s="183">
        <f t="shared" si="11"/>
        <v>499.67000000000013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989.67000000000007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1479.67</v>
      </c>
      <c r="AY22" s="42">
        <f t="shared" si="14"/>
        <v>4059.79</v>
      </c>
      <c r="AZ22" s="40">
        <f t="shared" si="15"/>
        <v>9.7481720031464686E-2</v>
      </c>
      <c r="BA22" s="41">
        <f t="shared" si="18"/>
        <v>3</v>
      </c>
      <c r="BB22" s="41">
        <f t="shared" ca="1" si="16"/>
        <v>405.97899999999998</v>
      </c>
      <c r="BI22" s="39">
        <f t="shared" ca="1" si="19"/>
        <v>4559.46</v>
      </c>
      <c r="BJ22" s="40">
        <f t="shared" ca="1" si="17"/>
        <v>9.5915473313723035E-2</v>
      </c>
      <c r="BK22" s="41">
        <f t="shared" ca="1" si="20"/>
        <v>4</v>
      </c>
      <c r="BL22" s="41">
        <f t="shared" ca="1" si="21"/>
        <v>455.94600000000003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120.99</v>
      </c>
      <c r="AP23" s="181">
        <f t="shared" si="11"/>
        <v>100.06000000000002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250.06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400.06</v>
      </c>
      <c r="AY23" s="44">
        <f t="shared" si="14"/>
        <v>1890.1399999999999</v>
      </c>
      <c r="AZ23" s="40">
        <f t="shared" si="15"/>
        <v>4.5385130339321164E-2</v>
      </c>
      <c r="BA23" s="41">
        <f t="shared" si="18"/>
        <v>7</v>
      </c>
      <c r="BB23" s="41">
        <f t="shared" ca="1" si="16"/>
        <v>189.01399999999998</v>
      </c>
      <c r="BI23" s="175">
        <f t="shared" ca="1" si="19"/>
        <v>1986.9399999999998</v>
      </c>
      <c r="BJ23" s="40">
        <f t="shared" ca="1" si="17"/>
        <v>4.1798434583474542E-2</v>
      </c>
      <c r="BK23" s="41">
        <f t="shared" ca="1" si="20"/>
        <v>8</v>
      </c>
      <c r="BL23" s="41">
        <f t="shared" ca="1" si="21"/>
        <v>198.69399999999999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58.3</v>
      </c>
      <c r="AP24" s="183">
        <f t="shared" si="11"/>
        <v>97.060000000000016</v>
      </c>
      <c r="AQ24" s="26" t="s">
        <v>114</v>
      </c>
      <c r="AR24" s="182">
        <f>'11'!B100</f>
        <v>160</v>
      </c>
      <c r="AS24" s="182">
        <f>SUM('11'!D100:F100)</f>
        <v>0</v>
      </c>
      <c r="AT24" s="183">
        <f t="shared" si="12"/>
        <v>257.06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417.06</v>
      </c>
      <c r="AY24" s="42">
        <f t="shared" si="14"/>
        <v>1480.4</v>
      </c>
      <c r="AZ24" s="40">
        <f t="shared" si="15"/>
        <v>3.5546651017560105E-2</v>
      </c>
      <c r="BA24" s="41">
        <f t="shared" si="18"/>
        <v>9</v>
      </c>
      <c r="BB24" s="41">
        <f t="shared" ca="1" si="16"/>
        <v>148.04000000000002</v>
      </c>
      <c r="BI24" s="39">
        <f t="shared" ca="1" si="19"/>
        <v>1502.9</v>
      </c>
      <c r="BJ24" s="40">
        <f t="shared" ca="1" si="17"/>
        <v>3.1615885399410099E-2</v>
      </c>
      <c r="BK24" s="41">
        <f t="shared" ca="1" si="20"/>
        <v>9</v>
      </c>
      <c r="BL24" s="41">
        <f t="shared" ca="1" si="21"/>
        <v>150.29000000000002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328.82000000000005</v>
      </c>
      <c r="AP25" s="181">
        <f t="shared" si="11"/>
        <v>3784.6199999999985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4184.619999999999</v>
      </c>
      <c r="AU25" s="27" t="s">
        <v>118</v>
      </c>
      <c r="AV25" s="179">
        <f>'12'!B120</f>
        <v>505</v>
      </c>
      <c r="AW25" s="180">
        <f>SUM('12'!D120:F120)</f>
        <v>0</v>
      </c>
      <c r="AX25" s="181">
        <f t="shared" si="13"/>
        <v>4689.619999999999</v>
      </c>
      <c r="AY25" s="44">
        <f t="shared" si="14"/>
        <v>3290.2000000000012</v>
      </c>
      <c r="AZ25" s="40">
        <f t="shared" si="15"/>
        <v>7.9002696013223656E-2</v>
      </c>
      <c r="BA25" s="41">
        <f t="shared" si="18"/>
        <v>5</v>
      </c>
      <c r="BB25" s="41">
        <f t="shared" ca="1" si="16"/>
        <v>329.0200000000001</v>
      </c>
      <c r="BI25" s="175">
        <f t="shared" ca="1" si="19"/>
        <v>4000</v>
      </c>
      <c r="BJ25" s="40">
        <f t="shared" ca="1" si="17"/>
        <v>8.414634479848318E-2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7.99</v>
      </c>
      <c r="AP26" s="183">
        <f t="shared" si="11"/>
        <v>57.029999999999951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105.02999999999994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153.02999999999994</v>
      </c>
      <c r="AY26" s="42">
        <f t="shared" si="14"/>
        <v>448.44000000000005</v>
      </c>
      <c r="AZ26" s="40">
        <f t="shared" si="15"/>
        <v>1.0767725062357913E-2</v>
      </c>
      <c r="BA26" s="41">
        <f t="shared" si="18"/>
        <v>16</v>
      </c>
      <c r="BB26" s="41">
        <f t="shared" ca="1" si="16"/>
        <v>44.844000000000008</v>
      </c>
      <c r="BI26" s="39">
        <f t="shared" ca="1" si="19"/>
        <v>471</v>
      </c>
      <c r="BJ26" s="40">
        <f t="shared" ca="1" si="17"/>
        <v>9.9082321000213951E-3</v>
      </c>
      <c r="BK26" s="41">
        <f t="shared" ca="1" si="20"/>
        <v>16</v>
      </c>
      <c r="BL26" s="41">
        <f t="shared" ca="1" si="21"/>
        <v>47.1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28.86</v>
      </c>
      <c r="AP27" s="184">
        <f t="shared" si="11"/>
        <v>288.67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338.67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388.67</v>
      </c>
      <c r="AY27" s="44">
        <f t="shared" si="14"/>
        <v>366.72</v>
      </c>
      <c r="AZ27" s="40">
        <f t="shared" si="15"/>
        <v>8.8055038240743323E-3</v>
      </c>
      <c r="BA27" s="41">
        <f t="shared" si="18"/>
        <v>17</v>
      </c>
      <c r="BB27" s="41">
        <f t="shared" ca="1" si="16"/>
        <v>36.672000000000004</v>
      </c>
      <c r="BI27" s="175">
        <f t="shared" ca="1" si="19"/>
        <v>530</v>
      </c>
      <c r="BJ27" s="40">
        <f t="shared" ca="1" si="17"/>
        <v>1.1149390685799022E-2</v>
      </c>
      <c r="BK27" s="41">
        <f t="shared" ca="1" si="20"/>
        <v>15</v>
      </c>
      <c r="BL27" s="41">
        <f t="shared" ca="1" si="21"/>
        <v>53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200</v>
      </c>
      <c r="AS28" s="182">
        <f>SUM('11'!D180:F180)</f>
        <v>0</v>
      </c>
      <c r="AT28" s="185">
        <f t="shared" si="12"/>
        <v>-18.42999999999995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181.57000000000005</v>
      </c>
      <c r="AY28" s="39">
        <f t="shared" ref="AY28:AY45" si="22">E28+I28+M28+Q28+U28+Y28+AC28+AG28+AK28+AO28+AS28+AW28</f>
        <v>3498.32</v>
      </c>
      <c r="AZ28" s="40">
        <f t="shared" si="15"/>
        <v>8.3999973107100015E-2</v>
      </c>
      <c r="BA28" s="41">
        <f t="shared" si="18"/>
        <v>4</v>
      </c>
      <c r="BB28" s="41">
        <f t="shared" ca="1" si="16"/>
        <v>349.83199999999999</v>
      </c>
      <c r="BI28" s="39">
        <f t="shared" ca="1" si="19"/>
        <v>3267.53</v>
      </c>
      <c r="BJ28" s="40">
        <f t="shared" ca="1" si="17"/>
        <v>6.873767650484694E-2</v>
      </c>
      <c r="BK28" s="41">
        <f t="shared" ca="1" si="20"/>
        <v>6</v>
      </c>
      <c r="BL28" s="41">
        <f t="shared" ca="1" si="21"/>
        <v>326.75300000000004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70.489999999999995</v>
      </c>
      <c r="AP29" s="186">
        <f t="shared" si="11"/>
        <v>60.710000000000051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130.71000000000004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200.71000000000004</v>
      </c>
      <c r="AY29" s="44">
        <f t="shared" si="22"/>
        <v>899.61999999999989</v>
      </c>
      <c r="AZ29" s="40">
        <f t="shared" si="15"/>
        <v>2.1601241683610793E-2</v>
      </c>
      <c r="BA29" s="41">
        <f t="shared" si="18"/>
        <v>11</v>
      </c>
      <c r="BB29" s="41">
        <f t="shared" ca="1" si="16"/>
        <v>89.961999999999989</v>
      </c>
      <c r="BI29" s="175">
        <f t="shared" ca="1" si="19"/>
        <v>744.05</v>
      </c>
      <c r="BJ29" s="40">
        <f t="shared" ca="1" si="17"/>
        <v>1.5652271961827852E-2</v>
      </c>
      <c r="BK29" s="41">
        <f t="shared" ca="1" si="20"/>
        <v>12</v>
      </c>
      <c r="BL29" s="41">
        <f t="shared" ca="1" si="21"/>
        <v>74.405000000000001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0</v>
      </c>
      <c r="AP30" s="187">
        <f t="shared" si="11"/>
        <v>67.660000000000011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102.66000000000001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137.66000000000003</v>
      </c>
      <c r="AY30" s="42">
        <f t="shared" si="22"/>
        <v>326.21000000000004</v>
      </c>
      <c r="AZ30" s="40">
        <f t="shared" si="15"/>
        <v>7.8327972361782513E-3</v>
      </c>
      <c r="BA30" s="41">
        <f t="shared" si="18"/>
        <v>18</v>
      </c>
      <c r="BB30" s="41">
        <f t="shared" ca="1" si="16"/>
        <v>32.621000000000002</v>
      </c>
      <c r="BI30" s="39">
        <f t="shared" ca="1" si="19"/>
        <v>350</v>
      </c>
      <c r="BJ30" s="40">
        <f t="shared" ca="1" si="17"/>
        <v>7.3628051698672783E-3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0</v>
      </c>
      <c r="AP31" s="186">
        <f t="shared" si="11"/>
        <v>97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117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137</v>
      </c>
      <c r="AY31" s="44">
        <f t="shared" si="22"/>
        <v>675</v>
      </c>
      <c r="AZ31" s="40">
        <f t="shared" si="15"/>
        <v>1.6207774545293888E-2</v>
      </c>
      <c r="BA31" s="41">
        <f t="shared" si="18"/>
        <v>13</v>
      </c>
      <c r="BB31" s="41">
        <f t="shared" ca="1" si="16"/>
        <v>67.5</v>
      </c>
      <c r="BI31" s="175">
        <f t="shared" ca="1" si="19"/>
        <v>640</v>
      </c>
      <c r="BJ31" s="40">
        <f t="shared" ca="1" si="17"/>
        <v>1.3463415167757309E-2</v>
      </c>
      <c r="BK31" s="41">
        <f t="shared" ca="1" si="20"/>
        <v>14</v>
      </c>
      <c r="BL31" s="41">
        <f t="shared" ca="1" si="21"/>
        <v>64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79.52000000000001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129.52000000000001</v>
      </c>
      <c r="AY32" s="42">
        <f t="shared" si="22"/>
        <v>1167.0700000000004</v>
      </c>
      <c r="AZ32" s="40">
        <f t="shared" si="15"/>
        <v>2.8023122131223915E-2</v>
      </c>
      <c r="BA32" s="41">
        <f t="shared" si="18"/>
        <v>10</v>
      </c>
      <c r="BB32" s="41">
        <f t="shared" ca="1" si="16"/>
        <v>116.70700000000004</v>
      </c>
      <c r="BI32" s="39">
        <f t="shared" ca="1" si="19"/>
        <v>1196.5900000000001</v>
      </c>
      <c r="BJ32" s="40">
        <f t="shared" ca="1" si="17"/>
        <v>2.5172168680604252E-2</v>
      </c>
      <c r="BK32" s="41">
        <f t="shared" ca="1" si="20"/>
        <v>10</v>
      </c>
      <c r="BL32" s="41">
        <f t="shared" ca="1" si="21"/>
        <v>119.65900000000002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7.5732327282750989E-4</v>
      </c>
      <c r="BA33" s="41">
        <f t="shared" si="18"/>
        <v>22</v>
      </c>
      <c r="BB33" s="41">
        <f t="shared" ca="1" si="16"/>
        <v>3.1539999999999999</v>
      </c>
      <c r="BI33" s="175">
        <f t="shared" ca="1" si="19"/>
        <v>241.54</v>
      </c>
      <c r="BJ33" s="40">
        <f t="shared" ca="1" si="17"/>
        <v>5.0811770306564072E-3</v>
      </c>
      <c r="BK33" s="41">
        <f t="shared" ca="1" si="20"/>
        <v>21</v>
      </c>
      <c r="BL33" s="41">
        <f t="shared" ca="1" si="21"/>
        <v>24.154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95</v>
      </c>
      <c r="AS34" s="182">
        <f>SUM('11'!D300:F300)</f>
        <v>0</v>
      </c>
      <c r="AT34" s="187">
        <f t="shared" si="12"/>
        <v>589.55999999999995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679.56</v>
      </c>
      <c r="AY34" s="42">
        <f>E34+I34+M34+Q34+U34+Y34+AC34+AG34+AK34+AO34+AS34+AW34+(E36+I36+M36)</f>
        <v>3105.62</v>
      </c>
      <c r="AZ34" s="40">
        <f t="shared" si="15"/>
        <v>7.4570650049415696E-2</v>
      </c>
      <c r="BA34" s="41">
        <f t="shared" si="18"/>
        <v>6</v>
      </c>
      <c r="BB34" s="41">
        <f t="shared" ca="1" si="16"/>
        <v>310.56200000000001</v>
      </c>
      <c r="BI34" s="39">
        <f t="shared" ca="1" si="19"/>
        <v>2807.6</v>
      </c>
      <c r="BJ34" s="40">
        <f t="shared" ca="1" si="17"/>
        <v>5.9062319414055348E-2</v>
      </c>
      <c r="BK34" s="41">
        <f t="shared" ca="1" si="20"/>
        <v>7</v>
      </c>
      <c r="BL34" s="41">
        <f t="shared" ca="1" si="21"/>
        <v>280.76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69</v>
      </c>
      <c r="AP35" s="184">
        <f t="shared" si="11"/>
        <v>1443.3900000000003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1558.3900000000003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1673.3900000000003</v>
      </c>
      <c r="AY35" s="44">
        <f t="shared" si="22"/>
        <v>1655.71</v>
      </c>
      <c r="AZ35" s="40">
        <f t="shared" si="15"/>
        <v>3.9756110210945987E-2</v>
      </c>
      <c r="BA35" s="41">
        <f t="shared" si="18"/>
        <v>8</v>
      </c>
      <c r="BB35" s="41">
        <f t="shared" ca="1" si="16"/>
        <v>165.571</v>
      </c>
      <c r="BI35" s="175">
        <f t="shared" ca="1" si="19"/>
        <v>1020</v>
      </c>
      <c r="BJ35" s="40">
        <f t="shared" ca="1" si="17"/>
        <v>2.1457317923613214E-2</v>
      </c>
      <c r="BK35" s="41">
        <f t="shared" ca="1" si="20"/>
        <v>11</v>
      </c>
      <c r="BL35" s="41">
        <f t="shared" ca="1" si="21"/>
        <v>102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</v>
      </c>
      <c r="AO36" s="188">
        <f>SUM('10'!D340:F340)</f>
        <v>0</v>
      </c>
      <c r="AP36" s="183">
        <f t="shared" si="11"/>
        <v>-91.279999999999944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-1.2799999999999443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88.720000000000056</v>
      </c>
      <c r="AY36" s="39">
        <f>Q36+U36+Y36+AC36+AG36+AK36+AO36+AS36+AW36</f>
        <v>627.01</v>
      </c>
      <c r="AZ36" s="40">
        <f t="shared" si="15"/>
        <v>1.5055461803918103E-2</v>
      </c>
      <c r="BA36" s="41">
        <f t="shared" si="18"/>
        <v>15</v>
      </c>
      <c r="BB36" s="41">
        <f t="shared" ca="1" si="16"/>
        <v>62.701000000000001</v>
      </c>
      <c r="BI36" s="39">
        <f t="shared" ca="1" si="19"/>
        <v>441.13</v>
      </c>
      <c r="BJ36" s="40">
        <f t="shared" ca="1" si="17"/>
        <v>9.2798692702387216E-3</v>
      </c>
      <c r="BK36" s="41">
        <f t="shared" ca="1" si="20"/>
        <v>17</v>
      </c>
      <c r="BL36" s="41">
        <f t="shared" ca="1" si="21"/>
        <v>44.113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0</v>
      </c>
      <c r="AP37" s="181">
        <f t="shared" si="11"/>
        <v>188.38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233.38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278.38</v>
      </c>
      <c r="AY37" s="44">
        <f t="shared" si="22"/>
        <v>650.13</v>
      </c>
      <c r="AZ37" s="40">
        <f t="shared" si="15"/>
        <v>1.5610608096491724E-2</v>
      </c>
      <c r="BA37" s="41">
        <f t="shared" si="18"/>
        <v>14</v>
      </c>
      <c r="BB37" s="41">
        <f t="shared" ca="1" si="16"/>
        <v>65.013000000000005</v>
      </c>
      <c r="BI37" s="175">
        <f t="shared" ca="1" si="19"/>
        <v>380</v>
      </c>
      <c r="BJ37" s="40">
        <f t="shared" ca="1" si="17"/>
        <v>7.9939027558559028E-3</v>
      </c>
      <c r="BK37" s="41">
        <f t="shared" ca="1" si="20"/>
        <v>19</v>
      </c>
      <c r="BL37" s="41">
        <f t="shared" ca="1" si="21"/>
        <v>38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4</v>
      </c>
      <c r="AP38" s="183">
        <f t="shared" si="11"/>
        <v>5.1900000000000333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75.190000000000026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145.19000000000003</v>
      </c>
      <c r="AY38" s="42">
        <f t="shared" si="22"/>
        <v>715.6</v>
      </c>
      <c r="AZ38" s="40">
        <f t="shared" si="15"/>
        <v>1.7182642169796009E-2</v>
      </c>
      <c r="BA38" s="41">
        <f t="shared" si="18"/>
        <v>12</v>
      </c>
      <c r="BB38" s="41">
        <f t="shared" ca="1" si="16"/>
        <v>71.56</v>
      </c>
      <c r="BI38" s="39">
        <f t="shared" ca="1" si="19"/>
        <v>649.77</v>
      </c>
      <c r="BJ38" s="40">
        <f t="shared" ca="1" si="17"/>
        <v>1.3668942614927605E-2</v>
      </c>
      <c r="BK38" s="41">
        <f t="shared" ca="1" si="20"/>
        <v>13</v>
      </c>
      <c r="BL38" s="41">
        <f t="shared" ca="1" si="21"/>
        <v>64.977000000000004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120</v>
      </c>
      <c r="BJ39" s="40">
        <f t="shared" ca="1" si="17"/>
        <v>2.5243903439544956E-3</v>
      </c>
      <c r="BK39" s="41">
        <f t="shared" ca="1" si="20"/>
        <v>22</v>
      </c>
      <c r="BL39" s="41">
        <f t="shared" ca="1" si="21"/>
        <v>12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0</v>
      </c>
      <c r="AP40" s="183">
        <f t="shared" si="11"/>
        <v>728.89000000000044</v>
      </c>
      <c r="AQ40" s="26" t="s">
        <v>114</v>
      </c>
      <c r="AR40" s="190">
        <f>'11'!B420</f>
        <v>20</v>
      </c>
      <c r="AS40" s="190">
        <f>SUM('11'!D420:F420)</f>
        <v>0</v>
      </c>
      <c r="AT40" s="183">
        <f t="shared" si="12"/>
        <v>748.89000000000044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768.89000000000044</v>
      </c>
      <c r="AY40" s="42">
        <f t="shared" si="22"/>
        <v>118.89</v>
      </c>
      <c r="AZ40" s="40">
        <f t="shared" si="15"/>
        <v>2.8547293565777633E-3</v>
      </c>
      <c r="BA40" s="41">
        <f t="shared" si="18"/>
        <v>19</v>
      </c>
      <c r="BB40" s="41">
        <f t="shared" ca="1" si="16"/>
        <v>11.888999999999999</v>
      </c>
      <c r="BI40" s="39">
        <f t="shared" ca="1" si="19"/>
        <v>-2555.9399999999996</v>
      </c>
      <c r="BJ40" s="40">
        <f t="shared" ca="1" si="17"/>
        <v>-5.376825213105877E-2</v>
      </c>
      <c r="BK40" s="41">
        <f t="shared" ca="1" si="20"/>
        <v>26</v>
      </c>
      <c r="BL40" s="41">
        <f t="shared" ca="1" si="21"/>
        <v>-255.59399999999997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-3062.34</v>
      </c>
      <c r="AO41" s="189">
        <f>SUM('10'!D440:F440)</f>
        <v>0</v>
      </c>
      <c r="AP41" s="181">
        <f t="shared" si="11"/>
        <v>4318.5299999999988</v>
      </c>
      <c r="AQ41" s="27" t="s">
        <v>114</v>
      </c>
      <c r="AR41" s="189">
        <f>'11'!B440</f>
        <v>-3900</v>
      </c>
      <c r="AS41" s="189">
        <f>SUM('11'!D440:F440)</f>
        <v>0</v>
      </c>
      <c r="AT41" s="181">
        <f t="shared" si="12"/>
        <v>418.52999999999884</v>
      </c>
      <c r="AU41" s="27" t="s">
        <v>118</v>
      </c>
      <c r="AV41" s="189">
        <f>'12'!B440</f>
        <v>-4000</v>
      </c>
      <c r="AW41" s="189">
        <f>SUM('12'!D440:F440)</f>
        <v>0</v>
      </c>
      <c r="AX41" s="181">
        <f t="shared" si="13"/>
        <v>-3581.4700000000012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-986.98</v>
      </c>
      <c r="BJ41" s="40">
        <f t="shared" ca="1" si="17"/>
        <v>-2.0762689847301733E-2</v>
      </c>
      <c r="BK41" s="41">
        <f t="shared" ca="1" si="20"/>
        <v>25</v>
      </c>
      <c r="BL41" s="41">
        <f t="shared" ca="1" si="21"/>
        <v>-98.698000000000008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0.14498667647813049</v>
      </c>
      <c r="BK42" s="41">
        <f t="shared" ca="1" si="20"/>
        <v>3</v>
      </c>
      <c r="BL42" s="41">
        <f t="shared" ca="1" si="21"/>
        <v>689.21199999999999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2.4011517844879831E-3</v>
      </c>
      <c r="BA43" s="41">
        <f t="shared" si="18"/>
        <v>20</v>
      </c>
      <c r="BB43" s="41">
        <f t="shared" ca="1" si="16"/>
        <v>10</v>
      </c>
      <c r="BI43" s="175">
        <f t="shared" ca="1" si="19"/>
        <v>416</v>
      </c>
      <c r="BJ43" s="40">
        <f t="shared" ca="1" si="17"/>
        <v>8.7512198590422516E-3</v>
      </c>
      <c r="BK43" s="41">
        <f t="shared" ca="1" si="20"/>
        <v>18</v>
      </c>
      <c r="BL43" s="41">
        <f t="shared" ca="1" si="21"/>
        <v>41.6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1.712021222339932E-3</v>
      </c>
      <c r="BA45" s="41">
        <f t="shared" si="18"/>
        <v>21</v>
      </c>
      <c r="BB45" s="41">
        <f t="shared" ca="1" si="16"/>
        <v>7.13</v>
      </c>
      <c r="BI45" s="175">
        <f t="shared" ca="1" si="19"/>
        <v>99</v>
      </c>
      <c r="BJ45" s="40">
        <f t="shared" ca="1" si="17"/>
        <v>2.0826220337624587E-3</v>
      </c>
      <c r="BK45" s="41">
        <f t="shared" ca="1" si="20"/>
        <v>23</v>
      </c>
      <c r="BL45" s="41">
        <f t="shared" ca="1" si="21"/>
        <v>9.9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865.79999999999973</v>
      </c>
      <c r="AO46" s="196">
        <f>SUM(AO20:AO45)</f>
        <v>1395.43</v>
      </c>
      <c r="AP46" s="197">
        <f>SUM(AP20:AP45)</f>
        <v>23226.229999999996</v>
      </c>
      <c r="AQ46" s="81"/>
      <c r="AR46" s="196">
        <f>SUM(AR20:AR45)</f>
        <v>0</v>
      </c>
      <c r="AS46" s="196">
        <f>SUM(AS20:AS45)</f>
        <v>0</v>
      </c>
      <c r="AT46" s="197">
        <f>SUM(AT20:AT45)</f>
        <v>23226.229999999996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23226.229999999996</v>
      </c>
      <c r="AY46" s="28">
        <f>SUM(AY20:AY45)</f>
        <v>41646.68</v>
      </c>
      <c r="AZ46" s="1"/>
      <c r="BA46" s="1"/>
      <c r="BB46" s="176">
        <f ca="1">SUM(BB20:BB45)</f>
        <v>4164.6679999999997</v>
      </c>
      <c r="BI46" s="28">
        <f ca="1">SUM(BI20:BI45)</f>
        <v>47536.229999999996</v>
      </c>
      <c r="BJ46" s="1"/>
      <c r="BK46" s="1"/>
      <c r="BL46" s="176">
        <f ca="1">SUM(BL20:BL45)</f>
        <v>4753.6230000000005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-529.63000000000011</v>
      </c>
      <c r="AP47" s="198"/>
      <c r="AQ47" s="198">
        <f>AQ5-AP46</f>
        <v>-8124.3399999999947</v>
      </c>
      <c r="AR47" s="198">
        <f>AQ17-AR46</f>
        <v>0</v>
      </c>
      <c r="AS47" s="198">
        <f>AQ17-AS46</f>
        <v>0</v>
      </c>
      <c r="AT47" s="198"/>
      <c r="AU47" s="198">
        <f>AU5-AT46</f>
        <v>-8124.3399999999947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49976.015999999996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71.570000000000022</v>
      </c>
      <c r="AP50" s="170"/>
      <c r="AQ50" s="170"/>
      <c r="AR50" s="170"/>
      <c r="AS50" s="170">
        <f>AS22+28</f>
        <v>28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54" t="s">
        <v>197</v>
      </c>
      <c r="D52" s="255"/>
      <c r="E52" s="255"/>
      <c r="F52" s="256"/>
      <c r="G52" s="254" t="s">
        <v>197</v>
      </c>
      <c r="H52" s="255"/>
      <c r="I52" s="255"/>
      <c r="J52" s="256"/>
      <c r="K52" s="254" t="s">
        <v>197</v>
      </c>
      <c r="L52" s="255"/>
      <c r="M52" s="255"/>
      <c r="N52" s="256"/>
      <c r="O52" s="254" t="s">
        <v>197</v>
      </c>
      <c r="P52" s="255"/>
      <c r="Q52" s="255"/>
      <c r="R52" s="256"/>
      <c r="S52" s="254" t="s">
        <v>197</v>
      </c>
      <c r="T52" s="255"/>
      <c r="U52" s="255"/>
      <c r="V52" s="256"/>
      <c r="W52" s="254" t="s">
        <v>197</v>
      </c>
      <c r="X52" s="255"/>
      <c r="Y52" s="255"/>
      <c r="Z52" s="256"/>
      <c r="AA52" s="254" t="s">
        <v>197</v>
      </c>
      <c r="AB52" s="255"/>
      <c r="AC52" s="255"/>
      <c r="AD52" s="256"/>
      <c r="AE52" s="254" t="s">
        <v>197</v>
      </c>
      <c r="AF52" s="255"/>
      <c r="AG52" s="255"/>
      <c r="AH52" s="256"/>
      <c r="AI52" s="254" t="s">
        <v>197</v>
      </c>
      <c r="AJ52" s="255"/>
      <c r="AK52" s="255"/>
      <c r="AL52" s="256"/>
      <c r="AM52" s="254" t="s">
        <v>197</v>
      </c>
      <c r="AN52" s="255"/>
      <c r="AO52" s="255"/>
      <c r="AP52" s="256"/>
      <c r="AQ52" s="254" t="s">
        <v>197</v>
      </c>
      <c r="AR52" s="255"/>
      <c r="AS52" s="255"/>
      <c r="AT52" s="256"/>
      <c r="AU52" s="254" t="s">
        <v>197</v>
      </c>
      <c r="AV52" s="255"/>
      <c r="AW52" s="255"/>
      <c r="AX52" s="256"/>
    </row>
    <row r="53" spans="1:61" ht="15.75" thickBot="1">
      <c r="C53" s="141" t="s">
        <v>198</v>
      </c>
      <c r="D53" s="257" t="s">
        <v>33</v>
      </c>
      <c r="E53" s="258"/>
      <c r="F53" s="142" t="s">
        <v>134</v>
      </c>
      <c r="G53" s="141" t="s">
        <v>198</v>
      </c>
      <c r="H53" s="257" t="s">
        <v>33</v>
      </c>
      <c r="I53" s="258"/>
      <c r="J53" s="142" t="s">
        <v>134</v>
      </c>
      <c r="K53" s="141" t="s">
        <v>198</v>
      </c>
      <c r="L53" s="257" t="s">
        <v>33</v>
      </c>
      <c r="M53" s="258"/>
      <c r="N53" s="142" t="s">
        <v>134</v>
      </c>
      <c r="O53" s="141" t="s">
        <v>198</v>
      </c>
      <c r="P53" s="257" t="s">
        <v>33</v>
      </c>
      <c r="Q53" s="258"/>
      <c r="R53" s="142" t="s">
        <v>134</v>
      </c>
      <c r="S53" s="141" t="s">
        <v>198</v>
      </c>
      <c r="T53" s="257" t="s">
        <v>33</v>
      </c>
      <c r="U53" s="258"/>
      <c r="V53" s="142" t="s">
        <v>134</v>
      </c>
      <c r="W53" s="141" t="s">
        <v>198</v>
      </c>
      <c r="X53" s="257" t="s">
        <v>33</v>
      </c>
      <c r="Y53" s="258"/>
      <c r="Z53" s="142" t="s">
        <v>134</v>
      </c>
      <c r="AA53" s="141" t="s">
        <v>198</v>
      </c>
      <c r="AB53" s="257" t="s">
        <v>33</v>
      </c>
      <c r="AC53" s="258"/>
      <c r="AD53" s="142" t="s">
        <v>134</v>
      </c>
      <c r="AE53" s="141" t="s">
        <v>198</v>
      </c>
      <c r="AF53" s="257" t="s">
        <v>33</v>
      </c>
      <c r="AG53" s="258"/>
      <c r="AH53" s="142" t="s">
        <v>134</v>
      </c>
      <c r="AI53" s="141" t="s">
        <v>198</v>
      </c>
      <c r="AJ53" s="257" t="s">
        <v>33</v>
      </c>
      <c r="AK53" s="258"/>
      <c r="AL53" s="142" t="s">
        <v>134</v>
      </c>
      <c r="AM53" s="141" t="s">
        <v>198</v>
      </c>
      <c r="AN53" s="257" t="s">
        <v>33</v>
      </c>
      <c r="AO53" s="258"/>
      <c r="AP53" s="142" t="s">
        <v>134</v>
      </c>
      <c r="AQ53" s="141" t="s">
        <v>198</v>
      </c>
      <c r="AR53" s="257" t="s">
        <v>33</v>
      </c>
      <c r="AS53" s="258"/>
      <c r="AT53" s="142" t="s">
        <v>134</v>
      </c>
      <c r="AU53" s="141" t="s">
        <v>198</v>
      </c>
      <c r="AV53" s="257" t="s">
        <v>33</v>
      </c>
      <c r="AW53" s="258"/>
      <c r="AX53" s="142" t="s">
        <v>134</v>
      </c>
    </row>
    <row r="54" spans="1:61">
      <c r="C54" s="143">
        <v>43112</v>
      </c>
      <c r="D54" s="259" t="s">
        <v>199</v>
      </c>
      <c r="E54" s="260"/>
      <c r="F54" s="146">
        <v>10</v>
      </c>
      <c r="G54" s="143">
        <v>43137</v>
      </c>
      <c r="H54" s="259" t="s">
        <v>219</v>
      </c>
      <c r="I54" s="260"/>
      <c r="J54" s="148">
        <v>10</v>
      </c>
      <c r="K54" s="143">
        <v>43166</v>
      </c>
      <c r="L54" s="265" t="s">
        <v>287</v>
      </c>
      <c r="M54" s="266"/>
      <c r="N54" s="148"/>
      <c r="O54" s="143">
        <v>43195</v>
      </c>
      <c r="P54" s="265" t="s">
        <v>219</v>
      </c>
      <c r="Q54" s="266"/>
      <c r="R54" s="153">
        <v>10</v>
      </c>
      <c r="S54" s="143">
        <v>43224</v>
      </c>
      <c r="T54" s="265" t="s">
        <v>287</v>
      </c>
      <c r="U54" s="266"/>
      <c r="V54" s="154"/>
      <c r="W54" s="144">
        <v>43264</v>
      </c>
      <c r="X54" s="269" t="s">
        <v>199</v>
      </c>
      <c r="Y54" s="270"/>
      <c r="Z54" s="155">
        <v>15</v>
      </c>
      <c r="AA54" s="143"/>
      <c r="AB54" s="279" t="s">
        <v>370</v>
      </c>
      <c r="AC54" s="280"/>
      <c r="AD54" s="148">
        <f>1452-580.8</f>
        <v>871.2</v>
      </c>
      <c r="AE54" s="143"/>
      <c r="AF54" s="281"/>
      <c r="AG54" s="282"/>
      <c r="AH54" s="148"/>
      <c r="AI54" s="143">
        <v>43370</v>
      </c>
      <c r="AJ54" s="283" t="s">
        <v>219</v>
      </c>
      <c r="AK54" s="284"/>
      <c r="AL54" s="148">
        <v>10</v>
      </c>
      <c r="AM54" s="143">
        <v>43399</v>
      </c>
      <c r="AN54" s="285" t="s">
        <v>219</v>
      </c>
      <c r="AO54" s="286"/>
      <c r="AP54" s="148" t="s">
        <v>642</v>
      </c>
      <c r="AQ54" s="143">
        <v>43415</v>
      </c>
      <c r="AR54" s="259" t="s">
        <v>669</v>
      </c>
      <c r="AS54" s="260"/>
      <c r="AT54" s="148"/>
      <c r="AU54" s="143"/>
      <c r="AV54" s="259"/>
      <c r="AW54" s="260"/>
      <c r="AX54" s="148"/>
    </row>
    <row r="55" spans="1:61">
      <c r="C55" s="144"/>
      <c r="D55" s="263"/>
      <c r="E55" s="264"/>
      <c r="F55" s="146"/>
      <c r="G55" s="144">
        <v>43146</v>
      </c>
      <c r="H55" s="263" t="s">
        <v>272</v>
      </c>
      <c r="I55" s="264"/>
      <c r="J55" s="148">
        <v>10</v>
      </c>
      <c r="K55" s="144">
        <v>43168</v>
      </c>
      <c r="L55" s="267" t="s">
        <v>272</v>
      </c>
      <c r="M55" s="268"/>
      <c r="N55" s="148">
        <v>15</v>
      </c>
      <c r="O55" s="144">
        <v>43209</v>
      </c>
      <c r="P55" s="269" t="s">
        <v>199</v>
      </c>
      <c r="Q55" s="270"/>
      <c r="R55" s="153">
        <v>15</v>
      </c>
      <c r="S55" s="144">
        <v>43238</v>
      </c>
      <c r="T55" s="269" t="s">
        <v>359</v>
      </c>
      <c r="U55" s="270"/>
      <c r="V55" s="148"/>
      <c r="W55" s="144">
        <v>43253</v>
      </c>
      <c r="X55" s="269" t="s">
        <v>219</v>
      </c>
      <c r="Y55" s="270"/>
      <c r="Z55" s="148">
        <v>10</v>
      </c>
      <c r="AA55" s="144"/>
      <c r="AB55" s="263" t="s">
        <v>371</v>
      </c>
      <c r="AC55" s="264"/>
      <c r="AD55" s="148">
        <f>200-43.62+(76.38*6)</f>
        <v>614.66</v>
      </c>
      <c r="AE55" s="144">
        <v>43318</v>
      </c>
      <c r="AF55" s="269" t="s">
        <v>199</v>
      </c>
      <c r="AG55" s="270"/>
      <c r="AH55" s="148">
        <v>15</v>
      </c>
      <c r="AI55" s="144">
        <v>43361</v>
      </c>
      <c r="AJ55" s="269" t="s">
        <v>199</v>
      </c>
      <c r="AK55" s="270"/>
      <c r="AL55" s="148">
        <v>15</v>
      </c>
      <c r="AM55" s="144">
        <v>43393</v>
      </c>
      <c r="AN55" s="279" t="s">
        <v>199</v>
      </c>
      <c r="AO55" s="280"/>
      <c r="AP55" s="148">
        <v>15</v>
      </c>
      <c r="AQ55" s="144"/>
      <c r="AR55" s="263"/>
      <c r="AS55" s="264"/>
      <c r="AT55" s="148"/>
      <c r="AU55" s="144"/>
      <c r="AV55" s="263"/>
      <c r="AW55" s="264"/>
      <c r="AX55" s="148"/>
    </row>
    <row r="56" spans="1:61">
      <c r="C56" s="144">
        <v>43117</v>
      </c>
      <c r="D56" s="263" t="s">
        <v>200</v>
      </c>
      <c r="E56" s="264"/>
      <c r="F56" s="146"/>
      <c r="G56" s="144">
        <v>43147</v>
      </c>
      <c r="H56" s="263" t="s">
        <v>283</v>
      </c>
      <c r="I56" s="264"/>
      <c r="J56" s="148"/>
      <c r="K56" s="144">
        <v>43189</v>
      </c>
      <c r="L56" s="263" t="s">
        <v>292</v>
      </c>
      <c r="M56" s="264"/>
      <c r="N56" s="148"/>
      <c r="O56" s="144">
        <v>43193</v>
      </c>
      <c r="P56" s="269" t="s">
        <v>328</v>
      </c>
      <c r="Q56" s="270"/>
      <c r="R56" s="153">
        <v>258.52</v>
      </c>
      <c r="S56" s="144">
        <v>43249</v>
      </c>
      <c r="T56" s="263" t="s">
        <v>374</v>
      </c>
      <c r="U56" s="264"/>
      <c r="V56" s="148"/>
      <c r="W56" s="144">
        <v>43249</v>
      </c>
      <c r="X56" s="263" t="s">
        <v>379</v>
      </c>
      <c r="Y56" s="264"/>
      <c r="Z56" s="148"/>
      <c r="AA56" s="144"/>
      <c r="AB56" s="263" t="s">
        <v>372</v>
      </c>
      <c r="AC56" s="264"/>
      <c r="AD56" s="148">
        <f>AD54-AD55</f>
        <v>256.54000000000008</v>
      </c>
      <c r="AE56" s="144">
        <v>43341</v>
      </c>
      <c r="AF56" s="269" t="s">
        <v>287</v>
      </c>
      <c r="AG56" s="270"/>
      <c r="AH56" s="148"/>
      <c r="AI56" s="144">
        <v>43347</v>
      </c>
      <c r="AJ56" s="271" t="s">
        <v>378</v>
      </c>
      <c r="AK56" s="272"/>
      <c r="AL56" s="148"/>
      <c r="AM56" s="144">
        <v>43377</v>
      </c>
      <c r="AN56" s="271" t="s">
        <v>378</v>
      </c>
      <c r="AO56" s="272"/>
      <c r="AP56" s="148"/>
      <c r="AQ56" s="144"/>
      <c r="AR56" s="263"/>
      <c r="AS56" s="264"/>
      <c r="AT56" s="148"/>
      <c r="AU56" s="144"/>
      <c r="AV56" s="263"/>
      <c r="AW56" s="264"/>
      <c r="AX56" s="148"/>
    </row>
    <row r="57" spans="1:61">
      <c r="C57" s="144"/>
      <c r="D57" s="263" t="s">
        <v>201</v>
      </c>
      <c r="E57" s="264"/>
      <c r="F57" s="146"/>
      <c r="G57" s="144"/>
      <c r="H57" s="263" t="s">
        <v>284</v>
      </c>
      <c r="I57" s="264"/>
      <c r="J57" s="148"/>
      <c r="K57" s="144"/>
      <c r="L57" s="263" t="s">
        <v>293</v>
      </c>
      <c r="M57" s="264"/>
      <c r="N57" s="148"/>
      <c r="O57" s="144"/>
      <c r="P57" s="269" t="s">
        <v>299</v>
      </c>
      <c r="Q57" s="270"/>
      <c r="R57" s="148">
        <v>2290.23</v>
      </c>
      <c r="S57" s="144"/>
      <c r="T57" s="263" t="s">
        <v>375</v>
      </c>
      <c r="U57" s="264"/>
      <c r="V57" s="148"/>
      <c r="W57" s="144"/>
      <c r="X57" s="263" t="s">
        <v>380</v>
      </c>
      <c r="Y57" s="264"/>
      <c r="Z57" s="148"/>
      <c r="AA57" s="144">
        <v>43282</v>
      </c>
      <c r="AB57" s="269" t="s">
        <v>287</v>
      </c>
      <c r="AC57" s="270"/>
      <c r="AD57" s="148"/>
      <c r="AE57" s="144">
        <v>43189</v>
      </c>
      <c r="AF57" s="263" t="s">
        <v>383</v>
      </c>
      <c r="AG57" s="264"/>
      <c r="AH57" s="148"/>
      <c r="AI57" s="144"/>
      <c r="AJ57" s="273"/>
      <c r="AK57" s="274"/>
      <c r="AL57" s="148"/>
      <c r="AM57" s="144"/>
      <c r="AN57" s="273"/>
      <c r="AO57" s="274"/>
      <c r="AP57" s="148"/>
      <c r="AQ57" s="144"/>
      <c r="AR57" s="263"/>
      <c r="AS57" s="264"/>
      <c r="AT57" s="148"/>
      <c r="AU57" s="144"/>
      <c r="AV57" s="263"/>
      <c r="AW57" s="264"/>
      <c r="AX57" s="148"/>
    </row>
    <row r="58" spans="1:61">
      <c r="C58" s="144"/>
      <c r="D58" s="263" t="s">
        <v>202</v>
      </c>
      <c r="E58" s="264"/>
      <c r="F58" s="146"/>
      <c r="G58" s="144"/>
      <c r="H58" s="263" t="s">
        <v>285</v>
      </c>
      <c r="I58" s="264"/>
      <c r="J58" s="148"/>
      <c r="K58" s="144"/>
      <c r="L58" s="263" t="s">
        <v>294</v>
      </c>
      <c r="M58" s="264"/>
      <c r="N58" s="148"/>
      <c r="O58" s="144"/>
      <c r="P58" s="263"/>
      <c r="Q58" s="264"/>
      <c r="R58" s="148"/>
      <c r="S58" s="144"/>
      <c r="T58" s="263" t="s">
        <v>376</v>
      </c>
      <c r="U58" s="264"/>
      <c r="V58" s="148"/>
      <c r="W58" s="144"/>
      <c r="X58" s="263" t="s">
        <v>381</v>
      </c>
      <c r="Y58" s="264"/>
      <c r="Z58" s="148"/>
      <c r="AA58" s="144"/>
      <c r="AB58" s="269" t="s">
        <v>359</v>
      </c>
      <c r="AC58" s="270"/>
      <c r="AD58" s="148"/>
      <c r="AE58" s="144"/>
      <c r="AF58" s="263" t="s">
        <v>384</v>
      </c>
      <c r="AG58" s="264"/>
      <c r="AH58" s="148"/>
      <c r="AI58" s="144"/>
      <c r="AJ58" s="273"/>
      <c r="AK58" s="274"/>
      <c r="AL58" s="148"/>
      <c r="AM58" s="144"/>
      <c r="AN58" s="273"/>
      <c r="AO58" s="274"/>
      <c r="AP58" s="148"/>
      <c r="AQ58" s="144"/>
      <c r="AR58" s="263"/>
      <c r="AS58" s="264"/>
      <c r="AT58" s="148"/>
      <c r="AU58" s="144"/>
      <c r="AV58" s="263"/>
      <c r="AW58" s="264"/>
      <c r="AX58" s="148"/>
    </row>
    <row r="59" spans="1:61">
      <c r="C59" s="144"/>
      <c r="D59" s="263"/>
      <c r="E59" s="264"/>
      <c r="F59" s="146"/>
      <c r="G59" s="144"/>
      <c r="H59" s="263"/>
      <c r="I59" s="264"/>
      <c r="J59" s="148"/>
      <c r="K59" s="144"/>
      <c r="L59" s="263"/>
      <c r="M59" s="264"/>
      <c r="N59" s="148"/>
      <c r="O59" s="144"/>
      <c r="P59" s="263"/>
      <c r="Q59" s="264"/>
      <c r="R59" s="148"/>
      <c r="S59" s="144">
        <v>43236</v>
      </c>
      <c r="T59" s="271" t="s">
        <v>378</v>
      </c>
      <c r="U59" s="272"/>
      <c r="V59" s="148"/>
      <c r="W59" s="144">
        <v>43263</v>
      </c>
      <c r="X59" s="271" t="s">
        <v>378</v>
      </c>
      <c r="Y59" s="272"/>
      <c r="Z59" s="148"/>
      <c r="AA59" s="144"/>
      <c r="AB59" s="271" t="s">
        <v>452</v>
      </c>
      <c r="AC59" s="272"/>
      <c r="AD59" s="148">
        <f>(50*7)-'01'!D13-'03'!E13</f>
        <v>285.02</v>
      </c>
      <c r="AE59" s="144"/>
      <c r="AF59" s="263" t="s">
        <v>385</v>
      </c>
      <c r="AG59" s="264"/>
      <c r="AH59" s="148"/>
      <c r="AI59" s="144"/>
      <c r="AJ59" s="273"/>
      <c r="AK59" s="274"/>
      <c r="AL59" s="148"/>
      <c r="AM59" s="144"/>
      <c r="AN59" s="273"/>
      <c r="AO59" s="274"/>
      <c r="AP59" s="148"/>
      <c r="AQ59" s="144">
        <v>43406</v>
      </c>
      <c r="AR59" s="263" t="s">
        <v>660</v>
      </c>
      <c r="AS59" s="264"/>
      <c r="AT59" s="148"/>
      <c r="AU59" s="144">
        <v>43189</v>
      </c>
      <c r="AV59" s="263" t="s">
        <v>440</v>
      </c>
      <c r="AW59" s="264"/>
      <c r="AX59" s="148"/>
    </row>
    <row r="60" spans="1:61">
      <c r="C60" s="144"/>
      <c r="D60" s="263"/>
      <c r="E60" s="264"/>
      <c r="F60" s="146"/>
      <c r="G60" s="144"/>
      <c r="H60" s="263"/>
      <c r="I60" s="264"/>
      <c r="J60" s="148"/>
      <c r="K60" s="144"/>
      <c r="L60" s="263"/>
      <c r="M60" s="264"/>
      <c r="N60" s="148"/>
      <c r="O60" s="144"/>
      <c r="P60" s="263"/>
      <c r="Q60" s="264"/>
      <c r="R60" s="148"/>
      <c r="S60" s="144"/>
      <c r="T60" s="271"/>
      <c r="U60" s="272"/>
      <c r="V60" s="148"/>
      <c r="W60" s="144"/>
      <c r="X60" s="273" t="s">
        <v>308</v>
      </c>
      <c r="Y60" s="274"/>
      <c r="Z60" s="148">
        <f>622.46*2</f>
        <v>1244.92</v>
      </c>
      <c r="AA60" s="144"/>
      <c r="AB60" s="273"/>
      <c r="AC60" s="274"/>
      <c r="AD60" s="148"/>
      <c r="AE60" s="144">
        <v>43319</v>
      </c>
      <c r="AF60" s="271" t="s">
        <v>378</v>
      </c>
      <c r="AG60" s="272"/>
      <c r="AH60" s="148"/>
      <c r="AI60" s="144"/>
      <c r="AJ60" s="273"/>
      <c r="AK60" s="274"/>
      <c r="AL60" s="148"/>
      <c r="AM60" s="144"/>
      <c r="AN60" s="273"/>
      <c r="AO60" s="274"/>
      <c r="AP60" s="148"/>
      <c r="AQ60" s="144"/>
      <c r="AR60" s="263" t="s">
        <v>380</v>
      </c>
      <c r="AS60" s="264"/>
      <c r="AT60" s="148"/>
      <c r="AU60" s="144"/>
      <c r="AV60" s="263" t="s">
        <v>293</v>
      </c>
      <c r="AW60" s="264"/>
      <c r="AX60" s="148"/>
    </row>
    <row r="61" spans="1:61">
      <c r="C61" s="144"/>
      <c r="D61" s="263"/>
      <c r="E61" s="264"/>
      <c r="F61" s="146"/>
      <c r="G61" s="144"/>
      <c r="H61" s="263"/>
      <c r="I61" s="264"/>
      <c r="J61" s="148"/>
      <c r="K61" s="144"/>
      <c r="L61" s="263"/>
      <c r="M61" s="264"/>
      <c r="N61" s="148"/>
      <c r="O61" s="144"/>
      <c r="P61" s="263"/>
      <c r="Q61" s="264"/>
      <c r="R61" s="148"/>
      <c r="S61" s="144"/>
      <c r="T61" s="271"/>
      <c r="U61" s="272"/>
      <c r="V61" s="148"/>
      <c r="W61" s="144"/>
      <c r="X61" s="273"/>
      <c r="Y61" s="274"/>
      <c r="Z61" s="148"/>
      <c r="AA61" s="144"/>
      <c r="AB61" s="273"/>
      <c r="AC61" s="274"/>
      <c r="AD61" s="148"/>
      <c r="AE61" s="144"/>
      <c r="AF61" s="273"/>
      <c r="AG61" s="274"/>
      <c r="AH61" s="148"/>
      <c r="AI61" s="144"/>
      <c r="AJ61" s="273"/>
      <c r="AK61" s="274"/>
      <c r="AL61" s="148"/>
      <c r="AM61" s="144"/>
      <c r="AN61" s="273"/>
      <c r="AO61" s="274"/>
      <c r="AP61" s="148"/>
      <c r="AQ61" s="144"/>
      <c r="AR61" s="263" t="s">
        <v>661</v>
      </c>
      <c r="AS61" s="264"/>
      <c r="AT61" s="148"/>
      <c r="AU61" s="144"/>
      <c r="AV61" s="263" t="s">
        <v>661</v>
      </c>
      <c r="AW61" s="264"/>
      <c r="AX61" s="148"/>
    </row>
    <row r="62" spans="1:61">
      <c r="C62" s="144"/>
      <c r="D62" s="263"/>
      <c r="E62" s="264"/>
      <c r="F62" s="146"/>
      <c r="G62" s="144"/>
      <c r="H62" s="263"/>
      <c r="I62" s="264"/>
      <c r="J62" s="148"/>
      <c r="K62" s="144"/>
      <c r="L62" s="263"/>
      <c r="M62" s="264"/>
      <c r="N62" s="148"/>
      <c r="O62" s="144"/>
      <c r="P62" s="263"/>
      <c r="Q62" s="264"/>
      <c r="R62" s="148"/>
      <c r="S62" s="144"/>
      <c r="T62" s="271"/>
      <c r="U62" s="272"/>
      <c r="V62" s="148"/>
      <c r="W62" s="144"/>
      <c r="X62" s="273"/>
      <c r="Y62" s="274"/>
      <c r="Z62" s="148"/>
      <c r="AA62" s="144"/>
      <c r="AB62" s="273"/>
      <c r="AC62" s="274"/>
      <c r="AD62" s="148"/>
      <c r="AE62" s="144"/>
      <c r="AF62" s="273"/>
      <c r="AG62" s="274"/>
      <c r="AH62" s="148"/>
      <c r="AI62" s="144"/>
      <c r="AJ62" s="273"/>
      <c r="AK62" s="274"/>
      <c r="AL62" s="148"/>
      <c r="AM62" s="144"/>
      <c r="AN62" s="273"/>
      <c r="AO62" s="274"/>
      <c r="AP62" s="148"/>
      <c r="AQ62" s="144"/>
      <c r="AR62" s="263"/>
      <c r="AS62" s="264"/>
      <c r="AT62" s="148"/>
      <c r="AU62" s="144"/>
      <c r="AV62" s="263"/>
      <c r="AW62" s="264"/>
      <c r="AX62" s="148"/>
    </row>
    <row r="63" spans="1:61">
      <c r="C63" s="144"/>
      <c r="D63" s="263"/>
      <c r="E63" s="264"/>
      <c r="F63" s="146"/>
      <c r="G63" s="144"/>
      <c r="H63" s="263"/>
      <c r="I63" s="264"/>
      <c r="J63" s="148"/>
      <c r="K63" s="144"/>
      <c r="L63" s="263"/>
      <c r="M63" s="264"/>
      <c r="N63" s="148"/>
      <c r="O63" s="144"/>
      <c r="P63" s="263"/>
      <c r="Q63" s="264"/>
      <c r="R63" s="148"/>
      <c r="S63" s="144"/>
      <c r="T63" s="271"/>
      <c r="U63" s="272"/>
      <c r="V63" s="148"/>
      <c r="W63" s="144"/>
      <c r="X63" s="273"/>
      <c r="Y63" s="274"/>
      <c r="Z63" s="148"/>
      <c r="AA63" s="144"/>
      <c r="AB63" s="273"/>
      <c r="AC63" s="274"/>
      <c r="AD63" s="148"/>
      <c r="AE63" s="144"/>
      <c r="AF63" s="273"/>
      <c r="AG63" s="274"/>
      <c r="AH63" s="148"/>
      <c r="AI63" s="144"/>
      <c r="AJ63" s="273"/>
      <c r="AK63" s="274"/>
      <c r="AL63" s="148"/>
      <c r="AM63" s="144"/>
      <c r="AN63" s="273"/>
      <c r="AO63" s="274"/>
      <c r="AP63" s="148"/>
      <c r="AQ63" s="144"/>
      <c r="AR63" s="263"/>
      <c r="AS63" s="264"/>
      <c r="AT63" s="148"/>
      <c r="AU63" s="144"/>
      <c r="AV63" s="263"/>
      <c r="AW63" s="264"/>
      <c r="AX63" s="148"/>
    </row>
    <row r="64" spans="1:61">
      <c r="C64" s="144"/>
      <c r="D64" s="263"/>
      <c r="E64" s="264"/>
      <c r="F64" s="146"/>
      <c r="G64" s="144"/>
      <c r="H64" s="263"/>
      <c r="I64" s="264"/>
      <c r="J64" s="148"/>
      <c r="K64" s="144"/>
      <c r="L64" s="263"/>
      <c r="M64" s="264"/>
      <c r="N64" s="148"/>
      <c r="O64" s="144"/>
      <c r="P64" s="263"/>
      <c r="Q64" s="264"/>
      <c r="R64" s="148"/>
      <c r="S64" s="144"/>
      <c r="T64" s="271"/>
      <c r="U64" s="272"/>
      <c r="V64" s="148"/>
      <c r="W64" s="144"/>
      <c r="X64" s="273"/>
      <c r="Y64" s="274"/>
      <c r="Z64" s="148"/>
      <c r="AA64" s="144"/>
      <c r="AB64" s="273"/>
      <c r="AC64" s="274"/>
      <c r="AD64" s="148"/>
      <c r="AE64" s="144"/>
      <c r="AF64" s="273"/>
      <c r="AG64" s="274"/>
      <c r="AH64" s="148"/>
      <c r="AI64" s="144"/>
      <c r="AJ64" s="273"/>
      <c r="AK64" s="274"/>
      <c r="AL64" s="148"/>
      <c r="AM64" s="144"/>
      <c r="AN64" s="273"/>
      <c r="AO64" s="274"/>
      <c r="AP64" s="148"/>
      <c r="AQ64" s="144"/>
      <c r="AR64" s="263"/>
      <c r="AS64" s="264"/>
      <c r="AT64" s="148"/>
      <c r="AU64" s="144"/>
      <c r="AV64" s="263"/>
      <c r="AW64" s="264"/>
      <c r="AX64" s="148"/>
    </row>
    <row r="65" spans="3:50">
      <c r="C65" s="144"/>
      <c r="D65" s="263"/>
      <c r="E65" s="264"/>
      <c r="F65" s="146"/>
      <c r="G65" s="144"/>
      <c r="H65" s="263"/>
      <c r="I65" s="264"/>
      <c r="J65" s="148"/>
      <c r="K65" s="144"/>
      <c r="L65" s="263"/>
      <c r="M65" s="264"/>
      <c r="N65" s="148"/>
      <c r="O65" s="144"/>
      <c r="P65" s="263"/>
      <c r="Q65" s="264"/>
      <c r="R65" s="148"/>
      <c r="S65" s="144"/>
      <c r="T65" s="271"/>
      <c r="U65" s="272"/>
      <c r="V65" s="148"/>
      <c r="W65" s="144"/>
      <c r="X65" s="273"/>
      <c r="Y65" s="274"/>
      <c r="Z65" s="148"/>
      <c r="AA65" s="144"/>
      <c r="AB65" s="273"/>
      <c r="AC65" s="274"/>
      <c r="AD65" s="148"/>
      <c r="AE65" s="144"/>
      <c r="AF65" s="273"/>
      <c r="AG65" s="274"/>
      <c r="AH65" s="148"/>
      <c r="AI65" s="144"/>
      <c r="AJ65" s="273"/>
      <c r="AK65" s="274"/>
      <c r="AL65" s="148"/>
      <c r="AM65" s="144"/>
      <c r="AN65" s="273"/>
      <c r="AO65" s="274"/>
      <c r="AP65" s="148"/>
      <c r="AQ65" s="144"/>
      <c r="AR65" s="263"/>
      <c r="AS65" s="264"/>
      <c r="AT65" s="148"/>
      <c r="AU65" s="144"/>
      <c r="AV65" s="263"/>
      <c r="AW65" s="264"/>
      <c r="AX65" s="148"/>
    </row>
    <row r="66" spans="3:50">
      <c r="C66" s="144"/>
      <c r="D66" s="263"/>
      <c r="E66" s="264"/>
      <c r="F66" s="146"/>
      <c r="G66" s="144"/>
      <c r="H66" s="263"/>
      <c r="I66" s="264"/>
      <c r="J66" s="148"/>
      <c r="K66" s="144"/>
      <c r="L66" s="263"/>
      <c r="M66" s="264"/>
      <c r="N66" s="148"/>
      <c r="O66" s="144"/>
      <c r="P66" s="263"/>
      <c r="Q66" s="264"/>
      <c r="R66" s="148"/>
      <c r="S66" s="144"/>
      <c r="T66" s="273"/>
      <c r="U66" s="274"/>
      <c r="V66" s="148"/>
      <c r="W66" s="144"/>
      <c r="X66" s="273"/>
      <c r="Y66" s="274"/>
      <c r="Z66" s="148"/>
      <c r="AA66" s="144"/>
      <c r="AB66" s="273"/>
      <c r="AC66" s="274"/>
      <c r="AD66" s="148"/>
      <c r="AE66" s="144"/>
      <c r="AF66" s="273"/>
      <c r="AG66" s="274"/>
      <c r="AH66" s="148"/>
      <c r="AI66" s="144"/>
      <c r="AJ66" s="273"/>
      <c r="AK66" s="274"/>
      <c r="AL66" s="148"/>
      <c r="AM66" s="144"/>
      <c r="AN66" s="273"/>
      <c r="AO66" s="274"/>
      <c r="AP66" s="148"/>
      <c r="AQ66" s="144"/>
      <c r="AR66" s="263"/>
      <c r="AS66" s="264"/>
      <c r="AT66" s="148"/>
      <c r="AU66" s="144"/>
      <c r="AV66" s="263"/>
      <c r="AW66" s="264"/>
      <c r="AX66" s="148"/>
    </row>
    <row r="67" spans="3:50">
      <c r="C67" s="144"/>
      <c r="D67" s="263"/>
      <c r="E67" s="264"/>
      <c r="F67" s="146"/>
      <c r="G67" s="144"/>
      <c r="H67" s="263"/>
      <c r="I67" s="264"/>
      <c r="J67" s="148"/>
      <c r="K67" s="144"/>
      <c r="L67" s="263"/>
      <c r="M67" s="264"/>
      <c r="N67" s="148"/>
      <c r="O67" s="144"/>
      <c r="P67" s="263"/>
      <c r="Q67" s="264"/>
      <c r="R67" s="148"/>
      <c r="S67" s="144"/>
      <c r="T67" s="273"/>
      <c r="U67" s="274"/>
      <c r="V67" s="148"/>
      <c r="W67" s="144"/>
      <c r="X67" s="273"/>
      <c r="Y67" s="274"/>
      <c r="Z67" s="148"/>
      <c r="AA67" s="144"/>
      <c r="AB67" s="273"/>
      <c r="AC67" s="274"/>
      <c r="AD67" s="148"/>
      <c r="AE67" s="144"/>
      <c r="AF67" s="273"/>
      <c r="AG67" s="274"/>
      <c r="AH67" s="148"/>
      <c r="AI67" s="144"/>
      <c r="AJ67" s="273"/>
      <c r="AK67" s="274"/>
      <c r="AL67" s="148"/>
      <c r="AM67" s="144"/>
      <c r="AN67" s="273"/>
      <c r="AO67" s="274"/>
      <c r="AP67" s="148"/>
      <c r="AQ67" s="144"/>
      <c r="AR67" s="263"/>
      <c r="AS67" s="264"/>
      <c r="AT67" s="148"/>
      <c r="AU67" s="144"/>
      <c r="AV67" s="263"/>
      <c r="AW67" s="264"/>
      <c r="AX67" s="148"/>
    </row>
    <row r="68" spans="3:50">
      <c r="C68" s="144"/>
      <c r="D68" s="263"/>
      <c r="E68" s="264"/>
      <c r="F68" s="146"/>
      <c r="G68" s="144"/>
      <c r="H68" s="263"/>
      <c r="I68" s="264"/>
      <c r="J68" s="148"/>
      <c r="K68" s="144"/>
      <c r="L68" s="263"/>
      <c r="M68" s="264"/>
      <c r="N68" s="148"/>
      <c r="O68" s="144"/>
      <c r="P68" s="263"/>
      <c r="Q68" s="264"/>
      <c r="R68" s="148"/>
      <c r="S68" s="144"/>
      <c r="T68" s="273"/>
      <c r="U68" s="274"/>
      <c r="V68" s="148"/>
      <c r="W68" s="144"/>
      <c r="X68" s="273"/>
      <c r="Y68" s="274"/>
      <c r="Z68" s="148"/>
      <c r="AA68" s="144"/>
      <c r="AB68" s="273"/>
      <c r="AC68" s="274"/>
      <c r="AD68" s="148"/>
      <c r="AE68" s="144"/>
      <c r="AF68" s="273"/>
      <c r="AG68" s="274"/>
      <c r="AH68" s="148"/>
      <c r="AI68" s="144"/>
      <c r="AJ68" s="273"/>
      <c r="AK68" s="274"/>
      <c r="AL68" s="148"/>
      <c r="AM68" s="144"/>
      <c r="AN68" s="273"/>
      <c r="AO68" s="274"/>
      <c r="AP68" s="148"/>
      <c r="AQ68" s="144"/>
      <c r="AR68" s="263"/>
      <c r="AS68" s="264"/>
      <c r="AT68" s="148"/>
      <c r="AU68" s="144"/>
      <c r="AV68" s="263"/>
      <c r="AW68" s="264"/>
      <c r="AX68" s="148"/>
    </row>
    <row r="69" spans="3:50">
      <c r="C69" s="144"/>
      <c r="D69" s="263"/>
      <c r="E69" s="264"/>
      <c r="F69" s="146"/>
      <c r="G69" s="144"/>
      <c r="H69" s="263"/>
      <c r="I69" s="264"/>
      <c r="J69" s="148"/>
      <c r="K69" s="144"/>
      <c r="L69" s="263"/>
      <c r="M69" s="264"/>
      <c r="N69" s="148"/>
      <c r="O69" s="144"/>
      <c r="P69" s="263"/>
      <c r="Q69" s="264"/>
      <c r="R69" s="148"/>
      <c r="S69" s="144"/>
      <c r="T69" s="273"/>
      <c r="U69" s="274"/>
      <c r="V69" s="148"/>
      <c r="W69" s="144"/>
      <c r="X69" s="273"/>
      <c r="Y69" s="274"/>
      <c r="Z69" s="148"/>
      <c r="AA69" s="144"/>
      <c r="AB69" s="273"/>
      <c r="AC69" s="274"/>
      <c r="AD69" s="148"/>
      <c r="AE69" s="144"/>
      <c r="AF69" s="273"/>
      <c r="AG69" s="274"/>
      <c r="AH69" s="148"/>
      <c r="AI69" s="144"/>
      <c r="AJ69" s="273"/>
      <c r="AK69" s="274"/>
      <c r="AL69" s="148"/>
      <c r="AM69" s="144"/>
      <c r="AN69" s="273"/>
      <c r="AO69" s="274"/>
      <c r="AP69" s="148"/>
      <c r="AQ69" s="144"/>
      <c r="AR69" s="263"/>
      <c r="AS69" s="264"/>
      <c r="AT69" s="148"/>
      <c r="AU69" s="144"/>
      <c r="AV69" s="263"/>
      <c r="AW69" s="264"/>
      <c r="AX69" s="148"/>
    </row>
    <row r="70" spans="3:50">
      <c r="C70" s="144"/>
      <c r="D70" s="263"/>
      <c r="E70" s="264"/>
      <c r="F70" s="146"/>
      <c r="G70" s="144"/>
      <c r="H70" s="263"/>
      <c r="I70" s="264"/>
      <c r="J70" s="148"/>
      <c r="K70" s="144"/>
      <c r="L70" s="263"/>
      <c r="M70" s="264"/>
      <c r="N70" s="148"/>
      <c r="O70" s="144"/>
      <c r="P70" s="263"/>
      <c r="Q70" s="264"/>
      <c r="R70" s="148"/>
      <c r="S70" s="144"/>
      <c r="T70" s="273"/>
      <c r="U70" s="274"/>
      <c r="V70" s="148"/>
      <c r="W70" s="144"/>
      <c r="X70" s="263" t="s">
        <v>431</v>
      </c>
      <c r="Y70" s="264"/>
      <c r="Z70" s="148">
        <f>3289.11+270.87</f>
        <v>3559.98</v>
      </c>
      <c r="AA70" s="144"/>
      <c r="AB70" s="273"/>
      <c r="AC70" s="274"/>
      <c r="AD70" s="148"/>
      <c r="AE70" s="144"/>
      <c r="AF70" s="273"/>
      <c r="AG70" s="274"/>
      <c r="AH70" s="148"/>
      <c r="AI70" s="144"/>
      <c r="AJ70" s="273"/>
      <c r="AK70" s="274"/>
      <c r="AL70" s="148"/>
      <c r="AM70" s="144"/>
      <c r="AN70" s="273"/>
      <c r="AO70" s="274"/>
      <c r="AP70" s="148"/>
      <c r="AQ70" s="144"/>
      <c r="AR70" s="263"/>
      <c r="AS70" s="264"/>
      <c r="AT70" s="148"/>
      <c r="AU70" s="144"/>
      <c r="AV70" s="263"/>
      <c r="AW70" s="264"/>
      <c r="AX70" s="148"/>
    </row>
    <row r="71" spans="3:50" ht="15.75" thickBot="1">
      <c r="C71" s="145"/>
      <c r="D71" s="261"/>
      <c r="E71" s="262"/>
      <c r="F71" s="147"/>
      <c r="G71" s="145"/>
      <c r="H71" s="261"/>
      <c r="I71" s="262"/>
      <c r="J71" s="149"/>
      <c r="K71" s="145"/>
      <c r="L71" s="261"/>
      <c r="M71" s="262"/>
      <c r="N71" s="149"/>
      <c r="O71" s="145"/>
      <c r="P71" s="261"/>
      <c r="Q71" s="262"/>
      <c r="R71" s="149"/>
      <c r="S71" s="145"/>
      <c r="T71" s="275"/>
      <c r="U71" s="276"/>
      <c r="V71" s="149"/>
      <c r="W71" s="145"/>
      <c r="X71" s="277" t="s">
        <v>432</v>
      </c>
      <c r="Y71" s="278"/>
      <c r="Z71" s="149">
        <f>Z70-1484.91-429.89</f>
        <v>1645.1799999999998</v>
      </c>
      <c r="AA71" s="145"/>
      <c r="AB71" s="275"/>
      <c r="AC71" s="276"/>
      <c r="AD71" s="149">
        <f>550-161.56</f>
        <v>388.44</v>
      </c>
      <c r="AE71" s="145"/>
      <c r="AF71" s="275"/>
      <c r="AG71" s="276"/>
      <c r="AH71" s="149"/>
      <c r="AI71" s="145"/>
      <c r="AJ71" s="275"/>
      <c r="AK71" s="276"/>
      <c r="AL71" s="149"/>
      <c r="AM71" s="145"/>
      <c r="AN71" s="275"/>
      <c r="AO71" s="276"/>
      <c r="AP71" s="149"/>
      <c r="AQ71" s="145"/>
      <c r="AR71" s="261"/>
      <c r="AS71" s="262"/>
      <c r="AT71" s="149"/>
      <c r="AU71" s="145"/>
      <c r="AV71" s="261"/>
      <c r="AW71" s="262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3">
        <v>2037.62</v>
      </c>
      <c r="L5" s="304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96">
        <v>550</v>
      </c>
      <c r="L6" s="297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6">
        <v>6798.75</v>
      </c>
      <c r="L7" s="297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96">
        <v>7000</v>
      </c>
      <c r="L8" s="297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96">
        <v>659.77</v>
      </c>
      <c r="L9" s="297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6">
        <f>400+185+90</f>
        <v>675</v>
      </c>
      <c r="L11" s="297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96">
        <v>5092.08</v>
      </c>
      <c r="L12" s="297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96"/>
      <c r="L13" s="297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96"/>
      <c r="L14" s="297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96"/>
      <c r="L15" s="297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24613.260000000002</v>
      </c>
      <c r="L19" s="299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303">
        <v>300</v>
      </c>
      <c r="L25" s="304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6">
        <v>280.26</v>
      </c>
      <c r="L26" s="297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96">
        <v>586.85</v>
      </c>
      <c r="L27" s="297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96">
        <v>500</v>
      </c>
      <c r="L28" s="297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6"/>
      <c r="L29" s="297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9" ht="15" customHeight="1" thickBot="1">
      <c r="B423" s="307"/>
      <c r="C423" s="308"/>
      <c r="D423" s="308"/>
      <c r="E423" s="308"/>
      <c r="F423" s="308"/>
      <c r="G423" s="309"/>
    </row>
    <row r="424" spans="2:9">
      <c r="B424" s="295" t="s">
        <v>10</v>
      </c>
      <c r="C424" s="294"/>
      <c r="D424" s="293" t="s">
        <v>11</v>
      </c>
      <c r="E424" s="293"/>
      <c r="F424" s="293"/>
      <c r="G424" s="294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82" workbookViewId="0">
      <selection activeCell="B282" sqref="B282:G2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2">
        <v>2339.39</v>
      </c>
      <c r="L5" s="313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0">
        <v>550</v>
      </c>
      <c r="L6" s="311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0">
        <f>5618.33+399+8.39+28.86</f>
        <v>6054.58</v>
      </c>
      <c r="L7" s="311"/>
      <c r="M7" s="1"/>
      <c r="N7" s="1"/>
      <c r="R7" s="3"/>
    </row>
    <row r="8" spans="1:22" ht="15.75">
      <c r="A8" s="163">
        <f>'09'!A8+B8-SUM(D8:F8)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0">
        <v>7000</v>
      </c>
      <c r="L8" s="311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0">
        <v>659.77</v>
      </c>
      <c r="L9" s="311"/>
      <c r="M9" s="1"/>
      <c r="N9" s="1"/>
      <c r="R9" s="3"/>
    </row>
    <row r="10" spans="1:22" ht="15.75">
      <c r="A10" s="163">
        <f>'09'!A10+B10-SUM(D10:F10)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0">
        <v>1800.04</v>
      </c>
      <c r="L10" s="311"/>
      <c r="M10" s="1" t="s">
        <v>265</v>
      </c>
      <c r="N10" s="1"/>
      <c r="R10" s="3"/>
    </row>
    <row r="11" spans="1:22" ht="15.75">
      <c r="A11" s="163">
        <f>'09'!A11+B11-SUM(D11:F11)</f>
        <v>30.41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0">
        <v>260</v>
      </c>
      <c r="L11" s="311"/>
      <c r="M11" s="1"/>
      <c r="N11" s="1"/>
      <c r="R11" s="3"/>
    </row>
    <row r="12" spans="1:22" ht="15.75">
      <c r="A12" s="163">
        <f>'09'!A12+B12-SUM(D12:F12)</f>
        <v>250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0">
        <v>5092.08</v>
      </c>
      <c r="L12" s="311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0"/>
      <c r="L13" s="311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0"/>
      <c r="L14" s="311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0"/>
      <c r="L15" s="311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0"/>
      <c r="L16" s="311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0"/>
      <c r="L17" s="311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6"/>
      <c r="L18" s="317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6">
        <f>SUM(K5:K18)</f>
        <v>23755.86</v>
      </c>
      <c r="L19" s="317"/>
      <c r="M19" s="1"/>
      <c r="N19" s="1"/>
      <c r="R19" s="3"/>
    </row>
    <row r="20" spans="1:18" ht="16.5" thickBot="1">
      <c r="A20" s="163">
        <f>SUM(A6:A15)</f>
        <v>844.8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2">
        <v>209.32</v>
      </c>
      <c r="L25" s="313"/>
      <c r="M25" s="1"/>
      <c r="R25" s="3"/>
    </row>
    <row r="26" spans="1:18" ht="15.75">
      <c r="A26" s="163">
        <f>'09'!A26+B26-D26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>
        <v>8</v>
      </c>
      <c r="J26" s="35" t="s">
        <v>42</v>
      </c>
      <c r="K26" s="310">
        <v>550</v>
      </c>
      <c r="L26" s="311"/>
      <c r="M26" s="1"/>
      <c r="R26" s="3"/>
    </row>
    <row r="27" spans="1:18" ht="15.75">
      <c r="A27" s="163">
        <f>'09'!A27+B27-D27</f>
        <v>173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0"/>
      <c r="L27" s="311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/>
      <c r="J28" s="35"/>
      <c r="K28" s="310"/>
      <c r="L28" s="311"/>
      <c r="M28" s="1"/>
      <c r="R28" s="3"/>
    </row>
    <row r="29" spans="1:18" ht="15.75">
      <c r="A29" s="163">
        <f>'09'!A29+B29-D29</f>
        <v>18.54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0"/>
      <c r="L29" s="311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0"/>
      <c r="L30" s="311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0"/>
      <c r="L31" s="311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0"/>
      <c r="L32" s="311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0"/>
      <c r="L33" s="311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0"/>
      <c r="L34" s="311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0"/>
      <c r="L35" s="311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0"/>
      <c r="L36" s="311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0"/>
      <c r="L37" s="311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6"/>
      <c r="L38" s="317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1748.1599999999999</v>
      </c>
      <c r="B40" s="221">
        <f>SUM(B26:B39)</f>
        <v>1128</v>
      </c>
      <c r="C40" s="34" t="s">
        <v>66</v>
      </c>
      <c r="D40" s="221">
        <f>SUM(D26:D39)</f>
        <v>96.94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673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679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97.53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671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113.74</v>
      </c>
      <c r="E80" s="221">
        <f>SUM(E66:E79)</f>
        <v>0</v>
      </c>
      <c r="F80" s="221">
        <f>SUM(F66:F79)</f>
        <v>7.25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676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678</v>
      </c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52.699999999999996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3784.6200000000003</v>
      </c>
      <c r="B120" s="221">
        <f>SUM(B106:B119)</f>
        <v>400</v>
      </c>
      <c r="C120" s="34" t="s">
        <v>66</v>
      </c>
      <c r="D120" s="221">
        <f>SUM(D106:D119)</f>
        <v>328.82000000000005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28.86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670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674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25.49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677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680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672</v>
      </c>
    </row>
    <row r="307" spans="2:7">
      <c r="B307" s="220"/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69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</f>
        <v>4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4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7" t="str">
        <f>'2018'!A41</f>
        <v>Ahorros Colchón</v>
      </c>
      <c r="C422" s="288"/>
      <c r="D422" s="288"/>
      <c r="E422" s="288"/>
      <c r="F422" s="288"/>
      <c r="G422" s="289"/>
    </row>
    <row r="423" spans="1:7" ht="15" customHeight="1" thickBot="1">
      <c r="B423" s="290"/>
      <c r="C423" s="291"/>
      <c r="D423" s="291"/>
      <c r="E423" s="291"/>
      <c r="F423" s="291"/>
      <c r="G423" s="292"/>
    </row>
    <row r="424" spans="1:7">
      <c r="B424" s="295" t="s">
        <v>10</v>
      </c>
      <c r="C424" s="294"/>
      <c r="D424" s="293" t="s">
        <v>11</v>
      </c>
      <c r="E424" s="293"/>
      <c r="F424" s="293"/>
      <c r="G424" s="294"/>
    </row>
    <row r="425" spans="1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3928.14</v>
      </c>
      <c r="B426" s="220">
        <f>'2018'!AM17-A426</f>
        <v>-3062.34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-3062.34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  <hyperlink ref="B422" location="Trimestre!C25:F26" display="HIPOTECA" xr:uid="{00000000-0004-0000-0A00-00002D000000}"/>
    <hyperlink ref="B422:G423" location="'2018'!AM41:AP41" display="'2018'!AM41:AP41" xr:uid="{00000000-0004-0000-0A00-00002E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2"/>
      <c r="L5" s="313"/>
      <c r="M5" s="1"/>
      <c r="N5" s="1"/>
      <c r="R5" s="3"/>
    </row>
    <row r="6" spans="1:22" ht="15.75">
      <c r="A6" s="163">
        <f>'10'!A6+B6-E6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0">
        <v>550</v>
      </c>
      <c r="L6" s="311"/>
      <c r="M6" s="1" t="s">
        <v>394</v>
      </c>
      <c r="N6" s="1"/>
      <c r="R6" s="3"/>
    </row>
    <row r="7" spans="1:22" ht="15.75">
      <c r="A7" s="163">
        <f>'10'!A7+B7-E7</f>
        <v>167.8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0"/>
      <c r="L7" s="311"/>
      <c r="M7" s="1"/>
      <c r="N7" s="1"/>
      <c r="R7" s="3"/>
    </row>
    <row r="8" spans="1:22" ht="15.75">
      <c r="A8" s="163">
        <f>'10'!A8+B8-E8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0">
        <v>7000</v>
      </c>
      <c r="L8" s="311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0">
        <v>659.77</v>
      </c>
      <c r="L9" s="311"/>
      <c r="M9" s="1"/>
      <c r="N9" s="1"/>
      <c r="R9" s="3"/>
    </row>
    <row r="10" spans="1:22" ht="15.75">
      <c r="A10" s="163">
        <f>'10'!A10+B10-E10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0">
        <v>1800.04</v>
      </c>
      <c r="L10" s="311"/>
      <c r="M10" s="1" t="s">
        <v>265</v>
      </c>
      <c r="N10" s="1"/>
      <c r="R10" s="3"/>
    </row>
    <row r="11" spans="1:22" ht="15.75">
      <c r="A11" s="163">
        <f>'10'!A11+B11-E11</f>
        <v>60.82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0"/>
      <c r="L11" s="311"/>
      <c r="M11" s="1"/>
      <c r="N11" s="1"/>
      <c r="R11" s="3"/>
    </row>
    <row r="12" spans="1:22" ht="15.75">
      <c r="A12" s="163">
        <f>'10'!A12+B12-E12</f>
        <v>275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0">
        <v>5092.08</v>
      </c>
      <c r="L12" s="311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0"/>
      <c r="L13" s="311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0"/>
      <c r="L14" s="311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0"/>
      <c r="L15" s="311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0"/>
      <c r="L16" s="311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0"/>
      <c r="L17" s="311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6"/>
      <c r="L18" s="317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6">
        <f>SUM(K5:K18)</f>
        <v>15101.890000000001</v>
      </c>
      <c r="L19" s="317"/>
      <c r="M19" s="1"/>
      <c r="N19" s="1"/>
      <c r="R19" s="3"/>
    </row>
    <row r="20" spans="1:18" ht="16.5" thickBot="1">
      <c r="A20" s="163">
        <f>SUM(A6:A15)</f>
        <v>1388.8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2"/>
      <c r="L25" s="313"/>
      <c r="M25" s="1"/>
      <c r="R25" s="3"/>
    </row>
    <row r="26" spans="1:18" ht="15.75">
      <c r="A26" s="163">
        <f>'10'!A26+B26-D26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0"/>
      <c r="L26" s="311"/>
      <c r="M26" s="1"/>
      <c r="R26" s="3"/>
    </row>
    <row r="27" spans="1:18" ht="15.75">
      <c r="A27" s="163">
        <f>'10'!A27+B27-D27</f>
        <v>343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0"/>
      <c r="L27" s="311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0"/>
      <c r="L28" s="311"/>
      <c r="M28" s="1"/>
      <c r="R28" s="3"/>
    </row>
    <row r="29" spans="1:18" ht="15.75">
      <c r="A29" s="163">
        <f>'10'!A29+B29-D29</f>
        <v>36.54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0"/>
      <c r="L29" s="311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0"/>
      <c r="L30" s="311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0"/>
      <c r="L31" s="311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0"/>
      <c r="L32" s="311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0"/>
      <c r="L33" s="311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0"/>
      <c r="L34" s="311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0"/>
      <c r="L35" s="311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0"/>
      <c r="L36" s="311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0"/>
      <c r="L37" s="311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6"/>
      <c r="L38" s="317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2876.16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71.650000000000006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'10'!A108+B108-D108</f>
        <v>1100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1430.12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95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7" t="str">
        <f>'2018'!A41</f>
        <v>Ahorros Colchón</v>
      </c>
      <c r="C422" s="288"/>
      <c r="D422" s="288"/>
      <c r="E422" s="288"/>
      <c r="F422" s="288"/>
      <c r="G422" s="289"/>
    </row>
    <row r="423" spans="1:7" ht="15" customHeight="1" thickBot="1">
      <c r="B423" s="290"/>
      <c r="C423" s="291"/>
      <c r="D423" s="291"/>
      <c r="E423" s="291"/>
      <c r="F423" s="291"/>
      <c r="G423" s="292"/>
    </row>
    <row r="424" spans="1:7">
      <c r="B424" s="295" t="s">
        <v>10</v>
      </c>
      <c r="C424" s="294"/>
      <c r="D424" s="293" t="s">
        <v>11</v>
      </c>
      <c r="E424" s="293"/>
      <c r="F424" s="293"/>
      <c r="G424" s="294"/>
    </row>
    <row r="425" spans="1:7">
      <c r="A425" s="137" t="s">
        <v>667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3900</v>
      </c>
      <c r="B426" s="220">
        <f>'2018'!AR17-A426</f>
        <v>-3900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2"/>
      <c r="L5" s="313"/>
      <c r="M5" s="1"/>
      <c r="N5" s="1"/>
      <c r="R5" s="3"/>
    </row>
    <row r="6" spans="1:22" ht="15.75">
      <c r="A6" s="163">
        <f>'11'!A6+B6-E6</f>
        <v>1204.77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0">
        <v>550</v>
      </c>
      <c r="L6" s="311"/>
      <c r="M6" s="1" t="s">
        <v>394</v>
      </c>
      <c r="N6" s="1"/>
      <c r="R6" s="3"/>
    </row>
    <row r="7" spans="1:22" ht="15.75">
      <c r="A7" s="163">
        <f>'11'!A7+B7-E7</f>
        <v>237.8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0"/>
      <c r="L7" s="311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0">
        <v>7000</v>
      </c>
      <c r="L8" s="311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0">
        <v>659.77</v>
      </c>
      <c r="L9" s="311"/>
      <c r="M9" s="1"/>
      <c r="N9" s="1"/>
      <c r="R9" s="3"/>
    </row>
    <row r="10" spans="1:22" ht="15.75">
      <c r="A10" s="163">
        <f>'11'!A10+B10-E10</f>
        <v>36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0">
        <v>1800.04</v>
      </c>
      <c r="L10" s="311"/>
      <c r="M10" s="1" t="s">
        <v>265</v>
      </c>
      <c r="N10" s="1"/>
      <c r="R10" s="3"/>
    </row>
    <row r="11" spans="1:22" ht="15.75">
      <c r="A11" s="163">
        <f>'11'!A11+B11-E11</f>
        <v>91.23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0"/>
      <c r="L11" s="311"/>
      <c r="M11" s="1"/>
      <c r="N11" s="1"/>
      <c r="R11" s="3"/>
    </row>
    <row r="12" spans="1:22" ht="15.75">
      <c r="A12" s="163">
        <f>'11'!A12+B12-E12</f>
        <v>300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0">
        <v>5092.08</v>
      </c>
      <c r="L12" s="311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0"/>
      <c r="L13" s="311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0"/>
      <c r="L14" s="311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0"/>
      <c r="L15" s="311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0"/>
      <c r="L16" s="311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0"/>
      <c r="L17" s="311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6"/>
      <c r="L18" s="317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6">
        <f>SUM(K5:K18)</f>
        <v>15101.890000000001</v>
      </c>
      <c r="L19" s="317"/>
      <c r="M19" s="1"/>
      <c r="N19" s="1"/>
      <c r="R19" s="3"/>
    </row>
    <row r="20" spans="1:18" ht="16.5" thickBot="1">
      <c r="A20" s="163">
        <f>SUM(A6:A15)</f>
        <v>1932.8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2"/>
      <c r="L25" s="313"/>
      <c r="M25" s="1"/>
      <c r="R25" s="3"/>
    </row>
    <row r="26" spans="1:18" ht="15.75">
      <c r="A26" s="163">
        <f>'11'!A26+B26-D26</f>
        <v>2700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0"/>
      <c r="L26" s="311"/>
      <c r="M26" s="1"/>
      <c r="R26" s="3"/>
    </row>
    <row r="27" spans="1:18" ht="15.75">
      <c r="A27" s="163">
        <f>'11'!A27+B27-D27</f>
        <v>513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0"/>
      <c r="L27" s="311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0"/>
      <c r="L28" s="311"/>
      <c r="M28" s="1"/>
      <c r="R28" s="3"/>
    </row>
    <row r="29" spans="1:18" ht="15.75">
      <c r="A29" s="163">
        <f>'11'!A29+B29-D29</f>
        <v>54.54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0">
        <v>3</v>
      </c>
      <c r="L29" s="311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0"/>
      <c r="L30" s="311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0"/>
      <c r="L31" s="311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0"/>
      <c r="L32" s="311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0"/>
      <c r="L33" s="311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0"/>
      <c r="L34" s="311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0"/>
      <c r="L35" s="311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0"/>
      <c r="L36" s="311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0"/>
      <c r="L37" s="311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6"/>
      <c r="L38" s="317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4004.16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142.65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2880.0300000000007</v>
      </c>
      <c r="B109" s="220">
        <v>125.53</v>
      </c>
      <c r="C109" s="35" t="s">
        <v>675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1809.5900000000001</v>
      </c>
      <c r="B120" s="221">
        <f>SUM(B106:B119)</f>
        <v>505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1:7" ht="15" customHeight="1" thickBot="1">
      <c r="B423" s="307"/>
      <c r="C423" s="308"/>
      <c r="D423" s="308"/>
      <c r="E423" s="308"/>
      <c r="F423" s="308"/>
      <c r="G423" s="309"/>
    </row>
    <row r="424" spans="1:7">
      <c r="B424" s="295" t="s">
        <v>10</v>
      </c>
      <c r="C424" s="294"/>
      <c r="D424" s="293" t="s">
        <v>11</v>
      </c>
      <c r="E424" s="293"/>
      <c r="F424" s="293"/>
      <c r="G424" s="294"/>
    </row>
    <row r="425" spans="1:7">
      <c r="A425" s="137" t="s">
        <v>668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4000</v>
      </c>
      <c r="B426" s="220">
        <f>'2018'!AV17-A426</f>
        <v>-4000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-4000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U7:AX7" display="INGRESOS" xr:uid="{61976EE0-D813-485B-9000-AC87DC88128C}"/>
    <hyperlink ref="B2" location="Trimestre!C25:F26" display="HIPOTECA" xr:uid="{A7C6557F-835E-4877-B374-D755E56A8BC4}"/>
    <hyperlink ref="B2:G3" location="'2018'!AU20:AX20" display="'2018'!AU20:AX20" xr:uid="{44E55F04-D5EA-430F-85B6-49AAFEA32FD7}"/>
    <hyperlink ref="B22" location="Trimestre!C25:F26" display="HIPOTECA" xr:uid="{2945D34A-E989-4D07-8170-F846056B9904}"/>
    <hyperlink ref="B22:G23" location="'2018'!AU21:AX21" display="'2018'!AU21:AX21" xr:uid="{5859C735-613F-47CA-8ED1-315323F15DA4}"/>
    <hyperlink ref="B42" location="Trimestre!C25:F26" display="HIPOTECA" xr:uid="{633D6982-3D16-4B65-A863-0FC661BAEC27}"/>
    <hyperlink ref="B42:G43" location="'2018'!AU22:AX22" display="'2018'!AU22:AX22" xr:uid="{B5B1333F-3B5C-477D-B8A8-5A76131FDF48}"/>
    <hyperlink ref="B62" location="Trimestre!C25:F26" display="HIPOTECA" xr:uid="{284BE7E6-99F2-4C58-BC02-899C4ADE12D5}"/>
    <hyperlink ref="B62:G63" location="'2018'!AU23:AX23" display="'2018'!AU23:AX23" xr:uid="{CE05078D-1ACD-4C2E-BF26-23F211AB6B87}"/>
    <hyperlink ref="B82" location="Trimestre!C25:F26" display="HIPOTECA" xr:uid="{123F1728-AFA9-4605-B791-6380E9CC53CB}"/>
    <hyperlink ref="B82:G83" location="'2018'!AU24:AX24" display="'2018'!AU24:AX24" xr:uid="{198ACE7D-4D57-47FC-91DC-C5F5887DCF8B}"/>
    <hyperlink ref="B102" location="Trimestre!C25:F26" display="HIPOTECA" xr:uid="{EFB79D0E-D75F-4A7E-80E2-E8CAA83F3F25}"/>
    <hyperlink ref="B102:G103" location="'2018'!AU25:AX25" display="'2018'!AU25:AX25" xr:uid="{D1B1884C-9D88-4CBE-80A6-D2D45E0AD03F}"/>
    <hyperlink ref="B122" location="Trimestre!C25:F26" display="HIPOTECA" xr:uid="{E1481791-C3C3-477B-9D00-D102E6508A95}"/>
    <hyperlink ref="B122:G123" location="'2018'!AU26:AX26" display="'2018'!AU26:AX26" xr:uid="{2F5D2B8C-5749-41A6-A29C-EB8BA3BB52B0}"/>
    <hyperlink ref="B142" location="Trimestre!C25:F26" display="HIPOTECA" xr:uid="{B6367BC0-D736-48CB-BE27-E35BBCFC2664}"/>
    <hyperlink ref="B142:G143" location="'2018'!AU27:AX27" display="'2018'!AU27:AX27" xr:uid="{1079B30A-F4A3-4D88-842E-A2A9B555AC7F}"/>
    <hyperlink ref="B162" location="Trimestre!C25:F26" display="HIPOTECA" xr:uid="{D0AEDC62-861B-47BA-96EE-E0DFF4B0608F}"/>
    <hyperlink ref="B162:G163" location="'2018'!AU28:AX28" display="'2018'!AU28:AX28" xr:uid="{179A9FE1-4569-457A-86B6-4B765C23D476}"/>
    <hyperlink ref="B182" location="Trimestre!C25:F26" display="HIPOTECA" xr:uid="{1D733267-182D-4705-AAE4-D75351F0F1EB}"/>
    <hyperlink ref="B182:G183" location="'2018'!AU29:AX29" display="'2018'!AU29:AX29" xr:uid="{AB7588BB-C416-49A7-A5A7-F79F6521C415}"/>
    <hyperlink ref="B202" location="Trimestre!C25:F26" display="HIPOTECA" xr:uid="{AB856B99-92CE-4246-820C-86C6A36E38A9}"/>
    <hyperlink ref="B202:G203" location="'2018'!AU30:AX30" display="'2018'!AU30:AX30" xr:uid="{8CCE81C9-B8B4-4AF7-8CF6-8C278FA0BD3F}"/>
    <hyperlink ref="B222" location="Trimestre!C25:F26" display="HIPOTECA" xr:uid="{7020E613-C443-49D7-9C37-3162A24C78D0}"/>
    <hyperlink ref="B222:G223" location="'2018'!AU31:AX31" display="'2018'!AU31:AX31" xr:uid="{D5049AE1-3D9E-4CDE-9BA0-FC372E8B5262}"/>
    <hyperlink ref="B242" location="Trimestre!C25:F26" display="HIPOTECA" xr:uid="{1DE3EF54-90C6-4D7E-ABC0-03558E4848B2}"/>
    <hyperlink ref="B242:G243" location="'2018'!AU32:AX32" display="'2018'!AU32:AX32" xr:uid="{E82DA27E-515E-4E2D-B364-3CE7321AECF7}"/>
    <hyperlink ref="B262" location="Trimestre!C25:F26" display="HIPOTECA" xr:uid="{D19615B0-9D9F-41B4-9227-2F4094CCB899}"/>
    <hyperlink ref="B262:G263" location="'2018'!AU33:AX33" display="'2018'!AU33:AX33" xr:uid="{1ADA8A12-49D3-4FC9-B4C7-37A5C54147EB}"/>
    <hyperlink ref="B282" location="Trimestre!C25:F26" display="HIPOTECA" xr:uid="{6B25CE61-0EAE-4317-8880-788C3A8E0593}"/>
    <hyperlink ref="B282:G283" location="'2018'!AU34:AX34" display="'2018'!AU34:AX34" xr:uid="{FF959C11-C058-4705-8BD0-C5B379B46F31}"/>
    <hyperlink ref="B302" location="Trimestre!C25:F26" display="HIPOTECA" xr:uid="{ACDA8A27-3B18-4FBE-A067-4EA10FE60E3A}"/>
    <hyperlink ref="B302:G303" location="'2018'!AU35:AX35" display="'2018'!AU35:AX35" xr:uid="{A38F5AF7-219E-48BC-A692-B158539175B2}"/>
    <hyperlink ref="B322" location="Trimestre!C25:F26" display="HIPOTECA" xr:uid="{AA43F692-96B4-4129-9311-4B6A43E147FE}"/>
    <hyperlink ref="B322:G323" location="'2018'!AU36:AX36" display="'2018'!AU36:AX36" xr:uid="{3B4F885B-03D5-4475-8C8A-1B636799CC1C}"/>
    <hyperlink ref="B342" location="Trimestre!C25:F26" display="HIPOTECA" xr:uid="{F64620BF-68F7-4A15-BCE8-D333CF177573}"/>
    <hyperlink ref="B342:G343" location="'2018'!AU37:AX37" display="'2018'!AU37:AX37" xr:uid="{6666C911-5032-49D8-B545-301F3665F150}"/>
    <hyperlink ref="B362" location="Trimestre!C25:F26" display="HIPOTECA" xr:uid="{F513D5F6-F712-497D-A3B3-8DE8F392E307}"/>
    <hyperlink ref="B362:G363" location="'2018'!AU38:AX38" display="'2018'!AU38:AX38" xr:uid="{E6A26B47-CEAB-4BE2-89FD-A0CDB0216CA4}"/>
    <hyperlink ref="B382" location="Trimestre!C25:F26" display="HIPOTECA" xr:uid="{9988BAA2-70D1-4A5F-A2F8-868DDA3A5D1B}"/>
    <hyperlink ref="B382:G383" location="'2018'!AU39:AX39" display="'2018'!AU39:AX39" xr:uid="{05118760-7D1C-4EF9-ACBA-322BAEDB8998}"/>
    <hyperlink ref="B402" location="Trimestre!C25:F26" display="HIPOTECA" xr:uid="{77593A8C-E675-49B2-9616-2C64618FBAD6}"/>
    <hyperlink ref="B402:G403" location="'2018'!AU40:AX40" display="'2018'!AU40:AX40" xr:uid="{33AA3689-AF4B-49E4-BBDC-F0FC6E7F9A52}"/>
    <hyperlink ref="B422" location="Trimestre!C25:F26" display="HIPOTECA" xr:uid="{F21E1BDF-F8FE-472C-AF4F-F0245B3BAF11}"/>
    <hyperlink ref="B422:G423" location="'2018'!AU41:AX41" display="'2018'!AU41:AX41" xr:uid="{EE7EF7AF-A7F7-4BDA-981D-87B2B130AD16}"/>
    <hyperlink ref="B442" location="Trimestre!C25:F26" display="HIPOTECA" xr:uid="{DB09AEBA-94CA-4B4F-95C6-9F95C7932FA4}"/>
    <hyperlink ref="B442:G443" location="'2018'!AU42:AX42" display="'2018'!AU42:AX42" xr:uid="{C0A446A7-65BB-4F75-8318-AE74AD044717}"/>
    <hyperlink ref="B462" location="Trimestre!C25:F26" display="HIPOTECA" xr:uid="{E99C6E5D-FAB0-4294-AF6A-7044DE50B2CC}"/>
    <hyperlink ref="B462:G463" location="'2018'!AU43:AX43" display="'2018'!AU43:AX43" xr:uid="{81417136-7CE6-4454-9857-21050822C976}"/>
    <hyperlink ref="B482" location="Trimestre!C25:F26" display="HIPOTECA" xr:uid="{58713445-F4FE-4154-A459-320B4B989C5B}"/>
    <hyperlink ref="B482:G483" location="'2018'!AU44:AX44" display="'2018'!AU44:AX44" xr:uid="{78E92B8B-9BAC-47AF-9798-2C65BFDEED22}"/>
    <hyperlink ref="B502" location="Trimestre!C25:F26" display="HIPOTECA" xr:uid="{EC04AB01-EEB0-4BCC-A5C5-D24C170CADCE}"/>
    <hyperlink ref="B502:G503" location="'2018'!AU45:AX45" display="'2018'!AU45:AX45" xr:uid="{85841801-7A32-4365-A441-318FF47F54FA}"/>
    <hyperlink ref="I2:L3" location="'2018'!AU4:AX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2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9005.0300000000007</v>
      </c>
      <c r="I63" s="170">
        <f>H63-D62</f>
        <v>-481.88999999998123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9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2"/>
  <sheetViews>
    <sheetView topLeftCell="A37" workbookViewId="0">
      <selection activeCell="A53" sqref="A53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31" t="s">
        <v>70</v>
      </c>
      <c r="J4" s="32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3">
        <v>1462.46</v>
      </c>
      <c r="L5" s="304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6">
        <v>423.18</v>
      </c>
      <c r="L6" s="297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6">
        <v>7102.9</v>
      </c>
      <c r="L7" s="297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6">
        <v>1250</v>
      </c>
      <c r="L8" s="297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96">
        <v>100.34</v>
      </c>
      <c r="L9" s="297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96">
        <f>5007.8</f>
        <v>5007.8</v>
      </c>
      <c r="L10" s="297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96">
        <v>1566.09</v>
      </c>
      <c r="L11" s="297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96">
        <v>1800</v>
      </c>
      <c r="L12" s="297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96">
        <f>75+20+95</f>
        <v>190</v>
      </c>
      <c r="L13" s="297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6"/>
      <c r="L14" s="297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6"/>
      <c r="L15" s="297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SUM(K5:K18)-K11</f>
        <v>17336.68</v>
      </c>
      <c r="L19" s="299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303">
        <v>1.01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96">
        <v>0.04</v>
      </c>
      <c r="L26" s="29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96">
        <v>2831.41</v>
      </c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96">
        <v>72.66</v>
      </c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96">
        <v>93.93</v>
      </c>
      <c r="L29" s="297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96">
        <v>700</v>
      </c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96">
        <v>50</v>
      </c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96">
        <v>229.4</v>
      </c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96">
        <v>0.05</v>
      </c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96">
        <v>1566.27</v>
      </c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96">
        <v>449</v>
      </c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96">
        <v>314.12</v>
      </c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8" ht="15" customHeight="1" thickBot="1">
      <c r="B283" s="290"/>
      <c r="C283" s="291"/>
      <c r="D283" s="291"/>
      <c r="E283" s="291"/>
      <c r="F283" s="291"/>
      <c r="G283" s="292"/>
    </row>
    <row r="284" spans="2:8">
      <c r="B284" s="295" t="s">
        <v>10</v>
      </c>
      <c r="C284" s="294"/>
      <c r="D284" s="293" t="s">
        <v>11</v>
      </c>
      <c r="E284" s="293"/>
      <c r="F284" s="293"/>
      <c r="G284" s="294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8" ht="15" customHeight="1" thickBot="1">
      <c r="B303" s="290"/>
      <c r="C303" s="291"/>
      <c r="D303" s="291"/>
      <c r="E303" s="291"/>
      <c r="F303" s="291"/>
      <c r="G303" s="292"/>
    </row>
    <row r="304" spans="2:8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288"/>
      <c r="D422" s="288"/>
      <c r="E422" s="288"/>
      <c r="F422" s="288"/>
      <c r="G422" s="289"/>
    </row>
    <row r="423" spans="2:7" ht="15" customHeight="1" thickBot="1">
      <c r="B423" s="290"/>
      <c r="C423" s="291"/>
      <c r="D423" s="291"/>
      <c r="E423" s="291"/>
      <c r="F423" s="291"/>
      <c r="G423" s="292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288"/>
      <c r="D442" s="288"/>
      <c r="E442" s="288"/>
      <c r="F442" s="288"/>
      <c r="G442" s="289"/>
    </row>
    <row r="443" spans="2:7" ht="15" customHeight="1" thickBot="1">
      <c r="B443" s="290"/>
      <c r="C443" s="291"/>
      <c r="D443" s="291"/>
      <c r="E443" s="291"/>
      <c r="F443" s="291"/>
      <c r="G443" s="292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288"/>
      <c r="D462" s="288"/>
      <c r="E462" s="288"/>
      <c r="F462" s="288"/>
      <c r="G462" s="289"/>
    </row>
    <row r="463" spans="2:7" ht="15" customHeight="1" thickBot="1">
      <c r="B463" s="290"/>
      <c r="C463" s="291"/>
      <c r="D463" s="291"/>
      <c r="E463" s="291"/>
      <c r="F463" s="291"/>
      <c r="G463" s="292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288"/>
      <c r="D482" s="288"/>
      <c r="E482" s="288"/>
      <c r="F482" s="288"/>
      <c r="G482" s="289"/>
    </row>
    <row r="483" spans="2:7" ht="15" customHeight="1" thickBot="1">
      <c r="B483" s="290"/>
      <c r="C483" s="291"/>
      <c r="D483" s="291"/>
      <c r="E483" s="291"/>
      <c r="F483" s="291"/>
      <c r="G483" s="292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288"/>
      <c r="D502" s="288"/>
      <c r="E502" s="288"/>
      <c r="F502" s="288"/>
      <c r="G502" s="289"/>
    </row>
    <row r="503" spans="2:7" ht="15" customHeight="1" thickBot="1">
      <c r="B503" s="290"/>
      <c r="C503" s="291"/>
      <c r="D503" s="291"/>
      <c r="E503" s="291"/>
      <c r="F503" s="291"/>
      <c r="G503" s="292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31" t="s">
        <v>70</v>
      </c>
      <c r="J4" s="32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3">
        <v>1295.79</v>
      </c>
      <c r="L5" s="304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6">
        <v>379.61</v>
      </c>
      <c r="L6" s="297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96">
        <v>7271.78</v>
      </c>
      <c r="L7" s="297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96">
        <v>9090.56</v>
      </c>
      <c r="L8" s="297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6">
        <v>69.22</v>
      </c>
      <c r="L9" s="297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6">
        <f>290+20</f>
        <v>310</v>
      </c>
      <c r="L11" s="297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96"/>
      <c r="L12" s="297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6"/>
      <c r="L13" s="297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6"/>
      <c r="L14" s="297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6"/>
      <c r="L15" s="297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20217</v>
      </c>
      <c r="L19" s="299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96">
        <v>176.46</v>
      </c>
      <c r="L25" s="297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96">
        <v>47.52</v>
      </c>
      <c r="L26" s="29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96">
        <v>93.93</v>
      </c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96">
        <v>447.43</v>
      </c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96">
        <v>1638.24</v>
      </c>
      <c r="L29" s="297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8" ht="15" customHeight="1" thickBot="1">
      <c r="B283" s="290"/>
      <c r="C283" s="291"/>
      <c r="D283" s="291"/>
      <c r="E283" s="291"/>
      <c r="F283" s="291"/>
      <c r="G283" s="292"/>
    </row>
    <row r="284" spans="2:8">
      <c r="B284" s="295" t="s">
        <v>10</v>
      </c>
      <c r="C284" s="294"/>
      <c r="D284" s="293" t="s">
        <v>11</v>
      </c>
      <c r="E284" s="293"/>
      <c r="F284" s="293"/>
      <c r="G284" s="294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31" t="s">
        <v>70</v>
      </c>
      <c r="J4" s="32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3">
        <v>1852.76</v>
      </c>
      <c r="L5" s="304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96">
        <v>335.99</v>
      </c>
      <c r="L6" s="297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96">
        <v>7882.01</v>
      </c>
      <c r="L7" s="297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6">
        <v>3390.56</v>
      </c>
      <c r="L8" s="297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96">
        <v>621.13</v>
      </c>
      <c r="L9" s="297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6">
        <f>30+40+170</f>
        <v>240</v>
      </c>
      <c r="L11" s="297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6">
        <v>5092.08</v>
      </c>
      <c r="L12" s="297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96"/>
      <c r="L13" s="297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6"/>
      <c r="L14" s="297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96"/>
      <c r="L15" s="297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21214.57</v>
      </c>
      <c r="L19" s="299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3">
        <v>259.36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96">
        <v>176.46</v>
      </c>
      <c r="L26" s="297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96"/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6"/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6"/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31" t="s">
        <v>70</v>
      </c>
      <c r="J4" s="32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3">
        <v>1117.3699999999999</v>
      </c>
      <c r="L5" s="304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6">
        <v>292.37</v>
      </c>
      <c r="L6" s="297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96">
        <f>6685.64-16.84-6.88</f>
        <v>6661.92</v>
      </c>
      <c r="L7" s="297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96">
        <v>5000</v>
      </c>
      <c r="L8" s="297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6">
        <v>621.13</v>
      </c>
      <c r="L9" s="297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6">
        <f>90+30+15</f>
        <v>135</v>
      </c>
      <c r="L11" s="297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6">
        <v>5092.08</v>
      </c>
      <c r="L12" s="297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96"/>
      <c r="L13" s="297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6"/>
      <c r="L14" s="297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6"/>
      <c r="L15" s="297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20719.909999999996</v>
      </c>
      <c r="L19" s="299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303">
        <v>249.22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96">
        <v>197.22</v>
      </c>
      <c r="L26" s="29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96">
        <v>2290.23</v>
      </c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96">
        <v>80.099999999999994</v>
      </c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96">
        <v>0.03</v>
      </c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96">
        <v>325.64</v>
      </c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31" t="s">
        <v>70</v>
      </c>
      <c r="J4" s="32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303">
        <v>1091.18</v>
      </c>
      <c r="L5" s="304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96">
        <v>248.78</v>
      </c>
      <c r="L6" s="297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96">
        <v>8736.65</v>
      </c>
      <c r="L7" s="297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96">
        <v>5000</v>
      </c>
      <c r="L8" s="297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96">
        <v>621.13</v>
      </c>
      <c r="L9" s="297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96">
        <f>40+276</f>
        <v>316</v>
      </c>
      <c r="L11" s="297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96">
        <v>5092.08</v>
      </c>
      <c r="L12" s="297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96"/>
      <c r="L13" s="297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96"/>
      <c r="L14" s="297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96"/>
      <c r="L15" s="297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22905.86</v>
      </c>
      <c r="L19" s="299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303">
        <v>38.64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96">
        <v>249.22</v>
      </c>
      <c r="L26" s="297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96">
        <v>155.69999999999999</v>
      </c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6"/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6"/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3">
        <v>2311.09</v>
      </c>
      <c r="L5" s="304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6">
        <v>205.16</v>
      </c>
      <c r="L6" s="297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6">
        <v>6999</v>
      </c>
      <c r="L7" s="297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96">
        <v>6000</v>
      </c>
      <c r="L8" s="297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96">
        <v>659.77</v>
      </c>
      <c r="L9" s="297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6">
        <f>465+90</f>
        <v>555</v>
      </c>
      <c r="L11" s="297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96">
        <v>5092.08</v>
      </c>
      <c r="L12" s="297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6"/>
      <c r="L13" s="297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6"/>
      <c r="L14" s="297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6"/>
      <c r="L15" s="297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23622.14</v>
      </c>
      <c r="L19" s="299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303">
        <v>197.22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96">
        <v>200</v>
      </c>
      <c r="L26" s="297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96"/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96"/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6"/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3">
        <v>2946.37</v>
      </c>
      <c r="L5" s="304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96">
        <v>161.54</v>
      </c>
      <c r="L6" s="297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6">
        <v>7451.76</v>
      </c>
      <c r="L7" s="297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96">
        <v>6000</v>
      </c>
      <c r="L8" s="297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6">
        <v>659.77</v>
      </c>
      <c r="L9" s="297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96">
        <v>800</v>
      </c>
      <c r="L11" s="297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96">
        <v>5092.08</v>
      </c>
      <c r="L12" s="297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96"/>
      <c r="L13" s="297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6"/>
      <c r="L14" s="297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6"/>
      <c r="L15" s="297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24911.559999999998</v>
      </c>
      <c r="L19" s="299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303">
        <v>134.94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96">
        <v>83.04</v>
      </c>
      <c r="L26" s="297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96">
        <v>786.42</v>
      </c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96">
        <v>26.77</v>
      </c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96">
        <v>0.02</v>
      </c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8" ht="15" customHeight="1" thickBot="1">
      <c r="B243" s="290"/>
      <c r="C243" s="291"/>
      <c r="D243" s="291"/>
      <c r="E243" s="291"/>
      <c r="F243" s="291"/>
      <c r="G243" s="292"/>
    </row>
    <row r="244" spans="2:8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7" t="str">
        <f>'2018'!A20</f>
        <v>Cártama Gastos</v>
      </c>
      <c r="C2" s="288"/>
      <c r="D2" s="288"/>
      <c r="E2" s="288"/>
      <c r="F2" s="288"/>
      <c r="G2" s="289"/>
      <c r="H2" s="1"/>
      <c r="I2" s="300" t="s">
        <v>4</v>
      </c>
      <c r="J2" s="288"/>
      <c r="K2" s="288"/>
      <c r="L2" s="289"/>
      <c r="M2" s="1"/>
      <c r="N2" s="1"/>
      <c r="R2" s="3"/>
    </row>
    <row r="3" spans="1:22" ht="16.5" thickBot="1">
      <c r="A3" s="1"/>
      <c r="B3" s="290"/>
      <c r="C3" s="291"/>
      <c r="D3" s="291"/>
      <c r="E3" s="291"/>
      <c r="F3" s="291"/>
      <c r="G3" s="292"/>
      <c r="H3" s="1"/>
      <c r="I3" s="290"/>
      <c r="J3" s="291"/>
      <c r="K3" s="291"/>
      <c r="L3" s="292"/>
      <c r="M3" s="1"/>
      <c r="N3" s="1"/>
      <c r="R3" s="3"/>
    </row>
    <row r="4" spans="1:22" ht="15.75">
      <c r="A4" s="1"/>
      <c r="B4" s="295" t="s">
        <v>10</v>
      </c>
      <c r="C4" s="294"/>
      <c r="D4" s="293" t="s">
        <v>11</v>
      </c>
      <c r="E4" s="293"/>
      <c r="F4" s="293"/>
      <c r="G4" s="294"/>
      <c r="H4" s="1"/>
      <c r="I4" s="88" t="s">
        <v>70</v>
      </c>
      <c r="J4" s="156" t="s">
        <v>71</v>
      </c>
      <c r="K4" s="301" t="s">
        <v>72</v>
      </c>
      <c r="L4" s="302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303">
        <f>2534.79-49</f>
        <v>2485.79</v>
      </c>
      <c r="L5" s="304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96">
        <v>550</v>
      </c>
      <c r="L6" s="297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96">
        <v>6661.07</v>
      </c>
      <c r="L7" s="297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96">
        <v>7000</v>
      </c>
      <c r="L8" s="297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96">
        <v>659.77</v>
      </c>
      <c r="L9" s="297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96">
        <v>1800.04</v>
      </c>
      <c r="L10" s="297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96">
        <f>220+20</f>
        <v>240</v>
      </c>
      <c r="L11" s="297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96">
        <v>5092.08</v>
      </c>
      <c r="L12" s="297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96"/>
      <c r="L13" s="297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96"/>
      <c r="L14" s="297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96"/>
      <c r="L15" s="297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96"/>
      <c r="L16" s="297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96"/>
      <c r="L17" s="297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298"/>
      <c r="L18" s="299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298">
        <f>SUM(K5:K18)</f>
        <v>24488.75</v>
      </c>
      <c r="L19" s="299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87" t="str">
        <f>'2018'!A21</f>
        <v>Waterloo</v>
      </c>
      <c r="C22" s="288"/>
      <c r="D22" s="288"/>
      <c r="E22" s="288"/>
      <c r="F22" s="288"/>
      <c r="G22" s="289"/>
      <c r="H22" s="1"/>
      <c r="I22" s="300" t="s">
        <v>6</v>
      </c>
      <c r="J22" s="288"/>
      <c r="K22" s="288"/>
      <c r="L22" s="289"/>
      <c r="M22" s="1"/>
      <c r="R22" s="3"/>
    </row>
    <row r="23" spans="1:18" ht="16.149999999999999" customHeight="1" thickBot="1">
      <c r="A23" s="1"/>
      <c r="B23" s="290"/>
      <c r="C23" s="291"/>
      <c r="D23" s="291"/>
      <c r="E23" s="291"/>
      <c r="F23" s="291"/>
      <c r="G23" s="292"/>
      <c r="H23" s="1"/>
      <c r="I23" s="290"/>
      <c r="J23" s="291"/>
      <c r="K23" s="291"/>
      <c r="L23" s="292"/>
      <c r="M23" s="1"/>
      <c r="R23" s="3"/>
    </row>
    <row r="24" spans="1:18" ht="15.75">
      <c r="A24" s="1"/>
      <c r="B24" s="295" t="s">
        <v>10</v>
      </c>
      <c r="C24" s="294"/>
      <c r="D24" s="293" t="s">
        <v>11</v>
      </c>
      <c r="E24" s="293"/>
      <c r="F24" s="293"/>
      <c r="G24" s="294"/>
      <c r="H24" s="1"/>
      <c r="I24" s="88" t="s">
        <v>33</v>
      </c>
      <c r="J24" s="32" t="s">
        <v>133</v>
      </c>
      <c r="K24" s="301" t="s">
        <v>134</v>
      </c>
      <c r="L24" s="302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303">
        <v>269.88</v>
      </c>
      <c r="L25" s="304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96">
        <v>49</v>
      </c>
      <c r="L26" s="297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96"/>
      <c r="L27" s="297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96"/>
      <c r="L28" s="297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96"/>
      <c r="L29" s="297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96"/>
      <c r="L30" s="297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96"/>
      <c r="L31" s="297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96"/>
      <c r="L32" s="297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96"/>
      <c r="L33" s="297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96"/>
      <c r="L34" s="297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96"/>
      <c r="L35" s="297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96"/>
      <c r="L36" s="297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96"/>
      <c r="L37" s="297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298"/>
      <c r="L38" s="299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87" t="str">
        <f>'2018'!A22</f>
        <v>Comida+Limpieza</v>
      </c>
      <c r="C42" s="288"/>
      <c r="D42" s="288"/>
      <c r="E42" s="288"/>
      <c r="F42" s="288"/>
      <c r="G42" s="289"/>
      <c r="H42" s="1"/>
      <c r="M42" s="1"/>
      <c r="R42" s="3"/>
    </row>
    <row r="43" spans="1:18" ht="16.149999999999999" customHeight="1" thickBot="1">
      <c r="A43" s="1"/>
      <c r="B43" s="290"/>
      <c r="C43" s="291"/>
      <c r="D43" s="291"/>
      <c r="E43" s="291"/>
      <c r="F43" s="291"/>
      <c r="G43" s="292"/>
      <c r="H43" s="1"/>
      <c r="M43" s="1"/>
      <c r="R43" s="3"/>
    </row>
    <row r="44" spans="1:18" ht="15.75">
      <c r="A44" s="1"/>
      <c r="B44" s="295" t="s">
        <v>10</v>
      </c>
      <c r="C44" s="294"/>
      <c r="D44" s="293" t="s">
        <v>11</v>
      </c>
      <c r="E44" s="293"/>
      <c r="F44" s="293"/>
      <c r="G44" s="294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87" t="str">
        <f>'2018'!A23</f>
        <v>Ocio</v>
      </c>
      <c r="C62" s="288"/>
      <c r="D62" s="288"/>
      <c r="E62" s="288"/>
      <c r="F62" s="288"/>
      <c r="G62" s="289"/>
      <c r="H62" s="1"/>
      <c r="M62" s="1"/>
      <c r="R62" s="3"/>
    </row>
    <row r="63" spans="1:18" ht="16.149999999999999" customHeight="1" thickBot="1">
      <c r="A63" s="1"/>
      <c r="B63" s="290"/>
      <c r="C63" s="291"/>
      <c r="D63" s="291"/>
      <c r="E63" s="291"/>
      <c r="F63" s="291"/>
      <c r="G63" s="292"/>
      <c r="H63" s="1"/>
      <c r="M63" s="1"/>
      <c r="R63" s="3"/>
    </row>
    <row r="64" spans="1:18" ht="15.75">
      <c r="A64" s="1"/>
      <c r="B64" s="295" t="s">
        <v>10</v>
      </c>
      <c r="C64" s="294"/>
      <c r="D64" s="293" t="s">
        <v>11</v>
      </c>
      <c r="E64" s="293"/>
      <c r="F64" s="293"/>
      <c r="G64" s="294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87" t="str">
        <f>'2018'!A24</f>
        <v>Transportes</v>
      </c>
      <c r="C82" s="288"/>
      <c r="D82" s="288"/>
      <c r="E82" s="288"/>
      <c r="F82" s="288"/>
      <c r="G82" s="289"/>
      <c r="H82" s="1"/>
      <c r="M82" s="1"/>
      <c r="R82" s="3"/>
    </row>
    <row r="83" spans="1:18" ht="16.149999999999999" customHeight="1" thickBot="1">
      <c r="A83" s="1"/>
      <c r="B83" s="290"/>
      <c r="C83" s="291"/>
      <c r="D83" s="291"/>
      <c r="E83" s="291"/>
      <c r="F83" s="291"/>
      <c r="G83" s="292"/>
      <c r="H83" s="1"/>
      <c r="M83" s="1"/>
      <c r="R83" s="3"/>
    </row>
    <row r="84" spans="1:18" ht="15.75">
      <c r="A84" s="1"/>
      <c r="B84" s="295" t="s">
        <v>10</v>
      </c>
      <c r="C84" s="294"/>
      <c r="D84" s="293" t="s">
        <v>11</v>
      </c>
      <c r="E84" s="293"/>
      <c r="F84" s="293"/>
      <c r="G84" s="294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87" t="str">
        <f>'2018'!A25</f>
        <v>Coche</v>
      </c>
      <c r="C102" s="288"/>
      <c r="D102" s="288"/>
      <c r="E102" s="288"/>
      <c r="F102" s="288"/>
      <c r="G102" s="289"/>
      <c r="H102" s="1"/>
      <c r="M102" s="1"/>
      <c r="R102" s="3"/>
    </row>
    <row r="103" spans="1:18" ht="16.149999999999999" customHeight="1" thickBot="1">
      <c r="A103" s="1"/>
      <c r="B103" s="290"/>
      <c r="C103" s="291"/>
      <c r="D103" s="291"/>
      <c r="E103" s="291"/>
      <c r="F103" s="291"/>
      <c r="G103" s="292"/>
      <c r="H103" s="1"/>
      <c r="M103" s="1"/>
      <c r="R103" s="3"/>
    </row>
    <row r="104" spans="1:18" ht="15.75">
      <c r="A104" s="1"/>
      <c r="B104" s="295" t="s">
        <v>10</v>
      </c>
      <c r="C104" s="294"/>
      <c r="D104" s="293" t="s">
        <v>11</v>
      </c>
      <c r="E104" s="293"/>
      <c r="F104" s="293"/>
      <c r="G104" s="294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87" t="str">
        <f>'2018'!A26</f>
        <v>Teléfono</v>
      </c>
      <c r="C122" s="288"/>
      <c r="D122" s="288"/>
      <c r="E122" s="288"/>
      <c r="F122" s="288"/>
      <c r="G122" s="289"/>
      <c r="H122" s="1"/>
      <c r="M122" s="1"/>
      <c r="R122" s="3"/>
    </row>
    <row r="123" spans="1:18" ht="16.149999999999999" customHeight="1" thickBot="1">
      <c r="A123" s="1"/>
      <c r="B123" s="290"/>
      <c r="C123" s="291"/>
      <c r="D123" s="291"/>
      <c r="E123" s="291"/>
      <c r="F123" s="291"/>
      <c r="G123" s="292"/>
      <c r="H123" s="1"/>
      <c r="M123" s="1"/>
      <c r="R123" s="3"/>
    </row>
    <row r="124" spans="1:18" ht="15.75">
      <c r="A124" s="1"/>
      <c r="B124" s="295" t="s">
        <v>10</v>
      </c>
      <c r="C124" s="294"/>
      <c r="D124" s="293" t="s">
        <v>11</v>
      </c>
      <c r="E124" s="293"/>
      <c r="F124" s="293"/>
      <c r="G124" s="294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87" t="str">
        <f>'2018'!A27</f>
        <v>Gatos</v>
      </c>
      <c r="C142" s="288"/>
      <c r="D142" s="288"/>
      <c r="E142" s="288"/>
      <c r="F142" s="288"/>
      <c r="G142" s="289"/>
      <c r="H142" s="1"/>
      <c r="M142" s="1"/>
      <c r="R142" s="3"/>
    </row>
    <row r="143" spans="1:18" ht="16.149999999999999" customHeight="1" thickBot="1">
      <c r="A143" s="1"/>
      <c r="B143" s="290"/>
      <c r="C143" s="291"/>
      <c r="D143" s="291"/>
      <c r="E143" s="291"/>
      <c r="F143" s="291"/>
      <c r="G143" s="292"/>
      <c r="H143" s="1"/>
      <c r="M143" s="1"/>
      <c r="R143" s="3"/>
    </row>
    <row r="144" spans="1:18" ht="15.75">
      <c r="A144" s="1"/>
      <c r="B144" s="295" t="s">
        <v>10</v>
      </c>
      <c r="C144" s="294"/>
      <c r="D144" s="293" t="s">
        <v>11</v>
      </c>
      <c r="E144" s="293"/>
      <c r="F144" s="293"/>
      <c r="G144" s="294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7" t="str">
        <f>'2018'!A28</f>
        <v>Vacaciones</v>
      </c>
      <c r="C162" s="288"/>
      <c r="D162" s="288"/>
      <c r="E162" s="288"/>
      <c r="F162" s="288"/>
      <c r="G162" s="28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0"/>
      <c r="C163" s="291"/>
      <c r="D163" s="291"/>
      <c r="E163" s="291"/>
      <c r="F163" s="291"/>
      <c r="G163" s="29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5" t="s">
        <v>10</v>
      </c>
      <c r="C164" s="294"/>
      <c r="D164" s="293" t="s">
        <v>11</v>
      </c>
      <c r="E164" s="293"/>
      <c r="F164" s="293"/>
      <c r="G164" s="29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7" t="str">
        <f>'2018'!A29</f>
        <v>Ropa</v>
      </c>
      <c r="C182" s="288"/>
      <c r="D182" s="288"/>
      <c r="E182" s="288"/>
      <c r="F182" s="288"/>
      <c r="G182" s="28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0"/>
      <c r="C183" s="291"/>
      <c r="D183" s="291"/>
      <c r="E183" s="291"/>
      <c r="F183" s="291"/>
      <c r="G183" s="29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5" t="s">
        <v>10</v>
      </c>
      <c r="C184" s="294"/>
      <c r="D184" s="293" t="s">
        <v>11</v>
      </c>
      <c r="E184" s="293"/>
      <c r="F184" s="293"/>
      <c r="G184" s="29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87" t="str">
        <f>'2018'!A30</f>
        <v>Belleza</v>
      </c>
      <c r="C202" s="288"/>
      <c r="D202" s="288"/>
      <c r="E202" s="288"/>
      <c r="F202" s="288"/>
      <c r="G202" s="289"/>
    </row>
    <row r="203" spans="2:7" ht="15" customHeight="1" thickBot="1">
      <c r="B203" s="290"/>
      <c r="C203" s="291"/>
      <c r="D203" s="291"/>
      <c r="E203" s="291"/>
      <c r="F203" s="291"/>
      <c r="G203" s="292"/>
    </row>
    <row r="204" spans="2:7">
      <c r="B204" s="295" t="s">
        <v>10</v>
      </c>
      <c r="C204" s="294"/>
      <c r="D204" s="293" t="s">
        <v>11</v>
      </c>
      <c r="E204" s="293"/>
      <c r="F204" s="293"/>
      <c r="G204" s="294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87" t="str">
        <f>'2018'!A31</f>
        <v>Deportes</v>
      </c>
      <c r="C222" s="288"/>
      <c r="D222" s="288"/>
      <c r="E222" s="288"/>
      <c r="F222" s="288"/>
      <c r="G222" s="289"/>
    </row>
    <row r="223" spans="2:7" ht="15" customHeight="1" thickBot="1">
      <c r="B223" s="290"/>
      <c r="C223" s="291"/>
      <c r="D223" s="291"/>
      <c r="E223" s="291"/>
      <c r="F223" s="291"/>
      <c r="G223" s="292"/>
    </row>
    <row r="224" spans="2:7">
      <c r="B224" s="295" t="s">
        <v>10</v>
      </c>
      <c r="C224" s="294"/>
      <c r="D224" s="293" t="s">
        <v>11</v>
      </c>
      <c r="E224" s="293"/>
      <c r="F224" s="293"/>
      <c r="G224" s="294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87" t="str">
        <f>'2018'!A32</f>
        <v>Hogar</v>
      </c>
      <c r="C242" s="288"/>
      <c r="D242" s="288"/>
      <c r="E242" s="288"/>
      <c r="F242" s="288"/>
      <c r="G242" s="289"/>
    </row>
    <row r="243" spans="2:7" ht="15" customHeight="1" thickBot="1">
      <c r="B243" s="290"/>
      <c r="C243" s="291"/>
      <c r="D243" s="291"/>
      <c r="E243" s="291"/>
      <c r="F243" s="291"/>
      <c r="G243" s="292"/>
    </row>
    <row r="244" spans="2:7" ht="15" customHeight="1">
      <c r="B244" s="295" t="s">
        <v>10</v>
      </c>
      <c r="C244" s="294"/>
      <c r="D244" s="293" t="s">
        <v>11</v>
      </c>
      <c r="E244" s="293"/>
      <c r="F244" s="293"/>
      <c r="G244" s="294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87" t="str">
        <f>'2018'!A33</f>
        <v>Formación</v>
      </c>
      <c r="C262" s="288"/>
      <c r="D262" s="288"/>
      <c r="E262" s="288"/>
      <c r="F262" s="288"/>
      <c r="G262" s="289"/>
    </row>
    <row r="263" spans="2:7" ht="15" customHeight="1" thickBot="1">
      <c r="B263" s="290"/>
      <c r="C263" s="291"/>
      <c r="D263" s="291"/>
      <c r="E263" s="291"/>
      <c r="F263" s="291"/>
      <c r="G263" s="292"/>
    </row>
    <row r="264" spans="2:7">
      <c r="B264" s="295" t="s">
        <v>10</v>
      </c>
      <c r="C264" s="294"/>
      <c r="D264" s="293" t="s">
        <v>11</v>
      </c>
      <c r="E264" s="293"/>
      <c r="F264" s="293"/>
      <c r="G264" s="294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87" t="str">
        <f>'2018'!A34</f>
        <v>Regalos</v>
      </c>
      <c r="C282" s="288"/>
      <c r="D282" s="288"/>
      <c r="E282" s="288"/>
      <c r="F282" s="288"/>
      <c r="G282" s="289"/>
    </row>
    <row r="283" spans="2:7" ht="15" customHeight="1" thickBot="1">
      <c r="B283" s="290"/>
      <c r="C283" s="291"/>
      <c r="D283" s="291"/>
      <c r="E283" s="291"/>
      <c r="F283" s="291"/>
      <c r="G283" s="292"/>
    </row>
    <row r="284" spans="2:7">
      <c r="B284" s="295" t="s">
        <v>10</v>
      </c>
      <c r="C284" s="294"/>
      <c r="D284" s="293" t="s">
        <v>11</v>
      </c>
      <c r="E284" s="293"/>
      <c r="F284" s="293"/>
      <c r="G284" s="294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87" t="str">
        <f>'2018'!A35</f>
        <v>Salud</v>
      </c>
      <c r="C302" s="288"/>
      <c r="D302" s="288"/>
      <c r="E302" s="288"/>
      <c r="F302" s="288"/>
      <c r="G302" s="289"/>
    </row>
    <row r="303" spans="2:7" ht="15" customHeight="1" thickBot="1">
      <c r="B303" s="290"/>
      <c r="C303" s="291"/>
      <c r="D303" s="291"/>
      <c r="E303" s="291"/>
      <c r="F303" s="291"/>
      <c r="G303" s="292"/>
    </row>
    <row r="304" spans="2:7">
      <c r="B304" s="295" t="s">
        <v>10</v>
      </c>
      <c r="C304" s="294"/>
      <c r="D304" s="293" t="s">
        <v>11</v>
      </c>
      <c r="E304" s="293"/>
      <c r="F304" s="293"/>
      <c r="G304" s="294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87" t="str">
        <f>'2018'!A36</f>
        <v>Martina</v>
      </c>
      <c r="C322" s="288"/>
      <c r="D322" s="288"/>
      <c r="E322" s="288"/>
      <c r="F322" s="288"/>
      <c r="G322" s="289"/>
    </row>
    <row r="323" spans="2:7" ht="15" customHeight="1" thickBot="1">
      <c r="B323" s="290"/>
      <c r="C323" s="291"/>
      <c r="D323" s="291"/>
      <c r="E323" s="291"/>
      <c r="F323" s="291"/>
      <c r="G323" s="292"/>
    </row>
    <row r="324" spans="2:7">
      <c r="B324" s="295" t="s">
        <v>10</v>
      </c>
      <c r="C324" s="294"/>
      <c r="D324" s="293" t="s">
        <v>11</v>
      </c>
      <c r="E324" s="293"/>
      <c r="F324" s="293"/>
      <c r="G324" s="294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87" t="str">
        <f>'2018'!A37</f>
        <v>Impuestos</v>
      </c>
      <c r="C342" s="288"/>
      <c r="D342" s="288"/>
      <c r="E342" s="288"/>
      <c r="F342" s="288"/>
      <c r="G342" s="289"/>
    </row>
    <row r="343" spans="2:7" ht="15" customHeight="1" thickBot="1">
      <c r="B343" s="290"/>
      <c r="C343" s="291"/>
      <c r="D343" s="291"/>
      <c r="E343" s="291"/>
      <c r="F343" s="291"/>
      <c r="G343" s="292"/>
    </row>
    <row r="344" spans="2:7">
      <c r="B344" s="295" t="s">
        <v>10</v>
      </c>
      <c r="C344" s="294"/>
      <c r="D344" s="293" t="s">
        <v>11</v>
      </c>
      <c r="E344" s="293"/>
      <c r="F344" s="293"/>
      <c r="G344" s="294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87" t="str">
        <f>'2018'!A38</f>
        <v>Gastos Curros</v>
      </c>
      <c r="C362" s="288"/>
      <c r="D362" s="288"/>
      <c r="E362" s="288"/>
      <c r="F362" s="288"/>
      <c r="G362" s="289"/>
    </row>
    <row r="363" spans="2:7" ht="15" customHeight="1" thickBot="1">
      <c r="B363" s="290"/>
      <c r="C363" s="291"/>
      <c r="D363" s="291"/>
      <c r="E363" s="291"/>
      <c r="F363" s="291"/>
      <c r="G363" s="292"/>
    </row>
    <row r="364" spans="2:7">
      <c r="B364" s="295" t="s">
        <v>10</v>
      </c>
      <c r="C364" s="294"/>
      <c r="D364" s="293" t="s">
        <v>11</v>
      </c>
      <c r="E364" s="293"/>
      <c r="F364" s="293"/>
      <c r="G364" s="294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87" t="str">
        <f>'2018'!A39</f>
        <v>Dreamed Holidays</v>
      </c>
      <c r="C382" s="288"/>
      <c r="D382" s="288"/>
      <c r="E382" s="288"/>
      <c r="F382" s="288"/>
      <c r="G382" s="289"/>
    </row>
    <row r="383" spans="2:7" ht="15" customHeight="1" thickBot="1">
      <c r="B383" s="290"/>
      <c r="C383" s="291"/>
      <c r="D383" s="291"/>
      <c r="E383" s="291"/>
      <c r="F383" s="291"/>
      <c r="G383" s="292"/>
    </row>
    <row r="384" spans="2:7">
      <c r="B384" s="295" t="s">
        <v>10</v>
      </c>
      <c r="C384" s="294"/>
      <c r="D384" s="293" t="s">
        <v>11</v>
      </c>
      <c r="E384" s="293"/>
      <c r="F384" s="293"/>
      <c r="G384" s="294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87" t="str">
        <f>'2018'!A40</f>
        <v>Financieros</v>
      </c>
      <c r="C402" s="288"/>
      <c r="D402" s="288"/>
      <c r="E402" s="288"/>
      <c r="F402" s="288"/>
      <c r="G402" s="289"/>
    </row>
    <row r="403" spans="2:7" ht="15" customHeight="1" thickBot="1">
      <c r="B403" s="290"/>
      <c r="C403" s="291"/>
      <c r="D403" s="291"/>
      <c r="E403" s="291"/>
      <c r="F403" s="291"/>
      <c r="G403" s="292"/>
    </row>
    <row r="404" spans="2:7">
      <c r="B404" s="295" t="s">
        <v>10</v>
      </c>
      <c r="C404" s="294"/>
      <c r="D404" s="293" t="s">
        <v>11</v>
      </c>
      <c r="E404" s="293"/>
      <c r="F404" s="293"/>
      <c r="G404" s="294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87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295" t="s">
        <v>10</v>
      </c>
      <c r="C424" s="294"/>
      <c r="D424" s="293" t="s">
        <v>11</v>
      </c>
      <c r="E424" s="293"/>
      <c r="F424" s="293"/>
      <c r="G424" s="294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87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295" t="s">
        <v>10</v>
      </c>
      <c r="C444" s="294"/>
      <c r="D444" s="293" t="s">
        <v>11</v>
      </c>
      <c r="E444" s="293"/>
      <c r="F444" s="293"/>
      <c r="G444" s="294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87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295" t="s">
        <v>10</v>
      </c>
      <c r="C464" s="294"/>
      <c r="D464" s="293" t="s">
        <v>11</v>
      </c>
      <c r="E464" s="293"/>
      <c r="F464" s="293"/>
      <c r="G464" s="294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87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295" t="s">
        <v>10</v>
      </c>
      <c r="C484" s="294"/>
      <c r="D484" s="293" t="s">
        <v>11</v>
      </c>
      <c r="E484" s="293"/>
      <c r="F484" s="293"/>
      <c r="G484" s="294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87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295" t="s">
        <v>10</v>
      </c>
      <c r="C504" s="294"/>
      <c r="D504" s="293" t="s">
        <v>11</v>
      </c>
      <c r="E504" s="293"/>
      <c r="F504" s="293"/>
      <c r="G504" s="294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2018-10-09T15:36:10Z</dcterms:modified>
</cp:coreProperties>
</file>