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0" yWindow="105" windowWidth="14805" windowHeight="7785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1027"/>
</workbook>
</file>

<file path=xl/calcChain.xml><?xml version="1.0" encoding="utf-8"?>
<calcChain xmlns="http://schemas.openxmlformats.org/spreadsheetml/2006/main">
  <c r="F366" i="8" l="1"/>
  <c r="B426" i="8" l="1"/>
  <c r="AA9" i="1"/>
  <c r="AT54" i="1" l="1"/>
  <c r="AD59" i="1"/>
  <c r="D286" i="8" l="1"/>
  <c r="D47" i="8"/>
  <c r="D46" i="8"/>
  <c r="D49" i="7"/>
  <c r="AG46" i="1" l="1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L20" i="9"/>
  <c r="F20" i="9"/>
  <c r="E20" i="9"/>
  <c r="D20" i="9"/>
  <c r="K19" i="9"/>
  <c r="B12" i="9"/>
  <c r="B20" i="9" s="1"/>
  <c r="B2" i="9"/>
  <c r="Z60" i="1" l="1"/>
  <c r="D56" i="7" l="1"/>
  <c r="D246" i="7" l="1"/>
  <c r="D368" i="7"/>
  <c r="F366" i="7"/>
  <c r="D72" i="7" l="1"/>
  <c r="D288" i="7"/>
  <c r="Z72" i="1" l="1"/>
  <c r="Z71" i="1"/>
  <c r="Z70" i="1"/>
  <c r="D70" i="7"/>
  <c r="F287" i="7"/>
  <c r="W12" i="1"/>
  <c r="D55" i="7" l="1"/>
  <c r="W14" i="1"/>
  <c r="F69" i="7" l="1"/>
  <c r="D47" i="7" l="1"/>
  <c r="D52" i="7" l="1"/>
  <c r="B12" i="8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O10" i="1" l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B502" i="13" l="1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07" i="13"/>
  <c r="B320" i="13" s="1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27" i="13"/>
  <c r="B140" i="13" s="1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L20" i="13"/>
  <c r="F20" i="13"/>
  <c r="E20" i="13"/>
  <c r="D20" i="13"/>
  <c r="K19" i="13"/>
  <c r="AU5" i="1" s="1"/>
  <c r="B11" i="13"/>
  <c r="B20" i="13" s="1"/>
  <c r="K10" i="13"/>
  <c r="B2" i="13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07" i="12"/>
  <c r="B320" i="12" s="1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27" i="12"/>
  <c r="B140" i="12" s="1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L20" i="12"/>
  <c r="F20" i="12"/>
  <c r="E20" i="12"/>
  <c r="D20" i="12"/>
  <c r="B11" i="12"/>
  <c r="B20" i="12" s="1"/>
  <c r="K10" i="12"/>
  <c r="K19" i="12" s="1"/>
  <c r="AQ5" i="1" s="1"/>
  <c r="B2" i="12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07" i="11"/>
  <c r="B320" i="11" s="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27" i="11"/>
  <c r="B140" i="11" s="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L20" i="11"/>
  <c r="F20" i="11"/>
  <c r="E20" i="11"/>
  <c r="D20" i="11"/>
  <c r="K19" i="11"/>
  <c r="AM5" i="1" s="1"/>
  <c r="B11" i="11"/>
  <c r="B20" i="11" s="1"/>
  <c r="K10" i="11"/>
  <c r="B2" i="11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07" i="10"/>
  <c r="B320" i="10" s="1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27" i="10"/>
  <c r="B140" i="10" s="1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L20" i="10"/>
  <c r="F20" i="10"/>
  <c r="E20" i="10"/>
  <c r="D20" i="10"/>
  <c r="K19" i="10"/>
  <c r="AI5" i="1" s="1"/>
  <c r="B11" i="10"/>
  <c r="B20" i="10" s="1"/>
  <c r="K10" i="10"/>
  <c r="B2" i="10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4" i="16"/>
  <c r="F4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K19" i="15" s="1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L16" i="15" s="1"/>
  <c r="C16" i="15"/>
  <c r="B16" i="15"/>
  <c r="K15" i="15"/>
  <c r="I15" i="15"/>
  <c r="H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D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K20" i="15" l="1"/>
  <c r="L20" i="15" s="1"/>
  <c r="F4" i="15"/>
  <c r="F14" i="16"/>
  <c r="K21" i="15"/>
  <c r="L21" i="15" s="1"/>
  <c r="L15" i="15"/>
  <c r="K18" i="15"/>
  <c r="L19" i="15" s="1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G15" i="16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18" i="15" l="1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V41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V46" i="1"/>
  <c r="AV47" i="1" s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R41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N41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AE17" i="1"/>
  <c r="AI17" i="1"/>
  <c r="AM17" i="1"/>
  <c r="AQ17" i="1"/>
  <c r="O17" i="1"/>
  <c r="K17" i="1"/>
  <c r="G17" i="1"/>
  <c r="C17" i="1"/>
  <c r="B440" i="8" l="1"/>
  <c r="B426" i="9"/>
  <c r="B440" i="9" s="1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l="1"/>
  <c r="AK47" i="1" s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7" i="1" l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AZ17" i="1" l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<sst xmlns="http://schemas.openxmlformats.org/spreadsheetml/2006/main" count="5201" uniqueCount="470">
  <si>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</si>
  <si>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</si>
  <si>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</si>
  <si>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</si>
  <si>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</si>
  <si>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</si>
  <si>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</si>
  <si>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</si>
  <si>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</si>
  <si>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</si>
  <si>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</si>
  <si>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</si>
  <si>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</si>
  <si>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</si>
  <si>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</si>
  <si>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</si>
  <si>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</si>
  <si>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</si>
  <si>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</si>
  <si>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</si>
  <si>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</si>
  <si>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</si>
  <si>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</si>
  <si>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</si>
  <si>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</si>
  <si>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</si>
  <si>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</si>
  <si>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</si>
  <si>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</si>
  <si>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</si>
  <si>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</si>
  <si>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</si>
  <si>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</si>
  <si>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</si>
  <si>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</si>
  <si>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</si>
  <si>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</si>
  <si>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</si>
  <si>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</si>
  <si>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</si>
  <si>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</si>
  <si>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</si>
  <si>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</si>
  <si>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</si>
  <si>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</si>
  <si>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</si>
  <si>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</si>
  <si>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</si>
  <si>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</si>
  <si>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</si>
  <si>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</si>
  <si>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</si>
  <si>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</si>
  <si>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</si>
  <si>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</si>
  <si>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</si>
  <si>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</si>
  <si>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</si>
  <si>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</si>
  <si>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</si>
  <si>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</si>
  <si>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</si>
  <si>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Cártama</t>
  </si>
  <si>
    <t>Waterloo</t>
  </si>
  <si>
    <t>Coche</t>
  </si>
  <si>
    <t>Teléfono</t>
  </si>
  <si>
    <t>Financieros</t>
  </si>
  <si>
    <t>Mutualite/DKV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</si>
  <si>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</si>
  <si>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</si>
  <si>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</si>
  <si>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</si>
  <si>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</si>
  <si>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</si>
  <si>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</si>
  <si>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</si>
  <si>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</si>
  <si>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</si>
  <si>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</si>
  <si>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</si>
  <si>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</si>
  <si>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</si>
  <si>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</si>
  <si>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</si>
  <si>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</si>
  <si>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</si>
  <si>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</si>
  <si>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</si>
  <si>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</si>
  <si>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</si>
  <si>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</si>
  <si>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</si>
  <si>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</si>
  <si>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DKV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</si>
  <si>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</si>
  <si>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</si>
  <si>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</si>
  <si>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</si>
  <si>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</si>
  <si>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</si>
  <si>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</si>
  <si>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</si>
  <si>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</si>
  <si>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</si>
  <si>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</si>
  <si>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</si>
  <si>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</si>
  <si>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</si>
  <si>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</si>
  <si>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</si>
  <si>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</si>
  <si>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</si>
  <si>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</si>
  <si>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</si>
  <si>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</si>
  <si>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</si>
  <si>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</si>
  <si>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</si>
  <si>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</si>
  <si>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</si>
  <si>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IslaTrans(42.35)</t>
  </si>
  <si>
    <t>Meses:</t>
  </si>
  <si>
    <t>DICIEMBRE</t>
  </si>
  <si>
    <t>Fija al més (30€)</t>
  </si>
  <si>
    <t>Pescaderia Anderlecht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</si>
  <si>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</si>
  <si>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</si>
  <si>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</si>
  <si>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</si>
  <si>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</si>
  <si>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</si>
  <si>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</si>
  <si>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</si>
  <si>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</si>
  <si>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</si>
  <si>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</si>
  <si>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</si>
  <si>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</si>
  <si>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</si>
  <si>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</si>
  <si>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</si>
  <si>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</si>
  <si>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</si>
  <si>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</si>
  <si>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</si>
  <si>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</si>
  <si>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</si>
  <si>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</si>
  <si>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</si>
  <si>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</si>
  <si>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</si>
  <si>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</si>
  <si>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</si>
  <si>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</si>
  <si>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</si>
  <si>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</si>
  <si>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</si>
  <si>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</si>
  <si>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</si>
  <si>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</si>
  <si>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</si>
  <si>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</si>
  <si>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</si>
  <si>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</si>
  <si>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</si>
  <si>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</si>
  <si>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</si>
  <si>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</si>
  <si>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</si>
  <si>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</si>
  <si>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</si>
  <si>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</si>
  <si>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</si>
  <si>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</si>
  <si>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</si>
  <si>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</si>
  <si>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</si>
  <si>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</si>
  <si>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</si>
  <si>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</si>
  <si>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</si>
  <si>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</si>
  <si>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</si>
  <si>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</si>
  <si>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</si>
  <si>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</si>
  <si>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</si>
  <si>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</si>
  <si>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</si>
  <si>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</si>
  <si>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</si>
  <si>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</si>
  <si>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</si>
  <si>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</si>
  <si>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</si>
  <si>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</si>
  <si>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</si>
  <si>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</si>
  <si>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</si>
  <si>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</si>
  <si>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</si>
  <si>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</si>
  <si>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</si>
  <si>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</si>
  <si>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</si>
  <si>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</si>
  <si>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</si>
  <si>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*</t>
  </si>
  <si>
    <t>Vacaciones 17-tarde,18,19,22</t>
  </si>
  <si>
    <t>Horas Vacaciones= 26</t>
  </si>
  <si>
    <t>Restantes = 126</t>
  </si>
  <si>
    <t xml:space="preserve">Prevision de gasto Total Annual = </t>
  </si>
  <si>
    <t>Prevision de ingresos Total Annual =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</si>
  <si>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</si>
  <si>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</si>
  <si>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</si>
  <si>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</si>
  <si>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</si>
  <si>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</si>
  <si>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</si>
  <si>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</si>
  <si>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</si>
  <si>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</si>
  <si>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</si>
  <si>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</si>
  <si>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</si>
  <si>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</si>
  <si>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</si>
  <si>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</si>
  <si>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</si>
  <si>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</si>
  <si>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</si>
  <si>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</si>
  <si>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</si>
  <si>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</si>
  <si>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</si>
  <si>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</si>
  <si>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</si>
  <si>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</si>
  <si>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</si>
  <si>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</si>
  <si>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</si>
  <si>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</si>
  <si>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</si>
  <si>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</si>
  <si>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</si>
  <si>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</si>
  <si>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</si>
  <si>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</si>
  <si>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</si>
  <si>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</si>
  <si>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</si>
  <si>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</si>
  <si>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</si>
  <si>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</si>
  <si>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</si>
  <si>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</si>
  <si>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</si>
  <si>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</si>
  <si>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</si>
  <si>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</si>
  <si>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</si>
  <si>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</si>
  <si>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</si>
  <si>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</si>
  <si>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</si>
  <si>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</si>
  <si>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</si>
  <si>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</si>
  <si>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</si>
  <si>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</si>
  <si>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</si>
  <si>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</si>
  <si>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</si>
  <si>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</si>
  <si>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</si>
  <si>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</si>
  <si>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</si>
  <si>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</si>
  <si>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</si>
  <si>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</si>
  <si>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</si>
  <si>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</si>
  <si>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</si>
  <si>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</si>
  <si>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</si>
  <si>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</si>
  <si>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</si>
  <si>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</si>
  <si>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</si>
  <si>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</si>
  <si>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</si>
  <si>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</si>
  <si>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</si>
  <si>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</si>
  <si>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</si>
  <si>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</si>
  <si>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</si>
  <si>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</si>
  <si>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</si>
  <si>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</si>
  <si>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</si>
  <si>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</si>
  <si>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</si>
  <si>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</si>
  <si>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</si>
  <si>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</si>
  <si>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</si>
  <si>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</si>
  <si>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</si>
  <si>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</si>
  <si>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</si>
  <si>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</si>
  <si>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</si>
  <si>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</si>
  <si>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</si>
  <si>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</si>
  <si>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</si>
  <si>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</si>
  <si>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</si>
  <si>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</si>
  <si>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</si>
  <si>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</si>
  <si>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</si>
  <si>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</si>
  <si>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</si>
  <si>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</si>
  <si>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</si>
  <si>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</si>
  <si>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</si>
  <si>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</si>
  <si>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</si>
  <si>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</si>
  <si>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</si>
  <si>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</si>
  <si>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</si>
  <si>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</si>
  <si>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</si>
  <si>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</si>
  <si>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</si>
  <si>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</si>
  <si>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</si>
  <si>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</si>
  <si>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</si>
  <si>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</si>
  <si>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</si>
  <si>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</si>
  <si>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</si>
  <si>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</si>
  <si>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</si>
  <si>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</si>
  <si>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</si>
  <si>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</si>
  <si>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</si>
  <si>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</si>
  <si>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</si>
  <si>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</si>
  <si>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</si>
  <si>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</si>
  <si>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</si>
  <si>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</si>
  <si>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</si>
  <si>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</si>
  <si>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</si>
  <si>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</si>
  <si>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</si>
  <si>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</si>
  <si>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</si>
  <si>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</si>
  <si>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</si>
  <si>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</si>
  <si>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</si>
  <si>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</si>
  <si>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</si>
  <si>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</si>
  <si>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</si>
  <si>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</si>
  <si>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</si>
  <si>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</si>
  <si>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</si>
  <si>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</si>
  <si>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</si>
  <si>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</si>
  <si>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</si>
  <si>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</si>
  <si>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</si>
  <si>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</si>
  <si>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</si>
  <si>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</si>
  <si>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</si>
  <si>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</si>
  <si>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</si>
  <si>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</si>
  <si>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</si>
  <si>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</si>
  <si>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</si>
  <si>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</si>
  <si>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</si>
  <si>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</si>
  <si>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</si>
  <si>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</si>
  <si>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</si>
  <si>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</si>
  <si>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Deficit Junio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</si>
  <si>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</si>
  <si>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</si>
  <si>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</si>
  <si>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</si>
  <si>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</si>
  <si>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</si>
  <si>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</si>
  <si>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</si>
  <si>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</si>
  <si>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</si>
  <si>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</si>
  <si>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</si>
  <si>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</si>
  <si>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</si>
  <si>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</si>
  <si>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</si>
  <si>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</si>
  <si>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</si>
  <si>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</si>
  <si>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</si>
  <si>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</si>
  <si>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</si>
  <si>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</si>
  <si>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</si>
  <si>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</si>
  <si>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</si>
  <si>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</si>
  <si>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</si>
  <si>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</si>
  <si>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</si>
  <si>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</si>
  <si>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</si>
  <si>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</si>
  <si>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</si>
  <si>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</si>
  <si>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</si>
  <si>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</si>
  <si>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</si>
  <si>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</si>
  <si>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</si>
  <si>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</si>
  <si>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</si>
  <si>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</si>
  <si>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</si>
  <si>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</si>
  <si>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</si>
  <si>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</si>
  <si>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</si>
  <si>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</si>
  <si>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</si>
  <si>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</si>
  <si>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</si>
  <si>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</si>
  <si>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</si>
  <si>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</si>
  <si>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</si>
  <si>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</si>
  <si>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</si>
  <si>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</si>
  <si>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Aldi 2</t>
  </si>
  <si>
    <t>Delhaize 2</t>
  </si>
  <si>
    <t>Fianza Cartama</t>
  </si>
  <si>
    <t xml:space="preserve">Fianza Cartama </t>
  </si>
  <si>
    <t>Mango 1</t>
  </si>
  <si>
    <t>Springfield 1</t>
  </si>
  <si>
    <t>Woman Secret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</si>
</sst>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167" fontId="2" fillId="0" borderId="44" xfId="0" applyNumberFormat="1" applyFont="1" applyBorder="1" applyAlignment="1">
      <alignment vertical="center"/>
    </xf>
    <xf numFmtId="49" fontId="12" fillId="0" borderId="14" xfId="0" applyNumberFormat="1" applyFont="1" applyBorder="1"/>
    <xf numFmtId="49" fontId="13" fillId="0" borderId="14" xfId="0" applyNumberFormat="1" applyFont="1" applyBorder="1"/>
    <xf numFmtId="167" fontId="2" fillId="0" borderId="3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60" xfId="0" applyNumberFormat="1" applyFont="1" applyBorder="1" applyAlignment="1">
      <alignment vertical="center"/>
    </xf>
    <xf numFmtId="0" fontId="2" fillId="0" borderId="61" xfId="0" applyNumberFormat="1" applyFont="1" applyBorder="1" applyAlignment="1">
      <alignment vertical="center"/>
    </xf>
    <xf numFmtId="0" fontId="2" fillId="0" borderId="62" xfId="0" applyNumberFormat="1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5"/>
  <sheetViews>
    <sheetView tabSelected="1" topLeftCell="A25" zoomScaleNormal="100" workbookViewId="0">
      <pane xSplit="1" topLeftCell="U1" activePane="topRight" state="frozen"/>
      <selection pane="topRight" activeCell="AA38" sqref="AA38:AD38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28515625" bestFit="1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9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7"/>
      <c r="W2" s="1"/>
      <c r="X2" s="1"/>
      <c r="Y2" s="1"/>
      <c r="Z2" s="120"/>
      <c r="AA2" s="1"/>
      <c r="AB2" s="1"/>
      <c r="AC2" s="119"/>
      <c r="AD2" s="97"/>
      <c r="AE2" s="1"/>
      <c r="AF2" s="1"/>
      <c r="AG2" s="1"/>
      <c r="AH2" s="97"/>
      <c r="AI2" s="1"/>
      <c r="AJ2" s="1"/>
      <c r="AK2" s="1"/>
      <c r="AL2" s="97"/>
      <c r="AM2" s="1"/>
      <c r="AN2" s="1"/>
      <c r="AO2" s="1"/>
      <c r="AP2" s="97"/>
      <c r="AQ2" s="1"/>
      <c r="AR2" s="1"/>
      <c r="AS2" s="1"/>
      <c r="AT2" s="97"/>
      <c r="AU2" s="1"/>
      <c r="AV2" s="1"/>
      <c r="AW2" s="1"/>
      <c r="AX2" s="97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3" t="s">
        <v>4</v>
      </c>
      <c r="B4" s="77">
        <v>2017</v>
      </c>
      <c r="C4" s="217" t="s">
        <v>0</v>
      </c>
      <c r="D4" s="218"/>
      <c r="E4" s="218"/>
      <c r="F4" s="219"/>
      <c r="G4" s="217" t="s">
        <v>1</v>
      </c>
      <c r="H4" s="218"/>
      <c r="I4" s="218"/>
      <c r="J4" s="219"/>
      <c r="K4" s="217" t="s">
        <v>2</v>
      </c>
      <c r="L4" s="218"/>
      <c r="M4" s="218"/>
      <c r="N4" s="219"/>
      <c r="O4" s="217" t="s">
        <v>3</v>
      </c>
      <c r="P4" s="218"/>
      <c r="Q4" s="218"/>
      <c r="R4" s="219"/>
      <c r="S4" s="217" t="s">
        <v>102</v>
      </c>
      <c r="T4" s="218"/>
      <c r="U4" s="218"/>
      <c r="V4" s="219"/>
      <c r="W4" s="217" t="s">
        <v>98</v>
      </c>
      <c r="X4" s="218"/>
      <c r="Y4" s="218"/>
      <c r="Z4" s="219"/>
      <c r="AA4" s="217" t="s">
        <v>106</v>
      </c>
      <c r="AB4" s="218"/>
      <c r="AC4" s="218"/>
      <c r="AD4" s="219"/>
      <c r="AE4" s="217" t="s">
        <v>107</v>
      </c>
      <c r="AF4" s="218"/>
      <c r="AG4" s="218"/>
      <c r="AH4" s="219"/>
      <c r="AI4" s="217" t="s">
        <v>110</v>
      </c>
      <c r="AJ4" s="218"/>
      <c r="AK4" s="218"/>
      <c r="AL4" s="219"/>
      <c r="AM4" s="217" t="s">
        <v>112</v>
      </c>
      <c r="AN4" s="218"/>
      <c r="AO4" s="218"/>
      <c r="AP4" s="219"/>
      <c r="AQ4" s="217" t="s">
        <v>116</v>
      </c>
      <c r="AR4" s="218"/>
      <c r="AS4" s="218"/>
      <c r="AT4" s="219"/>
      <c r="AU4" s="217" t="s">
        <v>122</v>
      </c>
      <c r="AV4" s="218"/>
      <c r="AW4" s="218"/>
      <c r="AX4" s="219"/>
      <c r="AY4" s="1"/>
      <c r="AZ4" s="1"/>
      <c r="BA4" s="1"/>
      <c r="BB4" s="1"/>
    </row>
    <row r="5" spans="1:54" ht="16.5" thickBot="1">
      <c r="A5" s="6" t="s">
        <v>5</v>
      </c>
      <c r="B5" s="78"/>
      <c r="C5" s="220">
        <f>'01'!K19</f>
        <v>17336.68</v>
      </c>
      <c r="D5" s="221"/>
      <c r="E5" s="221"/>
      <c r="F5" s="222"/>
      <c r="G5" s="220">
        <f>'02'!K19</f>
        <v>20217</v>
      </c>
      <c r="H5" s="221"/>
      <c r="I5" s="221"/>
      <c r="J5" s="222"/>
      <c r="K5" s="229">
        <f>'03'!K19</f>
        <v>21214.57</v>
      </c>
      <c r="L5" s="221"/>
      <c r="M5" s="221"/>
      <c r="N5" s="222"/>
      <c r="O5" s="229">
        <f>'04'!K19</f>
        <v>20719.909999999996</v>
      </c>
      <c r="P5" s="221"/>
      <c r="Q5" s="221"/>
      <c r="R5" s="222"/>
      <c r="S5" s="229">
        <f>'05'!K19</f>
        <v>22905.86</v>
      </c>
      <c r="T5" s="221"/>
      <c r="U5" s="221"/>
      <c r="V5" s="222"/>
      <c r="W5" s="229">
        <f>'06'!K19</f>
        <v>23622.14</v>
      </c>
      <c r="X5" s="221"/>
      <c r="Y5" s="221"/>
      <c r="Z5" s="222"/>
      <c r="AA5" s="229">
        <f>'07'!K19</f>
        <v>24911.559999999998</v>
      </c>
      <c r="AB5" s="221"/>
      <c r="AC5" s="221"/>
      <c r="AD5" s="222"/>
      <c r="AE5" s="229">
        <f>'08'!K19</f>
        <v>13713.429999999998</v>
      </c>
      <c r="AF5" s="221"/>
      <c r="AG5" s="221"/>
      <c r="AH5" s="222"/>
      <c r="AI5" s="229">
        <f>'09'!K19</f>
        <v>8480.98</v>
      </c>
      <c r="AJ5" s="221"/>
      <c r="AK5" s="221"/>
      <c r="AL5" s="222"/>
      <c r="AM5" s="229">
        <f>'10'!K19</f>
        <v>8480.98</v>
      </c>
      <c r="AN5" s="221"/>
      <c r="AO5" s="221"/>
      <c r="AP5" s="222"/>
      <c r="AQ5" s="229">
        <f>'11'!K19</f>
        <v>8480.98</v>
      </c>
      <c r="AR5" s="221"/>
      <c r="AS5" s="221"/>
      <c r="AT5" s="222"/>
      <c r="AU5" s="229">
        <f>'12'!K19</f>
        <v>8480.98</v>
      </c>
      <c r="AV5" s="221"/>
      <c r="AW5" s="221"/>
      <c r="AX5" s="222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68</v>
      </c>
      <c r="C7" s="223" t="s">
        <v>7</v>
      </c>
      <c r="D7" s="224"/>
      <c r="E7" s="224"/>
      <c r="F7" s="225"/>
      <c r="G7" s="223" t="s">
        <v>7</v>
      </c>
      <c r="H7" s="224"/>
      <c r="I7" s="224"/>
      <c r="J7" s="225"/>
      <c r="K7" s="223" t="s">
        <v>7</v>
      </c>
      <c r="L7" s="224"/>
      <c r="M7" s="224"/>
      <c r="N7" s="225"/>
      <c r="O7" s="223" t="s">
        <v>7</v>
      </c>
      <c r="P7" s="224"/>
      <c r="Q7" s="224"/>
      <c r="R7" s="225"/>
      <c r="S7" s="223" t="s">
        <v>7</v>
      </c>
      <c r="T7" s="224"/>
      <c r="U7" s="224"/>
      <c r="V7" s="225"/>
      <c r="W7" s="223" t="s">
        <v>7</v>
      </c>
      <c r="X7" s="224"/>
      <c r="Y7" s="224"/>
      <c r="Z7" s="225"/>
      <c r="AA7" s="223" t="s">
        <v>7</v>
      </c>
      <c r="AB7" s="224"/>
      <c r="AC7" s="224"/>
      <c r="AD7" s="225"/>
      <c r="AE7" s="223" t="s">
        <v>7</v>
      </c>
      <c r="AF7" s="224"/>
      <c r="AG7" s="224"/>
      <c r="AH7" s="225"/>
      <c r="AI7" s="223" t="s">
        <v>7</v>
      </c>
      <c r="AJ7" s="224"/>
      <c r="AK7" s="224"/>
      <c r="AL7" s="225"/>
      <c r="AM7" s="223" t="s">
        <v>7</v>
      </c>
      <c r="AN7" s="224"/>
      <c r="AO7" s="224"/>
      <c r="AP7" s="225"/>
      <c r="AQ7" s="223" t="s">
        <v>7</v>
      </c>
      <c r="AR7" s="224"/>
      <c r="AS7" s="224"/>
      <c r="AT7" s="225"/>
      <c r="AU7" s="223" t="s">
        <v>7</v>
      </c>
      <c r="AV7" s="224"/>
      <c r="AW7" s="224"/>
      <c r="AX7" s="225"/>
      <c r="AY7" s="10" t="s">
        <v>8</v>
      </c>
      <c r="AZ7" s="1"/>
      <c r="BA7" s="1"/>
      <c r="BB7" s="1"/>
    </row>
    <row r="8" spans="1:54" ht="15.75">
      <c r="A8" s="11" t="s">
        <v>129</v>
      </c>
      <c r="B8" s="53">
        <v>28683.489999999998</v>
      </c>
      <c r="C8" s="226">
        <v>2317.46</v>
      </c>
      <c r="D8" s="227"/>
      <c r="E8" s="227"/>
      <c r="F8" s="228"/>
      <c r="G8" s="226">
        <f>2317.46+1638.24</f>
        <v>3955.7</v>
      </c>
      <c r="H8" s="227"/>
      <c r="I8" s="227"/>
      <c r="J8" s="228"/>
      <c r="K8" s="226">
        <v>2320.84</v>
      </c>
      <c r="L8" s="227"/>
      <c r="M8" s="227"/>
      <c r="N8" s="228"/>
      <c r="O8" s="226">
        <v>2325.9</v>
      </c>
      <c r="P8" s="227"/>
      <c r="Q8" s="227"/>
      <c r="R8" s="228"/>
      <c r="S8" s="226">
        <v>2321.1799999999998</v>
      </c>
      <c r="T8" s="227"/>
      <c r="U8" s="227"/>
      <c r="V8" s="228"/>
      <c r="W8" s="226">
        <v>3973.79</v>
      </c>
      <c r="X8" s="227"/>
      <c r="Y8" s="227"/>
      <c r="Z8" s="228"/>
      <c r="AA8" s="226"/>
      <c r="AB8" s="227"/>
      <c r="AC8" s="227"/>
      <c r="AD8" s="228"/>
      <c r="AE8" s="226"/>
      <c r="AF8" s="227"/>
      <c r="AG8" s="227"/>
      <c r="AH8" s="228"/>
      <c r="AI8" s="226"/>
      <c r="AJ8" s="227"/>
      <c r="AK8" s="227"/>
      <c r="AL8" s="228"/>
      <c r="AM8" s="226"/>
      <c r="AN8" s="227"/>
      <c r="AO8" s="227"/>
      <c r="AP8" s="228"/>
      <c r="AQ8" s="226"/>
      <c r="AR8" s="227"/>
      <c r="AS8" s="227"/>
      <c r="AT8" s="228"/>
      <c r="AU8" s="226"/>
      <c r="AV8" s="227"/>
      <c r="AW8" s="227"/>
      <c r="AX8" s="228"/>
      <c r="AY8" s="12">
        <f>SUM(C8:AU8)</f>
        <v>17214.87</v>
      </c>
      <c r="AZ8" s="1"/>
      <c r="BA8" s="1"/>
      <c r="BB8" s="1"/>
    </row>
    <row r="9" spans="1:54" ht="15.75">
      <c r="A9" s="13" t="s">
        <v>130</v>
      </c>
      <c r="B9" s="54">
        <v>4981.99</v>
      </c>
      <c r="C9" s="214">
        <f>72.66+314.12</f>
        <v>386.78</v>
      </c>
      <c r="D9" s="215"/>
      <c r="E9" s="215"/>
      <c r="F9" s="216"/>
      <c r="G9" s="214">
        <f>176.46</f>
        <v>176.46</v>
      </c>
      <c r="H9" s="215"/>
      <c r="I9" s="215"/>
      <c r="J9" s="216"/>
      <c r="K9" s="214">
        <f>259.63+176.46</f>
        <v>436.09000000000003</v>
      </c>
      <c r="L9" s="215"/>
      <c r="M9" s="215"/>
      <c r="N9" s="216"/>
      <c r="O9" s="214">
        <f>249.22+197.22+325.64</f>
        <v>772.07999999999993</v>
      </c>
      <c r="P9" s="215"/>
      <c r="Q9" s="215"/>
      <c r="R9" s="216"/>
      <c r="S9" s="214">
        <f>155.7+267.29</f>
        <v>422.99</v>
      </c>
      <c r="T9" s="215"/>
      <c r="U9" s="215"/>
      <c r="V9" s="216"/>
      <c r="W9" s="214">
        <f>197.22</f>
        <v>197.22</v>
      </c>
      <c r="X9" s="215"/>
      <c r="Y9" s="215"/>
      <c r="Z9" s="216"/>
      <c r="AA9" s="214">
        <f>786.42</f>
        <v>786.42</v>
      </c>
      <c r="AB9" s="215"/>
      <c r="AC9" s="215"/>
      <c r="AD9" s="216"/>
      <c r="AE9" s="214"/>
      <c r="AF9" s="215"/>
      <c r="AG9" s="215"/>
      <c r="AH9" s="216"/>
      <c r="AI9" s="214"/>
      <c r="AJ9" s="215"/>
      <c r="AK9" s="215"/>
      <c r="AL9" s="216"/>
      <c r="AM9" s="214"/>
      <c r="AN9" s="215"/>
      <c r="AO9" s="215"/>
      <c r="AP9" s="216"/>
      <c r="AQ9" s="214"/>
      <c r="AR9" s="215"/>
      <c r="AS9" s="215"/>
      <c r="AT9" s="216"/>
      <c r="AU9" s="214"/>
      <c r="AV9" s="215"/>
      <c r="AW9" s="215"/>
      <c r="AX9" s="216"/>
      <c r="AY9" s="14">
        <f t="shared" ref="AY9:AY15" si="0">SUM(C9:AX9)</f>
        <v>3178.0399999999995</v>
      </c>
      <c r="AZ9" s="1"/>
      <c r="BA9" s="1"/>
      <c r="BB9" s="1"/>
    </row>
    <row r="10" spans="1:54" ht="15.75">
      <c r="A10" s="15" t="s">
        <v>131</v>
      </c>
      <c r="B10" s="55">
        <v>723.38</v>
      </c>
      <c r="C10" s="211">
        <v>90.43</v>
      </c>
      <c r="D10" s="212"/>
      <c r="E10" s="212"/>
      <c r="F10" s="213"/>
      <c r="G10" s="211">
        <f>1117.39-956.06</f>
        <v>161.33000000000015</v>
      </c>
      <c r="H10" s="212"/>
      <c r="I10" s="212"/>
      <c r="J10" s="213"/>
      <c r="K10" s="211">
        <v>285.58</v>
      </c>
      <c r="L10" s="212"/>
      <c r="M10" s="212"/>
      <c r="N10" s="213"/>
      <c r="O10" s="211">
        <f>275.29+42.8</f>
        <v>318.09000000000003</v>
      </c>
      <c r="P10" s="212"/>
      <c r="Q10" s="212"/>
      <c r="R10" s="213"/>
      <c r="S10" s="211">
        <f>421.56</f>
        <v>421.56</v>
      </c>
      <c r="T10" s="212"/>
      <c r="U10" s="212"/>
      <c r="V10" s="213"/>
      <c r="W10" s="211">
        <v>341.74</v>
      </c>
      <c r="X10" s="212"/>
      <c r="Y10" s="212"/>
      <c r="Z10" s="213"/>
      <c r="AA10" s="211"/>
      <c r="AB10" s="212"/>
      <c r="AC10" s="212"/>
      <c r="AD10" s="213"/>
      <c r="AE10" s="211"/>
      <c r="AF10" s="212"/>
      <c r="AG10" s="212"/>
      <c r="AH10" s="213"/>
      <c r="AI10" s="211"/>
      <c r="AJ10" s="212"/>
      <c r="AK10" s="212"/>
      <c r="AL10" s="213"/>
      <c r="AM10" s="211"/>
      <c r="AN10" s="212"/>
      <c r="AO10" s="212"/>
      <c r="AP10" s="213"/>
      <c r="AQ10" s="211"/>
      <c r="AR10" s="212"/>
      <c r="AS10" s="212"/>
      <c r="AT10" s="213"/>
      <c r="AU10" s="211"/>
      <c r="AV10" s="212"/>
      <c r="AW10" s="212"/>
      <c r="AX10" s="213"/>
      <c r="AY10" s="16">
        <f t="shared" si="0"/>
        <v>1618.7300000000002</v>
      </c>
      <c r="AZ10" s="1"/>
      <c r="BA10" s="1"/>
      <c r="BB10" s="1"/>
    </row>
    <row r="11" spans="1:54" ht="15.75">
      <c r="A11" s="13" t="s">
        <v>132</v>
      </c>
      <c r="B11" s="54">
        <v>180.64</v>
      </c>
      <c r="C11" s="214">
        <f>1.01+0.04+2831.41+0.05</f>
        <v>2832.51</v>
      </c>
      <c r="D11" s="215"/>
      <c r="E11" s="215"/>
      <c r="F11" s="216"/>
      <c r="G11" s="214"/>
      <c r="H11" s="215"/>
      <c r="I11" s="215"/>
      <c r="J11" s="216"/>
      <c r="K11" s="214"/>
      <c r="L11" s="215"/>
      <c r="M11" s="215"/>
      <c r="N11" s="216"/>
      <c r="O11" s="214">
        <v>0.03</v>
      </c>
      <c r="P11" s="215"/>
      <c r="Q11" s="215"/>
      <c r="R11" s="216"/>
      <c r="S11" s="214">
        <f>38.64</f>
        <v>38.64</v>
      </c>
      <c r="T11" s="215"/>
      <c r="U11" s="215"/>
      <c r="V11" s="216"/>
      <c r="W11" s="214"/>
      <c r="X11" s="215"/>
      <c r="Y11" s="215"/>
      <c r="Z11" s="216"/>
      <c r="AA11" s="214"/>
      <c r="AB11" s="215"/>
      <c r="AC11" s="215"/>
      <c r="AD11" s="216"/>
      <c r="AE11" s="214"/>
      <c r="AF11" s="215"/>
      <c r="AG11" s="215"/>
      <c r="AH11" s="216"/>
      <c r="AI11" s="214"/>
      <c r="AJ11" s="215"/>
      <c r="AK11" s="215"/>
      <c r="AL11" s="216"/>
      <c r="AM11" s="214"/>
      <c r="AN11" s="215"/>
      <c r="AO11" s="215"/>
      <c r="AP11" s="216"/>
      <c r="AQ11" s="214"/>
      <c r="AR11" s="215"/>
      <c r="AS11" s="215"/>
      <c r="AT11" s="216"/>
      <c r="AU11" s="214"/>
      <c r="AV11" s="215"/>
      <c r="AW11" s="215"/>
      <c r="AX11" s="216"/>
      <c r="AY11" s="14">
        <f t="shared" si="0"/>
        <v>2871.1800000000003</v>
      </c>
      <c r="AZ11" s="1"/>
      <c r="BA11" s="1"/>
      <c r="BB11" s="1"/>
    </row>
    <row r="12" spans="1:54" ht="15.75">
      <c r="A12" s="15" t="s">
        <v>133</v>
      </c>
      <c r="B12" s="55">
        <v>626.6</v>
      </c>
      <c r="C12" s="211">
        <f>700+50+449</f>
        <v>1199</v>
      </c>
      <c r="D12" s="212"/>
      <c r="E12" s="212"/>
      <c r="F12" s="213"/>
      <c r="G12" s="211">
        <v>447.43</v>
      </c>
      <c r="H12" s="212"/>
      <c r="I12" s="212"/>
      <c r="J12" s="213"/>
      <c r="K12" s="211"/>
      <c r="L12" s="212"/>
      <c r="M12" s="212"/>
      <c r="N12" s="213"/>
      <c r="O12" s="211">
        <f>80.1</f>
        <v>80.099999999999994</v>
      </c>
      <c r="P12" s="212"/>
      <c r="Q12" s="212"/>
      <c r="R12" s="213"/>
      <c r="S12" s="211"/>
      <c r="T12" s="212"/>
      <c r="U12" s="212"/>
      <c r="V12" s="213"/>
      <c r="W12" s="211">
        <f>200</f>
        <v>200</v>
      </c>
      <c r="X12" s="212"/>
      <c r="Y12" s="212"/>
      <c r="Z12" s="213"/>
      <c r="AA12" s="211"/>
      <c r="AB12" s="212"/>
      <c r="AC12" s="212"/>
      <c r="AD12" s="213"/>
      <c r="AE12" s="211"/>
      <c r="AF12" s="212"/>
      <c r="AG12" s="212"/>
      <c r="AH12" s="213"/>
      <c r="AI12" s="211"/>
      <c r="AJ12" s="212"/>
      <c r="AK12" s="212"/>
      <c r="AL12" s="213"/>
      <c r="AM12" s="211"/>
      <c r="AN12" s="212"/>
      <c r="AO12" s="212"/>
      <c r="AP12" s="213"/>
      <c r="AQ12" s="211"/>
      <c r="AR12" s="212"/>
      <c r="AS12" s="212"/>
      <c r="AT12" s="213"/>
      <c r="AU12" s="211"/>
      <c r="AV12" s="212"/>
      <c r="AW12" s="212"/>
      <c r="AX12" s="213"/>
      <c r="AY12" s="16">
        <f t="shared" si="0"/>
        <v>1926.53</v>
      </c>
      <c r="AZ12" s="1"/>
      <c r="BA12" s="1"/>
      <c r="BB12" s="1"/>
    </row>
    <row r="13" spans="1:54" ht="15.75">
      <c r="A13" s="13" t="s">
        <v>134</v>
      </c>
      <c r="B13" s="56">
        <v>3448.3199999999993</v>
      </c>
      <c r="C13" s="214">
        <f>93.93</f>
        <v>93.93</v>
      </c>
      <c r="D13" s="215"/>
      <c r="E13" s="215"/>
      <c r="F13" s="216"/>
      <c r="G13" s="214">
        <f>93.93</f>
        <v>93.93</v>
      </c>
      <c r="H13" s="215"/>
      <c r="I13" s="215"/>
      <c r="J13" s="216"/>
      <c r="K13" s="214">
        <f>93.93</f>
        <v>93.93</v>
      </c>
      <c r="L13" s="215"/>
      <c r="M13" s="215"/>
      <c r="N13" s="216"/>
      <c r="O13" s="214">
        <f>93.93+2290.23</f>
        <v>2384.16</v>
      </c>
      <c r="P13" s="215"/>
      <c r="Q13" s="215"/>
      <c r="R13" s="216"/>
      <c r="S13" s="214">
        <f>93.93</f>
        <v>93.93</v>
      </c>
      <c r="T13" s="215"/>
      <c r="U13" s="215"/>
      <c r="V13" s="216"/>
      <c r="W13" s="214">
        <f>93.93</f>
        <v>93.93</v>
      </c>
      <c r="X13" s="215"/>
      <c r="Y13" s="215"/>
      <c r="Z13" s="216"/>
      <c r="AA13" s="214"/>
      <c r="AB13" s="215"/>
      <c r="AC13" s="215"/>
      <c r="AD13" s="216"/>
      <c r="AE13" s="214"/>
      <c r="AF13" s="215"/>
      <c r="AG13" s="215"/>
      <c r="AH13" s="216"/>
      <c r="AI13" s="214"/>
      <c r="AJ13" s="215"/>
      <c r="AK13" s="215"/>
      <c r="AL13" s="216"/>
      <c r="AM13" s="214"/>
      <c r="AN13" s="215"/>
      <c r="AO13" s="215"/>
      <c r="AP13" s="216"/>
      <c r="AQ13" s="214"/>
      <c r="AR13" s="215"/>
      <c r="AS13" s="215"/>
      <c r="AT13" s="216"/>
      <c r="AU13" s="214"/>
      <c r="AV13" s="215"/>
      <c r="AW13" s="215"/>
      <c r="AX13" s="216"/>
      <c r="AY13" s="17">
        <f t="shared" si="0"/>
        <v>2853.8099999999995</v>
      </c>
      <c r="AZ13" s="1"/>
      <c r="BA13" s="1"/>
      <c r="BB13" s="1"/>
    </row>
    <row r="14" spans="1:54" ht="15.75">
      <c r="A14" s="15" t="s">
        <v>135</v>
      </c>
      <c r="B14" s="55">
        <v>795.41</v>
      </c>
      <c r="C14" s="211"/>
      <c r="D14" s="212"/>
      <c r="E14" s="212"/>
      <c r="F14" s="213"/>
      <c r="G14" s="211">
        <f>27.27+13.86+8.75+34.09</f>
        <v>83.97</v>
      </c>
      <c r="H14" s="212"/>
      <c r="I14" s="212"/>
      <c r="J14" s="213"/>
      <c r="K14" s="211"/>
      <c r="L14" s="212"/>
      <c r="M14" s="212"/>
      <c r="N14" s="213"/>
      <c r="O14" s="211">
        <f>25+27.27+16.9+26.12</f>
        <v>95.289999999999992</v>
      </c>
      <c r="P14" s="212"/>
      <c r="Q14" s="212"/>
      <c r="R14" s="213"/>
      <c r="S14" s="211">
        <f>22.09+27.27</f>
        <v>49.36</v>
      </c>
      <c r="T14" s="212"/>
      <c r="U14" s="212"/>
      <c r="V14" s="213"/>
      <c r="W14" s="211">
        <f>8.75+27.27+27.27</f>
        <v>63.289999999999992</v>
      </c>
      <c r="X14" s="212"/>
      <c r="Y14" s="212"/>
      <c r="Z14" s="213"/>
      <c r="AA14" s="211"/>
      <c r="AB14" s="212"/>
      <c r="AC14" s="212"/>
      <c r="AD14" s="213"/>
      <c r="AE14" s="211"/>
      <c r="AF14" s="212"/>
      <c r="AG14" s="212"/>
      <c r="AH14" s="213"/>
      <c r="AI14" s="211"/>
      <c r="AJ14" s="212"/>
      <c r="AK14" s="212"/>
      <c r="AL14" s="213"/>
      <c r="AM14" s="211"/>
      <c r="AN14" s="212"/>
      <c r="AO14" s="212"/>
      <c r="AP14" s="213"/>
      <c r="AQ14" s="211"/>
      <c r="AR14" s="212"/>
      <c r="AS14" s="212"/>
      <c r="AT14" s="213"/>
      <c r="AU14" s="211"/>
      <c r="AV14" s="212"/>
      <c r="AW14" s="212"/>
      <c r="AX14" s="213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136</v>
      </c>
      <c r="B15" s="54">
        <v>2461.34</v>
      </c>
      <c r="C15" s="214">
        <v>648.49</v>
      </c>
      <c r="D15" s="215"/>
      <c r="E15" s="215"/>
      <c r="F15" s="216"/>
      <c r="G15" s="214">
        <v>550</v>
      </c>
      <c r="H15" s="215"/>
      <c r="I15" s="215"/>
      <c r="J15" s="216"/>
      <c r="K15" s="214">
        <v>690</v>
      </c>
      <c r="L15" s="215"/>
      <c r="M15" s="215"/>
      <c r="N15" s="216"/>
      <c r="O15" s="214">
        <f>550</f>
        <v>550</v>
      </c>
      <c r="P15" s="215"/>
      <c r="Q15" s="215"/>
      <c r="R15" s="216"/>
      <c r="S15" s="214">
        <v>650.01</v>
      </c>
      <c r="T15" s="215"/>
      <c r="U15" s="215"/>
      <c r="V15" s="216"/>
      <c r="W15" s="214">
        <v>568.34</v>
      </c>
      <c r="X15" s="215"/>
      <c r="Y15" s="215"/>
      <c r="Z15" s="216"/>
      <c r="AA15" s="214"/>
      <c r="AB15" s="215"/>
      <c r="AC15" s="215"/>
      <c r="AD15" s="216"/>
      <c r="AE15" s="214"/>
      <c r="AF15" s="215"/>
      <c r="AG15" s="215"/>
      <c r="AH15" s="216"/>
      <c r="AI15" s="214"/>
      <c r="AJ15" s="215"/>
      <c r="AK15" s="215"/>
      <c r="AL15" s="216"/>
      <c r="AM15" s="214"/>
      <c r="AN15" s="215"/>
      <c r="AO15" s="215"/>
      <c r="AP15" s="216"/>
      <c r="AQ15" s="214"/>
      <c r="AR15" s="215"/>
      <c r="AS15" s="215"/>
      <c r="AT15" s="216"/>
      <c r="AU15" s="214"/>
      <c r="AV15" s="215"/>
      <c r="AW15" s="215"/>
      <c r="AX15" s="216"/>
      <c r="AY15" s="14">
        <f t="shared" si="0"/>
        <v>3656.84</v>
      </c>
      <c r="AZ15" s="1"/>
      <c r="BA15" s="1"/>
      <c r="BB15" s="1"/>
    </row>
    <row r="16" spans="1:54" ht="16.5" thickBot="1">
      <c r="A16" s="15" t="s">
        <v>137</v>
      </c>
      <c r="B16" s="122">
        <v>15626.78</v>
      </c>
      <c r="C16" s="230">
        <f>28.78+200.62+1566.27</f>
        <v>1795.67</v>
      </c>
      <c r="D16" s="231"/>
      <c r="E16" s="231"/>
      <c r="F16" s="232"/>
      <c r="G16" s="230">
        <f>47.52</f>
        <v>47.52</v>
      </c>
      <c r="H16" s="231"/>
      <c r="I16" s="231"/>
      <c r="J16" s="232"/>
      <c r="K16" s="230"/>
      <c r="L16" s="231"/>
      <c r="M16" s="231"/>
      <c r="N16" s="232"/>
      <c r="O16" s="230"/>
      <c r="P16" s="231"/>
      <c r="Q16" s="231"/>
      <c r="R16" s="232"/>
      <c r="S16" s="230"/>
      <c r="T16" s="231"/>
      <c r="U16" s="231"/>
      <c r="V16" s="232"/>
      <c r="W16" s="230"/>
      <c r="X16" s="231"/>
      <c r="Y16" s="231"/>
      <c r="Z16" s="232"/>
      <c r="AA16" s="230"/>
      <c r="AB16" s="231"/>
      <c r="AC16" s="231"/>
      <c r="AD16" s="232"/>
      <c r="AE16" s="230"/>
      <c r="AF16" s="231"/>
      <c r="AG16" s="231"/>
      <c r="AH16" s="232"/>
      <c r="AI16" s="230"/>
      <c r="AJ16" s="231"/>
      <c r="AK16" s="231"/>
      <c r="AL16" s="232"/>
      <c r="AM16" s="230"/>
      <c r="AN16" s="231"/>
      <c r="AO16" s="231"/>
      <c r="AP16" s="232"/>
      <c r="AQ16" s="230"/>
      <c r="AR16" s="231"/>
      <c r="AS16" s="231"/>
      <c r="AT16" s="232"/>
      <c r="AU16" s="230"/>
      <c r="AV16" s="231"/>
      <c r="AW16" s="231"/>
      <c r="AX16" s="232"/>
      <c r="AY16" s="123">
        <f>SUM(C16:AX16)</f>
        <v>1843.19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3">
        <f>SUM(C8:C16)</f>
        <v>9364.27</v>
      </c>
      <c r="D17" s="234"/>
      <c r="E17" s="234"/>
      <c r="F17" s="235"/>
      <c r="G17" s="233">
        <f>SUM(G8:G16)</f>
        <v>5516.3400000000011</v>
      </c>
      <c r="H17" s="234"/>
      <c r="I17" s="234"/>
      <c r="J17" s="235"/>
      <c r="K17" s="233">
        <f>SUM(K8:K16)</f>
        <v>3826.44</v>
      </c>
      <c r="L17" s="234"/>
      <c r="M17" s="234"/>
      <c r="N17" s="235"/>
      <c r="O17" s="233">
        <f>SUM(O8:O16)</f>
        <v>6525.6500000000005</v>
      </c>
      <c r="P17" s="234"/>
      <c r="Q17" s="234"/>
      <c r="R17" s="235"/>
      <c r="S17" s="233">
        <f>SUM(S8:S16)</f>
        <v>3997.67</v>
      </c>
      <c r="T17" s="234"/>
      <c r="U17" s="234"/>
      <c r="V17" s="235"/>
      <c r="W17" s="233">
        <f>SUM(W8:W16)</f>
        <v>5438.31</v>
      </c>
      <c r="X17" s="234"/>
      <c r="Y17" s="234"/>
      <c r="Z17" s="235"/>
      <c r="AA17" s="233">
        <f>SUM(AA8:AA16)</f>
        <v>786.42</v>
      </c>
      <c r="AB17" s="234"/>
      <c r="AC17" s="234"/>
      <c r="AD17" s="235"/>
      <c r="AE17" s="233">
        <f>SUM(AE8:AE16)</f>
        <v>0</v>
      </c>
      <c r="AF17" s="234"/>
      <c r="AG17" s="234"/>
      <c r="AH17" s="235"/>
      <c r="AI17" s="233">
        <f>SUM(AI8:AI16)</f>
        <v>0</v>
      </c>
      <c r="AJ17" s="234"/>
      <c r="AK17" s="234"/>
      <c r="AL17" s="235"/>
      <c r="AM17" s="233">
        <f>SUM(AM8:AM16)</f>
        <v>0</v>
      </c>
      <c r="AN17" s="234"/>
      <c r="AO17" s="234"/>
      <c r="AP17" s="235"/>
      <c r="AQ17" s="233">
        <f>SUM(AQ8:AQ16)</f>
        <v>0</v>
      </c>
      <c r="AR17" s="234"/>
      <c r="AS17" s="234"/>
      <c r="AT17" s="235"/>
      <c r="AU17" s="233">
        <f>SUM(AU8:AU16)</f>
        <v>0</v>
      </c>
      <c r="AV17" s="234"/>
      <c r="AW17" s="234"/>
      <c r="AX17" s="235"/>
      <c r="AY17" s="18">
        <f>SUM(AY8:AY16)</f>
        <v>35455.1</v>
      </c>
      <c r="AZ17" s="2">
        <f ca="1">AY17/BB17</f>
        <v>5065.0142857142855</v>
      </c>
      <c r="BA17" s="1" t="s">
        <v>121</v>
      </c>
      <c r="BB17" s="1">
        <f ca="1">MONTH(TODAY())</f>
        <v>7</v>
      </c>
      <c r="BC17" s="125"/>
    </row>
    <row r="18" spans="1:55" ht="32.25" customHeight="1" thickTop="1" thickBot="1">
      <c r="A18" s="19"/>
      <c r="B18" s="19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36"/>
      <c r="AN18" s="236"/>
      <c r="AO18" s="236"/>
      <c r="AP18" s="236"/>
      <c r="AQ18" s="236"/>
      <c r="AR18" s="236"/>
      <c r="AS18" s="236"/>
      <c r="AT18" s="236"/>
      <c r="AU18" s="236" t="s">
        <v>212</v>
      </c>
      <c r="AV18" s="236"/>
      <c r="AW18" s="236"/>
      <c r="AX18" s="236"/>
      <c r="AY18" s="197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126</v>
      </c>
      <c r="C19" s="21" t="s">
        <v>69</v>
      </c>
      <c r="D19" s="22" t="s">
        <v>10</v>
      </c>
      <c r="E19" s="22" t="s">
        <v>11</v>
      </c>
      <c r="F19" s="23" t="s">
        <v>12</v>
      </c>
      <c r="G19" s="21" t="s">
        <v>69</v>
      </c>
      <c r="H19" s="22" t="s">
        <v>10</v>
      </c>
      <c r="I19" s="22" t="s">
        <v>11</v>
      </c>
      <c r="J19" s="23" t="s">
        <v>12</v>
      </c>
      <c r="K19" s="21" t="s">
        <v>69</v>
      </c>
      <c r="L19" s="22" t="s">
        <v>10</v>
      </c>
      <c r="M19" s="22" t="s">
        <v>11</v>
      </c>
      <c r="N19" s="23" t="s">
        <v>12</v>
      </c>
      <c r="O19" s="21" t="s">
        <v>69</v>
      </c>
      <c r="P19" s="22" t="s">
        <v>10</v>
      </c>
      <c r="Q19" s="22" t="s">
        <v>11</v>
      </c>
      <c r="R19" s="23" t="s">
        <v>12</v>
      </c>
      <c r="S19" s="21" t="s">
        <v>69</v>
      </c>
      <c r="T19" s="22" t="s">
        <v>10</v>
      </c>
      <c r="U19" s="22" t="s">
        <v>11</v>
      </c>
      <c r="V19" s="23" t="s">
        <v>12</v>
      </c>
      <c r="W19" s="21" t="s">
        <v>69</v>
      </c>
      <c r="X19" s="22" t="s">
        <v>10</v>
      </c>
      <c r="Y19" s="22" t="s">
        <v>11</v>
      </c>
      <c r="Z19" s="23" t="s">
        <v>12</v>
      </c>
      <c r="AA19" s="21" t="s">
        <v>69</v>
      </c>
      <c r="AB19" s="22" t="s">
        <v>10</v>
      </c>
      <c r="AC19" s="22" t="s">
        <v>11</v>
      </c>
      <c r="AD19" s="23" t="s">
        <v>12</v>
      </c>
      <c r="AE19" s="21" t="s">
        <v>69</v>
      </c>
      <c r="AF19" s="22" t="s">
        <v>10</v>
      </c>
      <c r="AG19" s="22" t="s">
        <v>11</v>
      </c>
      <c r="AH19" s="23" t="s">
        <v>12</v>
      </c>
      <c r="AI19" s="21" t="s">
        <v>69</v>
      </c>
      <c r="AJ19" s="22" t="s">
        <v>10</v>
      </c>
      <c r="AK19" s="22" t="s">
        <v>11</v>
      </c>
      <c r="AL19" s="23" t="s">
        <v>12</v>
      </c>
      <c r="AM19" s="21" t="s">
        <v>69</v>
      </c>
      <c r="AN19" s="22" t="s">
        <v>10</v>
      </c>
      <c r="AO19" s="22" t="s">
        <v>11</v>
      </c>
      <c r="AP19" s="23" t="s">
        <v>12</v>
      </c>
      <c r="AQ19" s="21" t="s">
        <v>69</v>
      </c>
      <c r="AR19" s="22" t="s">
        <v>10</v>
      </c>
      <c r="AS19" s="22" t="s">
        <v>11</v>
      </c>
      <c r="AT19" s="23" t="s">
        <v>12</v>
      </c>
      <c r="AU19" s="21" t="s">
        <v>69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62</v>
      </c>
      <c r="B20" s="107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102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98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106</v>
      </c>
      <c r="AB20" s="58">
        <f>'07'!B20</f>
        <v>1043.3</v>
      </c>
      <c r="AC20" s="58">
        <f>SUM('07'!D20:F20)</f>
        <v>0</v>
      </c>
      <c r="AD20" s="83">
        <f t="shared" ref="AD20:AD45" si="7">Z20+AB20-AC20</f>
        <v>1742.4299999999998</v>
      </c>
      <c r="AE20" s="26" t="s">
        <v>107</v>
      </c>
      <c r="AF20" s="58">
        <f>'08'!B20</f>
        <v>1043.3</v>
      </c>
      <c r="AG20" s="58">
        <f>SUM('08'!D20:F20)</f>
        <v>0</v>
      </c>
      <c r="AH20" s="83">
        <f t="shared" ref="AH20:AH45" si="8">AD20+AF20-AG20</f>
        <v>2785.7299999999996</v>
      </c>
      <c r="AI20" s="26" t="s">
        <v>111</v>
      </c>
      <c r="AJ20" s="58">
        <f>'09'!B20</f>
        <v>792</v>
      </c>
      <c r="AK20" s="58">
        <f>SUM('09'!D20:F20)</f>
        <v>0</v>
      </c>
      <c r="AL20" s="83">
        <f t="shared" ref="AL20:AL45" si="9">AH20+AJ20-AK20</f>
        <v>3577.7299999999996</v>
      </c>
      <c r="AM20" s="26" t="s">
        <v>112</v>
      </c>
      <c r="AN20" s="58">
        <f>'10'!B20</f>
        <v>792</v>
      </c>
      <c r="AO20" s="58">
        <f>SUM('10'!D20:F20)</f>
        <v>0</v>
      </c>
      <c r="AP20" s="83">
        <f t="shared" ref="AP20:AP45" si="10">AL20+AN20-AO20</f>
        <v>4369.7299999999996</v>
      </c>
      <c r="AQ20" s="26" t="s">
        <v>117</v>
      </c>
      <c r="AR20" s="58">
        <f>'11'!B20</f>
        <v>792</v>
      </c>
      <c r="AS20" s="58">
        <f>SUM('11'!D20:F20)</f>
        <v>0</v>
      </c>
      <c r="AT20" s="83">
        <f t="shared" ref="AT20:AT45" si="11">AP20+AR20-AS20</f>
        <v>5161.7299999999996</v>
      </c>
      <c r="AU20" s="26" t="s">
        <v>122</v>
      </c>
      <c r="AV20" s="58">
        <f>'12'!B20</f>
        <v>792</v>
      </c>
      <c r="AW20" s="58">
        <f>SUM('12'!D20:F20)</f>
        <v>0</v>
      </c>
      <c r="AX20" s="83">
        <f t="shared" ref="AX20:AX45" si="12">AT20+AV20-AW20</f>
        <v>5953.73</v>
      </c>
      <c r="AY20" s="40">
        <f t="shared" ref="AY20:AY27" si="13">E20+I20+M20+Q20+U20+Y20+AC20+AG20+AK20+AO20+AS20+AW20</f>
        <v>4116.7299999999996</v>
      </c>
      <c r="AZ20" s="41">
        <f t="shared" ref="AZ20:AZ45" si="14">AY20/AY$46</f>
        <v>0.15056604035814902</v>
      </c>
      <c r="BA20" s="42">
        <f>_xlfn.RANK.EQ(AZ20,$AZ$20:$AZ$45,)</f>
        <v>2</v>
      </c>
      <c r="BB20" s="42">
        <f t="shared" ref="BB20:BB45" ca="1" si="15">AY20/BB$17</f>
        <v>588.10428571428565</v>
      </c>
    </row>
    <row r="21" spans="1:55" ht="15.75">
      <c r="A21" s="44" t="s">
        <v>63</v>
      </c>
      <c r="B21" s="108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102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98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106</v>
      </c>
      <c r="AB21" s="62">
        <f>'07'!B40</f>
        <v>1128</v>
      </c>
      <c r="AC21" s="63">
        <f>SUM('07'!D40:F40)</f>
        <v>0</v>
      </c>
      <c r="AD21" s="84">
        <f t="shared" si="7"/>
        <v>1651.86</v>
      </c>
      <c r="AE21" s="27" t="s">
        <v>107</v>
      </c>
      <c r="AF21" s="62">
        <f>'08'!B40</f>
        <v>1128</v>
      </c>
      <c r="AG21" s="63">
        <f>SUM('08'!D40:F40)</f>
        <v>0</v>
      </c>
      <c r="AH21" s="84">
        <f t="shared" si="8"/>
        <v>2779.8599999999997</v>
      </c>
      <c r="AI21" s="27" t="s">
        <v>111</v>
      </c>
      <c r="AJ21" s="62">
        <f>'09'!B40</f>
        <v>1158</v>
      </c>
      <c r="AK21" s="63">
        <f>SUM('09'!D40:F40)</f>
        <v>0</v>
      </c>
      <c r="AL21" s="84">
        <f t="shared" si="9"/>
        <v>3937.8599999999997</v>
      </c>
      <c r="AM21" s="27" t="s">
        <v>112</v>
      </c>
      <c r="AN21" s="62">
        <f>'10'!B40</f>
        <v>1158</v>
      </c>
      <c r="AO21" s="63">
        <f>SUM('10'!D40:F40)</f>
        <v>0</v>
      </c>
      <c r="AP21" s="84">
        <f t="shared" si="10"/>
        <v>5095.8599999999997</v>
      </c>
      <c r="AQ21" s="27" t="s">
        <v>117</v>
      </c>
      <c r="AR21" s="62">
        <f>'11'!B40</f>
        <v>1158</v>
      </c>
      <c r="AS21" s="63">
        <f>SUM('11'!D40:F40)</f>
        <v>0</v>
      </c>
      <c r="AT21" s="84">
        <f t="shared" si="11"/>
        <v>6253.86</v>
      </c>
      <c r="AU21" s="27" t="s">
        <v>122</v>
      </c>
      <c r="AV21" s="62">
        <f>'12'!B40</f>
        <v>1158</v>
      </c>
      <c r="AW21" s="63">
        <f>SUM('12'!D40:F40)</f>
        <v>0</v>
      </c>
      <c r="AX21" s="84">
        <f t="shared" si="12"/>
        <v>7411.86</v>
      </c>
      <c r="AY21" s="45">
        <f t="shared" si="13"/>
        <v>6671.06</v>
      </c>
      <c r="AZ21" s="41">
        <f t="shared" si="14"/>
        <v>0.24398857568789639</v>
      </c>
      <c r="BA21" s="42">
        <f t="shared" ref="BA21:BA45" si="16">_xlfn.RANK.EQ(AZ21,$AZ$20:$AZ$45,)</f>
        <v>1</v>
      </c>
      <c r="BB21" s="42">
        <f t="shared" ca="1" si="15"/>
        <v>953.00857142857149</v>
      </c>
    </row>
    <row r="22" spans="1:55" ht="15.75">
      <c r="A22" s="46" t="s">
        <v>17</v>
      </c>
      <c r="B22" s="109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102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98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106</v>
      </c>
      <c r="AB22" s="59">
        <f>'07'!B60</f>
        <v>530</v>
      </c>
      <c r="AC22" s="59">
        <f>SUM('07'!D60:F60)</f>
        <v>143.46</v>
      </c>
      <c r="AD22" s="85">
        <f t="shared" si="7"/>
        <v>257.49</v>
      </c>
      <c r="AE22" s="26" t="s">
        <v>107</v>
      </c>
      <c r="AF22" s="59">
        <f>'08'!B60</f>
        <v>510</v>
      </c>
      <c r="AG22" s="59">
        <f>SUM('08'!D60:F60)</f>
        <v>0</v>
      </c>
      <c r="AH22" s="85">
        <f t="shared" si="8"/>
        <v>767.49</v>
      </c>
      <c r="AI22" s="26" t="s">
        <v>111</v>
      </c>
      <c r="AJ22" s="59">
        <f>'09'!B60</f>
        <v>380</v>
      </c>
      <c r="AK22" s="59">
        <f>SUM('09'!D60:F60)</f>
        <v>0</v>
      </c>
      <c r="AL22" s="85">
        <f t="shared" si="9"/>
        <v>1147.49</v>
      </c>
      <c r="AM22" s="26" t="s">
        <v>112</v>
      </c>
      <c r="AN22" s="59">
        <f>'10'!B60</f>
        <v>380</v>
      </c>
      <c r="AO22" s="59">
        <f>SUM('10'!D60:F60)</f>
        <v>0</v>
      </c>
      <c r="AP22" s="85">
        <f t="shared" si="10"/>
        <v>1527.49</v>
      </c>
      <c r="AQ22" s="26" t="s">
        <v>117</v>
      </c>
      <c r="AR22" s="59">
        <f>'11'!B60</f>
        <v>380</v>
      </c>
      <c r="AS22" s="59">
        <f>SUM('11'!D60:F60)</f>
        <v>0</v>
      </c>
      <c r="AT22" s="85">
        <f t="shared" si="11"/>
        <v>1907.49</v>
      </c>
      <c r="AU22" s="26" t="s">
        <v>122</v>
      </c>
      <c r="AV22" s="59">
        <f>'12'!B60</f>
        <v>380</v>
      </c>
      <c r="AW22" s="59">
        <f>SUM('12'!D60:F60)</f>
        <v>0</v>
      </c>
      <c r="AX22" s="85">
        <f t="shared" si="12"/>
        <v>2287.4899999999998</v>
      </c>
      <c r="AY22" s="43">
        <f t="shared" si="13"/>
        <v>2851.9700000000003</v>
      </c>
      <c r="AZ22" s="41">
        <f t="shared" si="14"/>
        <v>0.10430847544537299</v>
      </c>
      <c r="BA22" s="42">
        <f t="shared" si="16"/>
        <v>3</v>
      </c>
      <c r="BB22" s="42">
        <f t="shared" ca="1" si="15"/>
        <v>407.42428571428576</v>
      </c>
    </row>
    <row r="23" spans="1:55" ht="15.75">
      <c r="A23" s="44" t="s">
        <v>18</v>
      </c>
      <c r="B23" s="108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102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98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106</v>
      </c>
      <c r="AB23" s="62">
        <f>'07'!B80</f>
        <v>221</v>
      </c>
      <c r="AC23" s="63">
        <f>SUM('07'!D80:F80)</f>
        <v>0</v>
      </c>
      <c r="AD23" s="84">
        <f t="shared" si="7"/>
        <v>149.36000000000001</v>
      </c>
      <c r="AE23" s="27" t="s">
        <v>107</v>
      </c>
      <c r="AF23" s="62">
        <f>'08'!B80</f>
        <v>221</v>
      </c>
      <c r="AG23" s="63">
        <f>SUM('08'!D80:F80)</f>
        <v>0</v>
      </c>
      <c r="AH23" s="84">
        <f t="shared" si="8"/>
        <v>370.36</v>
      </c>
      <c r="AI23" s="27" t="s">
        <v>111</v>
      </c>
      <c r="AJ23" s="62">
        <f>'09'!B80</f>
        <v>150</v>
      </c>
      <c r="AK23" s="63">
        <f>SUM('09'!D80:F80)</f>
        <v>0</v>
      </c>
      <c r="AL23" s="84">
        <f t="shared" si="9"/>
        <v>520.36</v>
      </c>
      <c r="AM23" s="27" t="s">
        <v>112</v>
      </c>
      <c r="AN23" s="62">
        <f>'10'!B80</f>
        <v>150</v>
      </c>
      <c r="AO23" s="63">
        <f>SUM('10'!D80:F80)</f>
        <v>0</v>
      </c>
      <c r="AP23" s="84">
        <f t="shared" si="10"/>
        <v>670.36</v>
      </c>
      <c r="AQ23" s="27" t="s">
        <v>117</v>
      </c>
      <c r="AR23" s="62">
        <f>'11'!B80</f>
        <v>150</v>
      </c>
      <c r="AS23" s="63">
        <f>SUM('11'!D80:F80)</f>
        <v>0</v>
      </c>
      <c r="AT23" s="84">
        <f t="shared" si="11"/>
        <v>820.36</v>
      </c>
      <c r="AU23" s="27" t="s">
        <v>122</v>
      </c>
      <c r="AV23" s="62">
        <f>'12'!B80</f>
        <v>150</v>
      </c>
      <c r="AW23" s="63">
        <f>SUM('12'!D80:F80)</f>
        <v>0</v>
      </c>
      <c r="AX23" s="84">
        <f t="shared" si="12"/>
        <v>970.36</v>
      </c>
      <c r="AY23" s="45">
        <f t="shared" si="13"/>
        <v>1187.4399999999998</v>
      </c>
      <c r="AZ23" s="41">
        <f t="shared" si="14"/>
        <v>4.3429649008528727E-2</v>
      </c>
      <c r="BA23" s="42">
        <f t="shared" si="16"/>
        <v>8</v>
      </c>
      <c r="BB23" s="42">
        <f t="shared" ca="1" si="15"/>
        <v>169.63428571428568</v>
      </c>
    </row>
    <row r="24" spans="1:55" ht="15.75">
      <c r="A24" s="46" t="s">
        <v>19</v>
      </c>
      <c r="B24" s="109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102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98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106</v>
      </c>
      <c r="AB24" s="59">
        <f>'07'!B100</f>
        <v>150</v>
      </c>
      <c r="AC24" s="59">
        <f>SUM('07'!D100:F100)</f>
        <v>0</v>
      </c>
      <c r="AD24" s="85">
        <f t="shared" si="7"/>
        <v>197.62000000000003</v>
      </c>
      <c r="AE24" s="26" t="s">
        <v>107</v>
      </c>
      <c r="AF24" s="59">
        <f>'08'!B100</f>
        <v>150</v>
      </c>
      <c r="AG24" s="59">
        <f>SUM('08'!D100:F100)</f>
        <v>0</v>
      </c>
      <c r="AH24" s="85">
        <f t="shared" si="8"/>
        <v>347.62</v>
      </c>
      <c r="AI24" s="26" t="s">
        <v>111</v>
      </c>
      <c r="AJ24" s="59">
        <f>'09'!B100</f>
        <v>150</v>
      </c>
      <c r="AK24" s="59">
        <f>SUM('09'!D100:F100)</f>
        <v>0</v>
      </c>
      <c r="AL24" s="85">
        <f t="shared" si="9"/>
        <v>497.62</v>
      </c>
      <c r="AM24" s="26" t="s">
        <v>112</v>
      </c>
      <c r="AN24" s="59">
        <f>'10'!B100</f>
        <v>150</v>
      </c>
      <c r="AO24" s="59">
        <f>SUM('10'!D100:F100)</f>
        <v>0</v>
      </c>
      <c r="AP24" s="85">
        <f t="shared" si="10"/>
        <v>647.62</v>
      </c>
      <c r="AQ24" s="26" t="s">
        <v>117</v>
      </c>
      <c r="AR24" s="59">
        <f>'11'!B100</f>
        <v>150</v>
      </c>
      <c r="AS24" s="59">
        <f>SUM('11'!D100:F100)</f>
        <v>0</v>
      </c>
      <c r="AT24" s="85">
        <f t="shared" si="11"/>
        <v>797.62</v>
      </c>
      <c r="AU24" s="26" t="s">
        <v>122</v>
      </c>
      <c r="AV24" s="59">
        <f>'12'!B100</f>
        <v>150</v>
      </c>
      <c r="AW24" s="59">
        <f>SUM('12'!D100:F100)</f>
        <v>0</v>
      </c>
      <c r="AX24" s="85">
        <f t="shared" si="12"/>
        <v>947.62</v>
      </c>
      <c r="AY24" s="43">
        <f t="shared" si="13"/>
        <v>916.94</v>
      </c>
      <c r="AZ24" s="41">
        <f t="shared" si="14"/>
        <v>3.3536332245739015E-2</v>
      </c>
      <c r="BA24" s="42">
        <f t="shared" si="16"/>
        <v>9</v>
      </c>
      <c r="BB24" s="42">
        <f t="shared" ca="1" si="15"/>
        <v>130.99142857142857</v>
      </c>
    </row>
    <row r="25" spans="1:55" ht="15.75">
      <c r="A25" s="44" t="s">
        <v>64</v>
      </c>
      <c r="B25" s="108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102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98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106</v>
      </c>
      <c r="AB25" s="62">
        <f>'07'!B120</f>
        <v>400</v>
      </c>
      <c r="AC25" s="63">
        <f>SUM('07'!D120:F120)</f>
        <v>0</v>
      </c>
      <c r="AD25" s="84">
        <f t="shared" si="7"/>
        <v>3901.8999999999987</v>
      </c>
      <c r="AE25" s="27" t="s">
        <v>107</v>
      </c>
      <c r="AF25" s="62">
        <f>'08'!B120</f>
        <v>400</v>
      </c>
      <c r="AG25" s="63">
        <f>SUM('08'!D120:F120)</f>
        <v>0</v>
      </c>
      <c r="AH25" s="84">
        <f t="shared" si="8"/>
        <v>4301.8999999999987</v>
      </c>
      <c r="AI25" s="27" t="s">
        <v>111</v>
      </c>
      <c r="AJ25" s="62">
        <f>'09'!B120</f>
        <v>400</v>
      </c>
      <c r="AK25" s="63">
        <f>SUM('09'!D120:F120)</f>
        <v>0</v>
      </c>
      <c r="AL25" s="84">
        <f t="shared" si="9"/>
        <v>4701.8999999999987</v>
      </c>
      <c r="AM25" s="27" t="s">
        <v>112</v>
      </c>
      <c r="AN25" s="62">
        <f>'10'!B120</f>
        <v>400</v>
      </c>
      <c r="AO25" s="63">
        <f>SUM('10'!D120:F120)</f>
        <v>0</v>
      </c>
      <c r="AP25" s="84">
        <f t="shared" si="10"/>
        <v>5101.8999999999987</v>
      </c>
      <c r="AQ25" s="27" t="s">
        <v>117</v>
      </c>
      <c r="AR25" s="62">
        <f>'11'!B120</f>
        <v>400</v>
      </c>
      <c r="AS25" s="63">
        <f>SUM('11'!D120:F120)</f>
        <v>0</v>
      </c>
      <c r="AT25" s="84">
        <f t="shared" si="11"/>
        <v>5501.8999999999987</v>
      </c>
      <c r="AU25" s="27" t="s">
        <v>122</v>
      </c>
      <c r="AV25" s="62">
        <f>'12'!B120</f>
        <v>400</v>
      </c>
      <c r="AW25" s="63">
        <f>SUM('12'!D120:F120)</f>
        <v>0</v>
      </c>
      <c r="AX25" s="84">
        <f t="shared" si="12"/>
        <v>5901.8999999999987</v>
      </c>
      <c r="AY25" s="45">
        <f t="shared" si="13"/>
        <v>1972.9200000000005</v>
      </c>
      <c r="AZ25" s="41">
        <f t="shared" si="14"/>
        <v>7.2157939030103854E-2</v>
      </c>
      <c r="BA25" s="42">
        <f t="shared" si="16"/>
        <v>6</v>
      </c>
      <c r="BB25" s="42">
        <f t="shared" ca="1" si="15"/>
        <v>281.84571428571434</v>
      </c>
    </row>
    <row r="26" spans="1:55" ht="15.75">
      <c r="A26" s="46" t="s">
        <v>65</v>
      </c>
      <c r="B26" s="109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102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98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106</v>
      </c>
      <c r="AB26" s="59">
        <f>'07'!B140</f>
        <v>48</v>
      </c>
      <c r="AC26" s="59">
        <f>SUM('07'!D140:F140)</f>
        <v>0</v>
      </c>
      <c r="AD26" s="85">
        <f t="shared" si="7"/>
        <v>77.489999999999981</v>
      </c>
      <c r="AE26" s="26" t="s">
        <v>107</v>
      </c>
      <c r="AF26" s="59">
        <f>'08'!B140</f>
        <v>48</v>
      </c>
      <c r="AG26" s="59">
        <f>SUM('08'!D140:F140)</f>
        <v>0</v>
      </c>
      <c r="AH26" s="85">
        <f t="shared" si="8"/>
        <v>125.48999999999998</v>
      </c>
      <c r="AI26" s="26" t="s">
        <v>111</v>
      </c>
      <c r="AJ26" s="59">
        <f>'09'!B140</f>
        <v>52</v>
      </c>
      <c r="AK26" s="59">
        <f>SUM('09'!D140:F140)</f>
        <v>0</v>
      </c>
      <c r="AL26" s="85">
        <f t="shared" si="9"/>
        <v>177.48999999999998</v>
      </c>
      <c r="AM26" s="26" t="s">
        <v>112</v>
      </c>
      <c r="AN26" s="59">
        <f>'10'!B140</f>
        <v>52</v>
      </c>
      <c r="AO26" s="59">
        <f>SUM('10'!D140:F140)</f>
        <v>0</v>
      </c>
      <c r="AP26" s="85">
        <f t="shared" si="10"/>
        <v>229.48999999999998</v>
      </c>
      <c r="AQ26" s="26" t="s">
        <v>117</v>
      </c>
      <c r="AR26" s="59">
        <f>'11'!B140</f>
        <v>52</v>
      </c>
      <c r="AS26" s="59">
        <f>SUM('11'!D140:F140)</f>
        <v>0</v>
      </c>
      <c r="AT26" s="85">
        <f t="shared" si="11"/>
        <v>281.49</v>
      </c>
      <c r="AU26" s="26" t="s">
        <v>122</v>
      </c>
      <c r="AV26" s="59">
        <f>'12'!B140</f>
        <v>52</v>
      </c>
      <c r="AW26" s="59">
        <f>SUM('12'!D140:F140)</f>
        <v>0</v>
      </c>
      <c r="AX26" s="85">
        <f t="shared" si="12"/>
        <v>333.49</v>
      </c>
      <c r="AY26" s="43">
        <f t="shared" si="13"/>
        <v>283.98</v>
      </c>
      <c r="AZ26" s="41">
        <f t="shared" si="14"/>
        <v>1.0386336762650735E-2</v>
      </c>
      <c r="BA26" s="42">
        <f t="shared" si="16"/>
        <v>15</v>
      </c>
      <c r="BB26" s="42">
        <f t="shared" ca="1" si="15"/>
        <v>40.568571428571431</v>
      </c>
    </row>
    <row r="27" spans="1:55" ht="16.5" thickBot="1">
      <c r="A27" s="44" t="s">
        <v>20</v>
      </c>
      <c r="B27" s="110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102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98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106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107</v>
      </c>
      <c r="AF27" s="62">
        <f>'08'!B160</f>
        <v>50</v>
      </c>
      <c r="AG27" s="62">
        <f>SUM('08'!D160:F160)</f>
        <v>0</v>
      </c>
      <c r="AH27" s="86">
        <f t="shared" si="8"/>
        <v>308.36</v>
      </c>
      <c r="AI27" s="27" t="s">
        <v>111</v>
      </c>
      <c r="AJ27" s="62">
        <f>'09'!B160</f>
        <v>60</v>
      </c>
      <c r="AK27" s="62">
        <f>SUM('09'!D160:F160)</f>
        <v>0</v>
      </c>
      <c r="AL27" s="86">
        <f t="shared" si="9"/>
        <v>368.36</v>
      </c>
      <c r="AM27" s="27" t="s">
        <v>112</v>
      </c>
      <c r="AN27" s="62">
        <f>'10'!B160</f>
        <v>60</v>
      </c>
      <c r="AO27" s="62">
        <f>SUM('10'!D160:F160)</f>
        <v>0</v>
      </c>
      <c r="AP27" s="86">
        <f t="shared" si="10"/>
        <v>428.36</v>
      </c>
      <c r="AQ27" s="27" t="s">
        <v>117</v>
      </c>
      <c r="AR27" s="62">
        <f>'11'!B160</f>
        <v>60</v>
      </c>
      <c r="AS27" s="62">
        <f>SUM('11'!D160:F160)</f>
        <v>0</v>
      </c>
      <c r="AT27" s="86">
        <f t="shared" si="11"/>
        <v>488.36</v>
      </c>
      <c r="AU27" s="27" t="s">
        <v>122</v>
      </c>
      <c r="AV27" s="62">
        <f>'12'!B160</f>
        <v>60</v>
      </c>
      <c r="AW27" s="62">
        <f>SUM('12'!D160:F160)</f>
        <v>0</v>
      </c>
      <c r="AX27" s="86">
        <f t="shared" si="12"/>
        <v>548.36</v>
      </c>
      <c r="AY27" s="45">
        <f t="shared" si="13"/>
        <v>247.03</v>
      </c>
      <c r="AZ27" s="41">
        <f t="shared" si="14"/>
        <v>9.03492066510885E-3</v>
      </c>
      <c r="BA27" s="42">
        <f t="shared" si="16"/>
        <v>16</v>
      </c>
      <c r="BB27" s="42">
        <f t="shared" ca="1" si="15"/>
        <v>35.29</v>
      </c>
    </row>
    <row r="28" spans="1:55" ht="15.75">
      <c r="A28" s="46" t="s">
        <v>21</v>
      </c>
      <c r="B28" s="107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102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98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106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107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111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112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117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122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7.8825778508936351E-2</v>
      </c>
      <c r="BA28" s="42">
        <f t="shared" si="16"/>
        <v>5</v>
      </c>
      <c r="BB28" s="42">
        <f t="shared" ca="1" si="15"/>
        <v>307.89</v>
      </c>
    </row>
    <row r="29" spans="1:55" ht="15.75">
      <c r="A29" s="44" t="s">
        <v>22</v>
      </c>
      <c r="B29" s="108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102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98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106</v>
      </c>
      <c r="AB29" s="62">
        <f>'07'!B200</f>
        <v>60</v>
      </c>
      <c r="AC29" s="63">
        <f>SUM('07'!D200:F200)</f>
        <v>84.97999999999999</v>
      </c>
      <c r="AD29" s="88">
        <f t="shared" si="7"/>
        <v>-108.95999999999997</v>
      </c>
      <c r="AE29" s="27" t="s">
        <v>107</v>
      </c>
      <c r="AF29" s="62">
        <f>'08'!B200</f>
        <v>60</v>
      </c>
      <c r="AG29" s="63">
        <f>SUM('08'!D200:F200)</f>
        <v>0</v>
      </c>
      <c r="AH29" s="88">
        <f t="shared" si="8"/>
        <v>-48.959999999999965</v>
      </c>
      <c r="AI29" s="27" t="s">
        <v>111</v>
      </c>
      <c r="AJ29" s="62">
        <f>'09'!B200</f>
        <v>50</v>
      </c>
      <c r="AK29" s="63">
        <f>SUM('09'!D200:F200)</f>
        <v>0</v>
      </c>
      <c r="AL29" s="88">
        <f t="shared" si="9"/>
        <v>1.0400000000000347</v>
      </c>
      <c r="AM29" s="27" t="s">
        <v>112</v>
      </c>
      <c r="AN29" s="62">
        <f>'10'!B200</f>
        <v>50</v>
      </c>
      <c r="AO29" s="63">
        <f>SUM('10'!D200:F200)</f>
        <v>0</v>
      </c>
      <c r="AP29" s="88">
        <f t="shared" si="10"/>
        <v>51.040000000000035</v>
      </c>
      <c r="AQ29" s="27" t="s">
        <v>117</v>
      </c>
      <c r="AR29" s="62">
        <f>'11'!B200</f>
        <v>50</v>
      </c>
      <c r="AS29" s="63">
        <f>SUM('11'!D200:F200)</f>
        <v>0</v>
      </c>
      <c r="AT29" s="88">
        <f t="shared" si="11"/>
        <v>101.04000000000003</v>
      </c>
      <c r="AU29" s="27" t="s">
        <v>122</v>
      </c>
      <c r="AV29" s="62">
        <f>'12'!B200</f>
        <v>50</v>
      </c>
      <c r="AW29" s="63">
        <f>SUM('12'!D200:F200)</f>
        <v>0</v>
      </c>
      <c r="AX29" s="88">
        <f t="shared" si="12"/>
        <v>151.04000000000002</v>
      </c>
      <c r="AY29" s="45">
        <f t="shared" si="17"/>
        <v>715.24</v>
      </c>
      <c r="AZ29" s="41">
        <f t="shared" si="14"/>
        <v>2.6159319339806718E-2</v>
      </c>
      <c r="BA29" s="42">
        <f t="shared" si="16"/>
        <v>10</v>
      </c>
      <c r="BB29" s="42">
        <f t="shared" ca="1" si="15"/>
        <v>102.17714285714285</v>
      </c>
    </row>
    <row r="30" spans="1:55" ht="15.75">
      <c r="A30" s="46" t="s">
        <v>23</v>
      </c>
      <c r="B30" s="109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102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98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106</v>
      </c>
      <c r="AB30" s="59">
        <f>'07'!B220</f>
        <v>35</v>
      </c>
      <c r="AC30" s="59">
        <f>SUM('07'!D220:F220)</f>
        <v>0</v>
      </c>
      <c r="AD30" s="89">
        <f t="shared" si="7"/>
        <v>50.09</v>
      </c>
      <c r="AE30" s="26" t="s">
        <v>107</v>
      </c>
      <c r="AF30" s="59">
        <f>'08'!B220</f>
        <v>35</v>
      </c>
      <c r="AG30" s="59">
        <f>SUM('08'!D220:F220)</f>
        <v>0</v>
      </c>
      <c r="AH30" s="89">
        <f t="shared" si="8"/>
        <v>85.09</v>
      </c>
      <c r="AI30" s="26" t="s">
        <v>111</v>
      </c>
      <c r="AJ30" s="59">
        <f>'09'!B220</f>
        <v>35</v>
      </c>
      <c r="AK30" s="59">
        <f>SUM('09'!D220:F220)</f>
        <v>0</v>
      </c>
      <c r="AL30" s="89">
        <f t="shared" si="9"/>
        <v>120.09</v>
      </c>
      <c r="AM30" s="26" t="s">
        <v>112</v>
      </c>
      <c r="AN30" s="59">
        <f>'10'!B220</f>
        <v>35</v>
      </c>
      <c r="AO30" s="59">
        <f>SUM('10'!D220:F220)</f>
        <v>0</v>
      </c>
      <c r="AP30" s="89">
        <f t="shared" si="10"/>
        <v>155.09</v>
      </c>
      <c r="AQ30" s="26" t="s">
        <v>117</v>
      </c>
      <c r="AR30" s="59">
        <f>'11'!B220</f>
        <v>35</v>
      </c>
      <c r="AS30" s="59">
        <f>SUM('11'!D220:F220)</f>
        <v>0</v>
      </c>
      <c r="AT30" s="89">
        <f t="shared" si="11"/>
        <v>190.09</v>
      </c>
      <c r="AU30" s="26" t="s">
        <v>122</v>
      </c>
      <c r="AV30" s="59">
        <f>'12'!B220</f>
        <v>35</v>
      </c>
      <c r="AW30" s="59">
        <f>SUM('12'!D220:F220)</f>
        <v>0</v>
      </c>
      <c r="AX30" s="89">
        <f t="shared" si="12"/>
        <v>225.09</v>
      </c>
      <c r="AY30" s="43">
        <f t="shared" si="17"/>
        <v>238.78</v>
      </c>
      <c r="AZ30" s="41">
        <f t="shared" si="14"/>
        <v>8.7331836473897549E-3</v>
      </c>
      <c r="BA30" s="42">
        <f t="shared" si="16"/>
        <v>17</v>
      </c>
      <c r="BB30" s="42">
        <f t="shared" ca="1" si="15"/>
        <v>34.111428571428569</v>
      </c>
    </row>
    <row r="31" spans="1:55" ht="15.75">
      <c r="A31" s="44" t="s">
        <v>24</v>
      </c>
      <c r="B31" s="108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102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98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106</v>
      </c>
      <c r="AB31" s="62">
        <f>'07'!B240</f>
        <v>90</v>
      </c>
      <c r="AC31" s="63">
        <f>SUM('07'!D240:F240)</f>
        <v>0</v>
      </c>
      <c r="AD31" s="88">
        <f t="shared" si="7"/>
        <v>92</v>
      </c>
      <c r="AE31" s="27" t="s">
        <v>107</v>
      </c>
      <c r="AF31" s="62">
        <f>'08'!B240</f>
        <v>90</v>
      </c>
      <c r="AG31" s="63">
        <f>SUM('08'!D240:F240)</f>
        <v>0</v>
      </c>
      <c r="AH31" s="88">
        <f t="shared" si="8"/>
        <v>182</v>
      </c>
      <c r="AI31" s="27" t="s">
        <v>111</v>
      </c>
      <c r="AJ31" s="62">
        <f>'09'!B240</f>
        <v>70</v>
      </c>
      <c r="AK31" s="63">
        <f>SUM('09'!D240:F240)</f>
        <v>0</v>
      </c>
      <c r="AL31" s="88">
        <f t="shared" si="9"/>
        <v>252</v>
      </c>
      <c r="AM31" s="27" t="s">
        <v>112</v>
      </c>
      <c r="AN31" s="62">
        <f>'10'!B240</f>
        <v>70</v>
      </c>
      <c r="AO31" s="63">
        <f>SUM('10'!D240:F240)</f>
        <v>0</v>
      </c>
      <c r="AP31" s="88">
        <f t="shared" si="10"/>
        <v>322</v>
      </c>
      <c r="AQ31" s="27" t="s">
        <v>117</v>
      </c>
      <c r="AR31" s="62">
        <f>'11'!B240</f>
        <v>70</v>
      </c>
      <c r="AS31" s="63">
        <f>SUM('11'!D240:F240)</f>
        <v>0</v>
      </c>
      <c r="AT31" s="88">
        <f t="shared" si="11"/>
        <v>392</v>
      </c>
      <c r="AU31" s="27" t="s">
        <v>122</v>
      </c>
      <c r="AV31" s="62">
        <f>'12'!B240</f>
        <v>70</v>
      </c>
      <c r="AW31" s="63">
        <f>SUM('12'!D240:F240)</f>
        <v>0</v>
      </c>
      <c r="AX31" s="88">
        <f t="shared" si="12"/>
        <v>462</v>
      </c>
      <c r="AY31" s="45">
        <f t="shared" si="17"/>
        <v>615</v>
      </c>
      <c r="AZ31" s="41">
        <f t="shared" si="14"/>
        <v>2.2493123139059799E-2</v>
      </c>
      <c r="BA31" s="42">
        <f t="shared" si="16"/>
        <v>11</v>
      </c>
      <c r="BB31" s="42">
        <f t="shared" ca="1" si="15"/>
        <v>87.857142857142861</v>
      </c>
    </row>
    <row r="32" spans="1:55" ht="15.75">
      <c r="A32" s="46" t="s">
        <v>214</v>
      </c>
      <c r="B32" s="109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102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98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106</v>
      </c>
      <c r="AB32" s="59">
        <f>'07'!B260</f>
        <v>80</v>
      </c>
      <c r="AC32" s="59">
        <f>SUM('07'!D260:F260)</f>
        <v>0</v>
      </c>
      <c r="AD32" s="89">
        <f t="shared" si="7"/>
        <v>-64.110000000000014</v>
      </c>
      <c r="AE32" s="26" t="s">
        <v>107</v>
      </c>
      <c r="AF32" s="59">
        <f>'08'!B260</f>
        <v>80</v>
      </c>
      <c r="AG32" s="59">
        <f>SUM('08'!D260:F260)</f>
        <v>0</v>
      </c>
      <c r="AH32" s="89">
        <f t="shared" si="8"/>
        <v>15.889999999999986</v>
      </c>
      <c r="AI32" s="26" t="s">
        <v>111</v>
      </c>
      <c r="AJ32" s="59">
        <f>'09'!B260</f>
        <v>50</v>
      </c>
      <c r="AK32" s="59">
        <f>SUM('09'!D260:F260)</f>
        <v>0</v>
      </c>
      <c r="AL32" s="89">
        <f t="shared" si="9"/>
        <v>65.889999999999986</v>
      </c>
      <c r="AM32" s="26" t="s">
        <v>112</v>
      </c>
      <c r="AN32" s="59">
        <f>'10'!B260</f>
        <v>50</v>
      </c>
      <c r="AO32" s="59">
        <f>SUM('10'!D260:F260)</f>
        <v>0</v>
      </c>
      <c r="AP32" s="89">
        <f t="shared" si="10"/>
        <v>115.88999999999999</v>
      </c>
      <c r="AQ32" s="26" t="s">
        <v>117</v>
      </c>
      <c r="AR32" s="59">
        <f>'11'!B260</f>
        <v>50</v>
      </c>
      <c r="AS32" s="59">
        <f>SUM('11'!D260:F260)</f>
        <v>0</v>
      </c>
      <c r="AT32" s="89">
        <f t="shared" si="11"/>
        <v>165.89</v>
      </c>
      <c r="AU32" s="26" t="s">
        <v>122</v>
      </c>
      <c r="AV32" s="59">
        <f>'12'!B260</f>
        <v>50</v>
      </c>
      <c r="AW32" s="59">
        <f>SUM('12'!D260:F260)</f>
        <v>0</v>
      </c>
      <c r="AX32" s="89">
        <f t="shared" si="12"/>
        <v>215.89</v>
      </c>
      <c r="AY32" s="43">
        <f t="shared" si="17"/>
        <v>544.11</v>
      </c>
      <c r="AZ32" s="41">
        <f t="shared" si="14"/>
        <v>1.9900379237713543E-2</v>
      </c>
      <c r="BA32" s="42">
        <f t="shared" si="16"/>
        <v>12</v>
      </c>
      <c r="BB32" s="42">
        <f t="shared" ca="1" si="15"/>
        <v>77.73</v>
      </c>
    </row>
    <row r="33" spans="1:54" ht="15.75">
      <c r="A33" s="44" t="s">
        <v>127</v>
      </c>
      <c r="B33" s="108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102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98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106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107</v>
      </c>
      <c r="AF33" s="62">
        <f>'08'!B280</f>
        <v>10</v>
      </c>
      <c r="AG33" s="63">
        <f>SUM('08'!D280:F280)</f>
        <v>0</v>
      </c>
      <c r="AH33" s="88">
        <f t="shared" si="8"/>
        <v>130</v>
      </c>
      <c r="AI33" s="27" t="s">
        <v>111</v>
      </c>
      <c r="AJ33" s="62">
        <f>'09'!B280</f>
        <v>10</v>
      </c>
      <c r="AK33" s="63">
        <f>SUM('09'!D280:F280)</f>
        <v>0</v>
      </c>
      <c r="AL33" s="88">
        <f t="shared" si="9"/>
        <v>140</v>
      </c>
      <c r="AM33" s="27" t="s">
        <v>112</v>
      </c>
      <c r="AN33" s="62">
        <f>'10'!B280</f>
        <v>10</v>
      </c>
      <c r="AO33" s="63">
        <f>SUM('10'!D280:F280)</f>
        <v>0</v>
      </c>
      <c r="AP33" s="88">
        <f t="shared" si="10"/>
        <v>150</v>
      </c>
      <c r="AQ33" s="27" t="s">
        <v>117</v>
      </c>
      <c r="AR33" s="62">
        <f>'11'!B280</f>
        <v>10</v>
      </c>
      <c r="AS33" s="63">
        <f>SUM('11'!D280:F280)</f>
        <v>0</v>
      </c>
      <c r="AT33" s="88">
        <f t="shared" si="11"/>
        <v>160</v>
      </c>
      <c r="AU33" s="27" t="s">
        <v>122</v>
      </c>
      <c r="AV33" s="62">
        <f>'12'!B280</f>
        <v>10</v>
      </c>
      <c r="AW33" s="63">
        <f>SUM('12'!D280:F280)</f>
        <v>0</v>
      </c>
      <c r="AX33" s="88">
        <f t="shared" si="12"/>
        <v>170</v>
      </c>
      <c r="AY33" s="45">
        <f t="shared" si="17"/>
        <v>31.54</v>
      </c>
      <c r="AZ33" s="41">
        <f t="shared" si="14"/>
        <v>1.1535497622860913E-3</v>
      </c>
      <c r="BA33" s="42">
        <f t="shared" si="16"/>
        <v>20</v>
      </c>
      <c r="BB33" s="42">
        <f t="shared" ca="1" si="15"/>
        <v>4.5057142857142853</v>
      </c>
    </row>
    <row r="34" spans="1:54" ht="15.75">
      <c r="A34" s="46" t="s">
        <v>25</v>
      </c>
      <c r="B34" s="109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102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98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106</v>
      </c>
      <c r="AB34" s="59">
        <f>'07'!B300</f>
        <v>320</v>
      </c>
      <c r="AC34" s="59">
        <f>SUM('07'!D300:F300)</f>
        <v>6.5</v>
      </c>
      <c r="AD34" s="89">
        <f t="shared" si="7"/>
        <v>402.46999999999997</v>
      </c>
      <c r="AE34" s="26" t="s">
        <v>107</v>
      </c>
      <c r="AF34" s="59">
        <f>'08'!B300</f>
        <v>320</v>
      </c>
      <c r="AG34" s="59">
        <f>SUM('08'!D300:F300)</f>
        <v>0</v>
      </c>
      <c r="AH34" s="89">
        <f t="shared" si="8"/>
        <v>722.47</v>
      </c>
      <c r="AI34" s="26" t="s">
        <v>111</v>
      </c>
      <c r="AJ34" s="59">
        <f>'09'!B300</f>
        <v>100</v>
      </c>
      <c r="AK34" s="59">
        <f>SUM('09'!D300:F300)</f>
        <v>0</v>
      </c>
      <c r="AL34" s="89">
        <f t="shared" si="9"/>
        <v>822.47</v>
      </c>
      <c r="AM34" s="26" t="s">
        <v>112</v>
      </c>
      <c r="AN34" s="59">
        <f>'10'!B300</f>
        <v>100</v>
      </c>
      <c r="AO34" s="59">
        <f>SUM('10'!D300:F300)</f>
        <v>0</v>
      </c>
      <c r="AP34" s="89">
        <f t="shared" si="10"/>
        <v>922.47</v>
      </c>
      <c r="AQ34" s="26" t="s">
        <v>117</v>
      </c>
      <c r="AR34" s="59">
        <f>'11'!B300</f>
        <v>100</v>
      </c>
      <c r="AS34" s="59">
        <f>SUM('11'!D300:F300)</f>
        <v>0</v>
      </c>
      <c r="AT34" s="89">
        <f t="shared" si="11"/>
        <v>1022.47</v>
      </c>
      <c r="AU34" s="26" t="s">
        <v>122</v>
      </c>
      <c r="AV34" s="59">
        <f>'12'!B300</f>
        <v>100</v>
      </c>
      <c r="AW34" s="59">
        <f>SUM('12'!D300:F300)</f>
        <v>0</v>
      </c>
      <c r="AX34" s="89">
        <f t="shared" si="12"/>
        <v>1122.47</v>
      </c>
      <c r="AY34" s="43">
        <f>E34+I34+M34+Q34+U34+Y34+AC34+AG34+AK34+AO34+AS34+AW34+(E36+I36+M36)</f>
        <v>2518.71</v>
      </c>
      <c r="AZ34" s="41">
        <f t="shared" si="14"/>
        <v>9.2119762896880175E-2</v>
      </c>
      <c r="BA34" s="42">
        <f t="shared" si="16"/>
        <v>4</v>
      </c>
      <c r="BB34" s="42">
        <f t="shared" ca="1" si="15"/>
        <v>359.81571428571431</v>
      </c>
    </row>
    <row r="35" spans="1:54" ht="16.5" thickBot="1">
      <c r="A35" s="51" t="s">
        <v>128</v>
      </c>
      <c r="B35" s="110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102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98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106</v>
      </c>
      <c r="AB35" s="62">
        <f>'07'!B320</f>
        <v>100</v>
      </c>
      <c r="AC35" s="62">
        <f>SUM('07'!D320:F320)</f>
        <v>0</v>
      </c>
      <c r="AD35" s="86">
        <f t="shared" si="7"/>
        <v>1560.5300000000002</v>
      </c>
      <c r="AE35" s="27" t="s">
        <v>107</v>
      </c>
      <c r="AF35" s="62">
        <f>'08'!B320</f>
        <v>100</v>
      </c>
      <c r="AG35" s="62">
        <f>SUM('08'!D320:F320)</f>
        <v>0</v>
      </c>
      <c r="AH35" s="86">
        <f t="shared" si="8"/>
        <v>1660.5300000000002</v>
      </c>
      <c r="AI35" s="27" t="s">
        <v>111</v>
      </c>
      <c r="AJ35" s="62">
        <f>'09'!B320</f>
        <v>100</v>
      </c>
      <c r="AK35" s="62">
        <f>SUM('09'!D320:F320)</f>
        <v>0</v>
      </c>
      <c r="AL35" s="86">
        <f t="shared" si="9"/>
        <v>1760.5300000000002</v>
      </c>
      <c r="AM35" s="27" t="s">
        <v>112</v>
      </c>
      <c r="AN35" s="62">
        <f>'10'!B320</f>
        <v>100</v>
      </c>
      <c r="AO35" s="62">
        <f>SUM('10'!D320:F320)</f>
        <v>0</v>
      </c>
      <c r="AP35" s="86">
        <f t="shared" si="10"/>
        <v>1860.5300000000002</v>
      </c>
      <c r="AQ35" s="27" t="s">
        <v>117</v>
      </c>
      <c r="AR35" s="62">
        <f>'11'!B320</f>
        <v>100</v>
      </c>
      <c r="AS35" s="62">
        <f>SUM('11'!D320:F320)</f>
        <v>0</v>
      </c>
      <c r="AT35" s="86">
        <f t="shared" si="11"/>
        <v>1960.5300000000002</v>
      </c>
      <c r="AU35" s="27" t="s">
        <v>122</v>
      </c>
      <c r="AV35" s="62">
        <f>'12'!B320</f>
        <v>100</v>
      </c>
      <c r="AW35" s="62">
        <f>SUM('12'!D320:F320)</f>
        <v>0</v>
      </c>
      <c r="AX35" s="86">
        <f t="shared" si="12"/>
        <v>2060.5300000000002</v>
      </c>
      <c r="AY35" s="45">
        <f t="shared" si="17"/>
        <v>1218.5700000000002</v>
      </c>
      <c r="AZ35" s="41">
        <f t="shared" si="14"/>
        <v>4.4568203355388789E-2</v>
      </c>
      <c r="BA35" s="42">
        <f t="shared" si="16"/>
        <v>7</v>
      </c>
      <c r="BB35" s="42">
        <f t="shared" ca="1" si="15"/>
        <v>174.0814285714286</v>
      </c>
    </row>
    <row r="36" spans="1:54" ht="15.75">
      <c r="A36" s="47" t="s">
        <v>397</v>
      </c>
      <c r="B36" s="107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102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98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106</v>
      </c>
      <c r="AB36" s="64">
        <f>'07'!B340</f>
        <v>10</v>
      </c>
      <c r="AC36" s="64">
        <f>SUM('07'!D340:F340)</f>
        <v>0</v>
      </c>
      <c r="AD36" s="85">
        <f t="shared" si="7"/>
        <v>-68.999999999999972</v>
      </c>
      <c r="AE36" s="26" t="s">
        <v>107</v>
      </c>
      <c r="AF36" s="64">
        <f>'08'!B340</f>
        <v>10</v>
      </c>
      <c r="AG36" s="64">
        <f>SUM('08'!D340:F340)</f>
        <v>0</v>
      </c>
      <c r="AH36" s="85">
        <f t="shared" si="8"/>
        <v>-58.999999999999972</v>
      </c>
      <c r="AI36" s="26" t="s">
        <v>111</v>
      </c>
      <c r="AJ36" s="64">
        <f>'09'!B340</f>
        <v>50</v>
      </c>
      <c r="AK36" s="64">
        <f>SUM('09'!D340:F340)</f>
        <v>0</v>
      </c>
      <c r="AL36" s="85">
        <f t="shared" si="9"/>
        <v>-8.9999999999999716</v>
      </c>
      <c r="AM36" s="26" t="s">
        <v>112</v>
      </c>
      <c r="AN36" s="64">
        <f>'10'!B340</f>
        <v>50</v>
      </c>
      <c r="AO36" s="64">
        <f>SUM('10'!D340:F340)</f>
        <v>0</v>
      </c>
      <c r="AP36" s="85">
        <f t="shared" si="10"/>
        <v>41.000000000000028</v>
      </c>
      <c r="AQ36" s="26" t="s">
        <v>117</v>
      </c>
      <c r="AR36" s="64">
        <f>'11'!B340</f>
        <v>50</v>
      </c>
      <c r="AS36" s="64">
        <f>SUM('11'!D340:F340)</f>
        <v>0</v>
      </c>
      <c r="AT36" s="85">
        <f t="shared" si="11"/>
        <v>91.000000000000028</v>
      </c>
      <c r="AU36" s="26" t="s">
        <v>122</v>
      </c>
      <c r="AV36" s="64">
        <f>'12'!B340</f>
        <v>50</v>
      </c>
      <c r="AW36" s="64">
        <f>SUM('12'!D340:F340)</f>
        <v>0</v>
      </c>
      <c r="AX36" s="85">
        <f t="shared" si="12"/>
        <v>141.00000000000003</v>
      </c>
      <c r="AY36" s="40">
        <f>Q36+U36+Y36+AC36+AG36+AK36+AO36+AS36+AW36</f>
        <v>93</v>
      </c>
      <c r="AZ36" s="41">
        <f t="shared" si="14"/>
        <v>3.401399108833433E-3</v>
      </c>
      <c r="BA36" s="42">
        <f t="shared" si="16"/>
        <v>19</v>
      </c>
      <c r="BB36" s="42">
        <f t="shared" ca="1" si="15"/>
        <v>13.285714285714286</v>
      </c>
    </row>
    <row r="37" spans="1:54" ht="15.75">
      <c r="A37" s="44" t="s">
        <v>26</v>
      </c>
      <c r="B37" s="108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102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98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106</v>
      </c>
      <c r="AB37" s="60">
        <f>'07'!B360</f>
        <v>30</v>
      </c>
      <c r="AC37" s="60">
        <f>SUM('07'!D360:F360)</f>
        <v>0</v>
      </c>
      <c r="AD37" s="84">
        <f t="shared" si="7"/>
        <v>252.38</v>
      </c>
      <c r="AE37" s="27" t="s">
        <v>107</v>
      </c>
      <c r="AF37" s="60">
        <f>'08'!B360</f>
        <v>30</v>
      </c>
      <c r="AG37" s="60">
        <f>SUM('08'!D360:F360)</f>
        <v>0</v>
      </c>
      <c r="AH37" s="84">
        <f t="shared" si="8"/>
        <v>282.38</v>
      </c>
      <c r="AI37" s="27" t="s">
        <v>111</v>
      </c>
      <c r="AJ37" s="60">
        <f>'09'!B360</f>
        <v>30</v>
      </c>
      <c r="AK37" s="60">
        <f>SUM('09'!D360:F360)</f>
        <v>0</v>
      </c>
      <c r="AL37" s="84">
        <f t="shared" si="9"/>
        <v>312.38</v>
      </c>
      <c r="AM37" s="27" t="s">
        <v>112</v>
      </c>
      <c r="AN37" s="60">
        <f>'10'!B360</f>
        <v>30</v>
      </c>
      <c r="AO37" s="60">
        <f>SUM('10'!D360:F360)</f>
        <v>0</v>
      </c>
      <c r="AP37" s="84">
        <f t="shared" si="10"/>
        <v>342.38</v>
      </c>
      <c r="AQ37" s="27" t="s">
        <v>117</v>
      </c>
      <c r="AR37" s="60">
        <f>'11'!B360</f>
        <v>30</v>
      </c>
      <c r="AS37" s="60">
        <f>SUM('11'!D360:F360)</f>
        <v>0</v>
      </c>
      <c r="AT37" s="84">
        <f t="shared" si="11"/>
        <v>372.38</v>
      </c>
      <c r="AU37" s="27" t="s">
        <v>122</v>
      </c>
      <c r="AV37" s="60">
        <f>'12'!B360</f>
        <v>30</v>
      </c>
      <c r="AW37" s="60">
        <f>SUM('12'!D360:F360)</f>
        <v>0</v>
      </c>
      <c r="AX37" s="84">
        <f t="shared" si="12"/>
        <v>402.38</v>
      </c>
      <c r="AY37" s="45">
        <f t="shared" si="17"/>
        <v>416.13</v>
      </c>
      <c r="AZ37" s="41">
        <f t="shared" si="14"/>
        <v>1.5219615173751146E-2</v>
      </c>
      <c r="BA37" s="42">
        <f t="shared" si="16"/>
        <v>14</v>
      </c>
      <c r="BB37" s="42">
        <f t="shared" ca="1" si="15"/>
        <v>59.447142857142858</v>
      </c>
    </row>
    <row r="38" spans="1:54" ht="15.75">
      <c r="A38" s="46" t="s">
        <v>27</v>
      </c>
      <c r="B38" s="109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102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98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106</v>
      </c>
      <c r="AB38" s="61">
        <f>'07'!B380</f>
        <v>103</v>
      </c>
      <c r="AC38" s="61">
        <f>SUM('07'!D380:F380)</f>
        <v>4.45</v>
      </c>
      <c r="AD38" s="85">
        <f t="shared" si="7"/>
        <v>59.100000000000009</v>
      </c>
      <c r="AE38" s="26" t="s">
        <v>107</v>
      </c>
      <c r="AF38" s="61">
        <f>'08'!B380</f>
        <v>103</v>
      </c>
      <c r="AG38" s="61">
        <f>SUM('08'!D380:F380)</f>
        <v>0</v>
      </c>
      <c r="AH38" s="85">
        <f t="shared" si="8"/>
        <v>162.10000000000002</v>
      </c>
      <c r="AI38" s="26" t="s">
        <v>111</v>
      </c>
      <c r="AJ38" s="61">
        <f>'09'!B380</f>
        <v>40</v>
      </c>
      <c r="AK38" s="61">
        <f>SUM('09'!D380:F380)</f>
        <v>0</v>
      </c>
      <c r="AL38" s="85">
        <f t="shared" si="9"/>
        <v>202.10000000000002</v>
      </c>
      <c r="AM38" s="26" t="s">
        <v>112</v>
      </c>
      <c r="AN38" s="61">
        <f>'10'!B380</f>
        <v>40</v>
      </c>
      <c r="AO38" s="61">
        <f>SUM('10'!D380:F380)</f>
        <v>0</v>
      </c>
      <c r="AP38" s="85">
        <f t="shared" si="10"/>
        <v>242.10000000000002</v>
      </c>
      <c r="AQ38" s="26" t="s">
        <v>117</v>
      </c>
      <c r="AR38" s="61">
        <f>'11'!B380</f>
        <v>40</v>
      </c>
      <c r="AS38" s="61">
        <f>SUM('11'!D380:F380)</f>
        <v>0</v>
      </c>
      <c r="AT38" s="85">
        <f t="shared" si="11"/>
        <v>282.10000000000002</v>
      </c>
      <c r="AU38" s="26" t="s">
        <v>122</v>
      </c>
      <c r="AV38" s="61">
        <f>'12'!B380</f>
        <v>40</v>
      </c>
      <c r="AW38" s="61">
        <f>SUM('12'!D380:F380)</f>
        <v>0</v>
      </c>
      <c r="AX38" s="85">
        <f t="shared" si="12"/>
        <v>322.10000000000002</v>
      </c>
      <c r="AY38" s="43">
        <f t="shared" si="17"/>
        <v>424.91999999999996</v>
      </c>
      <c r="AZ38" s="41">
        <f t="shared" si="14"/>
        <v>1.5541102250811853E-2</v>
      </c>
      <c r="BA38" s="42">
        <f t="shared" si="16"/>
        <v>13</v>
      </c>
      <c r="BB38" s="42">
        <f t="shared" ca="1" si="15"/>
        <v>60.702857142857134</v>
      </c>
    </row>
    <row r="39" spans="1:54" ht="15.75">
      <c r="A39" s="44" t="s">
        <v>28</v>
      </c>
      <c r="B39" s="108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102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98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106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107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111</v>
      </c>
      <c r="AJ39" s="60">
        <f>'09'!B400</f>
        <v>10</v>
      </c>
      <c r="AK39" s="60">
        <f>SUM('09'!D400:F400)</f>
        <v>0</v>
      </c>
      <c r="AL39" s="84">
        <f t="shared" si="9"/>
        <v>1090</v>
      </c>
      <c r="AM39" s="27" t="s">
        <v>112</v>
      </c>
      <c r="AN39" s="60">
        <f>'10'!B400</f>
        <v>10</v>
      </c>
      <c r="AO39" s="60">
        <f>SUM('10'!D400:F400)</f>
        <v>0</v>
      </c>
      <c r="AP39" s="84">
        <f t="shared" si="10"/>
        <v>1100</v>
      </c>
      <c r="AQ39" s="27" t="s">
        <v>117</v>
      </c>
      <c r="AR39" s="60">
        <f>'11'!B400</f>
        <v>10</v>
      </c>
      <c r="AS39" s="60">
        <f>SUM('11'!D400:F400)</f>
        <v>0</v>
      </c>
      <c r="AT39" s="84">
        <f t="shared" si="11"/>
        <v>1110</v>
      </c>
      <c r="AU39" s="27" t="s">
        <v>122</v>
      </c>
      <c r="AV39" s="60">
        <f>'12'!B400</f>
        <v>10</v>
      </c>
      <c r="AW39" s="60">
        <f>SUM('12'!D400:F400)</f>
        <v>0</v>
      </c>
      <c r="AX39" s="84">
        <f t="shared" si="12"/>
        <v>1120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66</v>
      </c>
      <c r="B40" s="109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102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98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106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107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111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112</v>
      </c>
      <c r="AN40" s="61">
        <f>'10'!B420</f>
        <v>0</v>
      </c>
      <c r="AO40" s="61">
        <f>SUM('10'!D420:F420)</f>
        <v>0</v>
      </c>
      <c r="AP40" s="85">
        <f t="shared" si="10"/>
        <v>718.89000000000044</v>
      </c>
      <c r="AQ40" s="26" t="s">
        <v>117</v>
      </c>
      <c r="AR40" s="61">
        <f>'11'!B420</f>
        <v>0</v>
      </c>
      <c r="AS40" s="61">
        <f>SUM('11'!D420:F420)</f>
        <v>0</v>
      </c>
      <c r="AT40" s="85">
        <f t="shared" si="11"/>
        <v>718.89000000000044</v>
      </c>
      <c r="AU40" s="26" t="s">
        <v>122</v>
      </c>
      <c r="AV40" s="61">
        <f>'12'!B420</f>
        <v>0</v>
      </c>
      <c r="AW40" s="61">
        <f>SUM('12'!D420:F420)</f>
        <v>0</v>
      </c>
      <c r="AX40" s="85">
        <f t="shared" si="12"/>
        <v>718.89000000000044</v>
      </c>
      <c r="AY40" s="43">
        <f t="shared" si="17"/>
        <v>118.89</v>
      </c>
      <c r="AZ40" s="41">
        <f t="shared" si="14"/>
        <v>4.3483047317119019E-3</v>
      </c>
      <c r="BA40" s="42">
        <f t="shared" si="16"/>
        <v>18</v>
      </c>
      <c r="BB40" s="42">
        <f t="shared" ca="1" si="15"/>
        <v>16.984285714285715</v>
      </c>
    </row>
    <row r="41" spans="1:54" ht="15.75">
      <c r="A41" s="44" t="s">
        <v>29</v>
      </c>
      <c r="B41" s="108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102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98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106</v>
      </c>
      <c r="AB41" s="60">
        <f>'07'!B440</f>
        <v>-3831.88</v>
      </c>
      <c r="AC41" s="60">
        <f>SUM('07'!D440:F440)</f>
        <v>0</v>
      </c>
      <c r="AD41" s="84">
        <f t="shared" si="7"/>
        <v>5647.69</v>
      </c>
      <c r="AE41" s="27" t="s">
        <v>107</v>
      </c>
      <c r="AF41" s="60">
        <f>'08'!B440</f>
        <v>-5384.72</v>
      </c>
      <c r="AG41" s="60">
        <f>SUM('08'!D440:F440)</f>
        <v>0</v>
      </c>
      <c r="AH41" s="84">
        <f t="shared" si="8"/>
        <v>262.96999999999935</v>
      </c>
      <c r="AI41" s="27" t="s">
        <v>111</v>
      </c>
      <c r="AJ41" s="60">
        <f>'09'!B440</f>
        <v>0</v>
      </c>
      <c r="AK41" s="60">
        <f>SUM('09'!D440:F440)</f>
        <v>0</v>
      </c>
      <c r="AL41" s="84">
        <f t="shared" si="9"/>
        <v>262.96999999999935</v>
      </c>
      <c r="AM41" s="27" t="s">
        <v>112</v>
      </c>
      <c r="AN41" s="60">
        <f>'10'!B440</f>
        <v>0</v>
      </c>
      <c r="AO41" s="60">
        <f>SUM('10'!D440:F440)</f>
        <v>0</v>
      </c>
      <c r="AP41" s="84">
        <f t="shared" si="10"/>
        <v>262.96999999999935</v>
      </c>
      <c r="AQ41" s="27" t="s">
        <v>117</v>
      </c>
      <c r="AR41" s="60">
        <f>'11'!B440</f>
        <v>0</v>
      </c>
      <c r="AS41" s="60">
        <f>SUM('11'!D440:F440)</f>
        <v>0</v>
      </c>
      <c r="AT41" s="84">
        <f t="shared" si="11"/>
        <v>262.96999999999935</v>
      </c>
      <c r="AU41" s="27" t="s">
        <v>122</v>
      </c>
      <c r="AV41" s="60">
        <f>'12'!B440</f>
        <v>0</v>
      </c>
      <c r="AW41" s="60">
        <f>SUM('12'!D440:F440)</f>
        <v>0</v>
      </c>
      <c r="AX41" s="84">
        <f t="shared" si="12"/>
        <v>262.96999999999935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273</v>
      </c>
      <c r="B42" s="109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102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98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106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107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111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112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117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122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31</v>
      </c>
      <c r="B43" s="110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102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98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106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107</v>
      </c>
      <c r="AF43" s="62">
        <f>'08'!B480</f>
        <v>0</v>
      </c>
      <c r="AG43" s="62">
        <f>SUM('08'!D480:F480)</f>
        <v>0</v>
      </c>
      <c r="AH43" s="84">
        <f t="shared" si="8"/>
        <v>0</v>
      </c>
      <c r="AI43" s="27" t="s">
        <v>111</v>
      </c>
      <c r="AJ43" s="62">
        <f>'09'!B480</f>
        <v>0</v>
      </c>
      <c r="AK43" s="62">
        <f>SUM('09'!D480:F480)</f>
        <v>0</v>
      </c>
      <c r="AL43" s="84">
        <f t="shared" si="9"/>
        <v>0</v>
      </c>
      <c r="AM43" s="27" t="s">
        <v>112</v>
      </c>
      <c r="AN43" s="62">
        <f>'10'!B480</f>
        <v>0</v>
      </c>
      <c r="AO43" s="62">
        <f>SUM('10'!D480:F480)</f>
        <v>0</v>
      </c>
      <c r="AP43" s="84">
        <f t="shared" si="10"/>
        <v>0</v>
      </c>
      <c r="AQ43" s="27" t="s">
        <v>117</v>
      </c>
      <c r="AR43" s="62">
        <f>'11'!B480</f>
        <v>0</v>
      </c>
      <c r="AS43" s="62">
        <f>SUM('11'!D480:F480)</f>
        <v>0</v>
      </c>
      <c r="AT43" s="84">
        <f t="shared" si="11"/>
        <v>0</v>
      </c>
      <c r="AU43" s="27" t="s">
        <v>122</v>
      </c>
      <c r="AV43" s="62">
        <f>'12'!B480</f>
        <v>0</v>
      </c>
      <c r="AW43" s="62">
        <f>SUM('12'!D480:F480)</f>
        <v>0</v>
      </c>
      <c r="AX43" s="84">
        <f t="shared" si="12"/>
        <v>0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8" t="s">
        <v>31</v>
      </c>
      <c r="B44" s="111">
        <v>0</v>
      </c>
      <c r="C44" s="26" t="s">
        <v>0</v>
      </c>
      <c r="D44" s="99">
        <f>'01'!B500</f>
        <v>0</v>
      </c>
      <c r="E44" s="99">
        <f>SUM('01'!D500:F500)</f>
        <v>0</v>
      </c>
      <c r="F44" s="100">
        <f t="shared" si="1"/>
        <v>0</v>
      </c>
      <c r="G44" s="26" t="s">
        <v>1</v>
      </c>
      <c r="H44" s="99">
        <f>'02'!B500</f>
        <v>0</v>
      </c>
      <c r="I44" s="99">
        <f>SUM('02'!D500:F500)</f>
        <v>0</v>
      </c>
      <c r="J44" s="100">
        <f t="shared" si="2"/>
        <v>0</v>
      </c>
      <c r="K44" s="26" t="s">
        <v>2</v>
      </c>
      <c r="L44" s="99">
        <f>'03'!B500</f>
        <v>0</v>
      </c>
      <c r="M44" s="99">
        <f>SUM('03'!D500:F500)</f>
        <v>0</v>
      </c>
      <c r="N44" s="100">
        <f t="shared" si="3"/>
        <v>0</v>
      </c>
      <c r="O44" s="26" t="s">
        <v>3</v>
      </c>
      <c r="P44" s="99">
        <f>'04'!B500</f>
        <v>0</v>
      </c>
      <c r="Q44" s="99">
        <f>SUM('04'!D500:F500)</f>
        <v>0</v>
      </c>
      <c r="R44" s="100">
        <f t="shared" si="4"/>
        <v>0</v>
      </c>
      <c r="S44" s="26" t="s">
        <v>102</v>
      </c>
      <c r="T44" s="99">
        <f>'05'!B500</f>
        <v>0</v>
      </c>
      <c r="U44" s="99">
        <f>SUM('05'!D500:F500)</f>
        <v>0</v>
      </c>
      <c r="V44" s="100">
        <f t="shared" si="5"/>
        <v>0</v>
      </c>
      <c r="W44" s="26" t="s">
        <v>98</v>
      </c>
      <c r="X44" s="99">
        <f>'06'!B500</f>
        <v>0</v>
      </c>
      <c r="Y44" s="99">
        <f>SUM('06'!D500:F500)</f>
        <v>0</v>
      </c>
      <c r="Z44" s="100">
        <f t="shared" si="6"/>
        <v>0</v>
      </c>
      <c r="AA44" s="26" t="s">
        <v>106</v>
      </c>
      <c r="AB44" s="99">
        <f>'07'!B500</f>
        <v>0</v>
      </c>
      <c r="AC44" s="99">
        <f>SUM('07'!D500:F500)</f>
        <v>0</v>
      </c>
      <c r="AD44" s="100">
        <f t="shared" si="7"/>
        <v>0</v>
      </c>
      <c r="AE44" s="26" t="s">
        <v>107</v>
      </c>
      <c r="AF44" s="99">
        <f>'08'!B500</f>
        <v>0</v>
      </c>
      <c r="AG44" s="99">
        <f>SUM('08'!D500:F500)</f>
        <v>0</v>
      </c>
      <c r="AH44" s="100">
        <f t="shared" si="8"/>
        <v>0</v>
      </c>
      <c r="AI44" s="26" t="s">
        <v>111</v>
      </c>
      <c r="AJ44" s="99">
        <f>'09'!B500</f>
        <v>0</v>
      </c>
      <c r="AK44" s="99">
        <f>SUM('09'!D500:F500)</f>
        <v>0</v>
      </c>
      <c r="AL44" s="100">
        <f t="shared" si="9"/>
        <v>0</v>
      </c>
      <c r="AM44" s="26" t="s">
        <v>112</v>
      </c>
      <c r="AN44" s="99">
        <f>'10'!B500</f>
        <v>0</v>
      </c>
      <c r="AO44" s="99">
        <f>SUM('10'!D500:F500)</f>
        <v>0</v>
      </c>
      <c r="AP44" s="100">
        <f t="shared" si="10"/>
        <v>0</v>
      </c>
      <c r="AQ44" s="26" t="s">
        <v>117</v>
      </c>
      <c r="AR44" s="99">
        <f>'11'!B500</f>
        <v>0</v>
      </c>
      <c r="AS44" s="99">
        <f>SUM('11'!D500:F500)</f>
        <v>0</v>
      </c>
      <c r="AT44" s="100">
        <f t="shared" si="11"/>
        <v>0</v>
      </c>
      <c r="AU44" s="26" t="s">
        <v>122</v>
      </c>
      <c r="AV44" s="99">
        <f>'12'!B500</f>
        <v>0</v>
      </c>
      <c r="AW44" s="99">
        <f>SUM('12'!D500:F500)</f>
        <v>0</v>
      </c>
      <c r="AX44" s="100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101" t="s">
        <v>30</v>
      </c>
      <c r="B45" s="112">
        <v>68.220000000000027</v>
      </c>
      <c r="C45" s="102" t="s">
        <v>0</v>
      </c>
      <c r="D45" s="103">
        <f>'01'!B520</f>
        <v>10</v>
      </c>
      <c r="E45" s="104">
        <f>SUM('01'!D520:F520)</f>
        <v>0</v>
      </c>
      <c r="F45" s="105">
        <f t="shared" si="1"/>
        <v>78.220000000000027</v>
      </c>
      <c r="G45" s="102" t="s">
        <v>1</v>
      </c>
      <c r="H45" s="103">
        <f>'02'!B520</f>
        <v>10</v>
      </c>
      <c r="I45" s="104">
        <f>SUM('02'!D520:F520)</f>
        <v>0</v>
      </c>
      <c r="J45" s="105">
        <f t="shared" si="2"/>
        <v>88.220000000000027</v>
      </c>
      <c r="K45" s="102" t="s">
        <v>2</v>
      </c>
      <c r="L45" s="103">
        <f>'03'!B520</f>
        <v>10</v>
      </c>
      <c r="M45" s="104">
        <f>SUM('03'!D520:F520)</f>
        <v>3.5</v>
      </c>
      <c r="N45" s="105">
        <f t="shared" si="3"/>
        <v>94.720000000000027</v>
      </c>
      <c r="O45" s="102" t="s">
        <v>3</v>
      </c>
      <c r="P45" s="103">
        <f>'04'!B520</f>
        <v>10</v>
      </c>
      <c r="Q45" s="104">
        <f>SUM('04'!D520:F520)</f>
        <v>0</v>
      </c>
      <c r="R45" s="105">
        <f t="shared" si="4"/>
        <v>104.72000000000003</v>
      </c>
      <c r="S45" s="102" t="s">
        <v>102</v>
      </c>
      <c r="T45" s="103">
        <f>'05'!B520</f>
        <v>0</v>
      </c>
      <c r="U45" s="104">
        <f>SUM('05'!D520:F520)</f>
        <v>0</v>
      </c>
      <c r="V45" s="105">
        <f t="shared" si="5"/>
        <v>104.72000000000003</v>
      </c>
      <c r="W45" s="102" t="s">
        <v>98</v>
      </c>
      <c r="X45" s="103">
        <f>'06'!B520</f>
        <v>0</v>
      </c>
      <c r="Y45" s="104">
        <f>SUM('06'!D520:F520)</f>
        <v>0</v>
      </c>
      <c r="Z45" s="105">
        <f t="shared" si="6"/>
        <v>104.72000000000003</v>
      </c>
      <c r="AA45" s="102" t="s">
        <v>106</v>
      </c>
      <c r="AB45" s="103">
        <f>'07'!B520</f>
        <v>0</v>
      </c>
      <c r="AC45" s="104">
        <f>SUM('07'!D520:F520)</f>
        <v>0</v>
      </c>
      <c r="AD45" s="105">
        <f t="shared" si="7"/>
        <v>104.72000000000003</v>
      </c>
      <c r="AE45" s="102" t="s">
        <v>107</v>
      </c>
      <c r="AF45" s="103">
        <f>'08'!B520</f>
        <v>0</v>
      </c>
      <c r="AG45" s="104">
        <f>SUM('08'!D520:F520)</f>
        <v>0</v>
      </c>
      <c r="AH45" s="105">
        <f t="shared" si="8"/>
        <v>104.72000000000003</v>
      </c>
      <c r="AI45" s="102" t="s">
        <v>111</v>
      </c>
      <c r="AJ45" s="103">
        <f>'09'!B520</f>
        <v>0</v>
      </c>
      <c r="AK45" s="104">
        <f>SUM('09'!D520:F520)</f>
        <v>0</v>
      </c>
      <c r="AL45" s="105">
        <f t="shared" si="9"/>
        <v>104.72000000000003</v>
      </c>
      <c r="AM45" s="102" t="s">
        <v>112</v>
      </c>
      <c r="AN45" s="103">
        <f>'10'!B520</f>
        <v>0</v>
      </c>
      <c r="AO45" s="104">
        <f>SUM('10'!D520:F520)</f>
        <v>0</v>
      </c>
      <c r="AP45" s="105">
        <f t="shared" si="10"/>
        <v>104.72000000000003</v>
      </c>
      <c r="AQ45" s="102" t="s">
        <v>117</v>
      </c>
      <c r="AR45" s="103">
        <f>'11'!B520</f>
        <v>0</v>
      </c>
      <c r="AS45" s="104">
        <f>SUM('11'!D520:F520)</f>
        <v>0</v>
      </c>
      <c r="AT45" s="105">
        <f t="shared" si="11"/>
        <v>104.72000000000003</v>
      </c>
      <c r="AU45" s="102" t="s">
        <v>122</v>
      </c>
      <c r="AV45" s="103">
        <f>'12'!B520</f>
        <v>0</v>
      </c>
      <c r="AW45" s="104">
        <f>SUM('12'!D520:F520)</f>
        <v>0</v>
      </c>
      <c r="AX45" s="105">
        <f t="shared" si="12"/>
        <v>104.72000000000003</v>
      </c>
      <c r="AY45" s="106">
        <f t="shared" si="17"/>
        <v>3.5</v>
      </c>
      <c r="AZ45" s="41">
        <f t="shared" si="14"/>
        <v>1.2800964388082813E-4</v>
      </c>
      <c r="BA45" s="42">
        <f t="shared" si="16"/>
        <v>21</v>
      </c>
      <c r="BB45" s="42">
        <f t="shared" ca="1" si="15"/>
        <v>0.5</v>
      </c>
    </row>
    <row r="46" spans="1:54" ht="17.25" thickTop="1" thickBot="1">
      <c r="A46" s="114" t="s">
        <v>5</v>
      </c>
      <c r="B46" s="115">
        <f>SUM(B20:B45)</f>
        <v>17336.68</v>
      </c>
      <c r="C46" s="116"/>
      <c r="D46" s="117">
        <f>SUM(D20:D45)</f>
        <v>9364.27</v>
      </c>
      <c r="E46" s="117">
        <f>SUM(E20:E45)</f>
        <v>6483.9500000000007</v>
      </c>
      <c r="F46" s="118">
        <f>SUM(F20:F45)</f>
        <v>20217</v>
      </c>
      <c r="G46" s="116"/>
      <c r="H46" s="117">
        <f>SUM(H20:H45)</f>
        <v>5516.34</v>
      </c>
      <c r="I46" s="117">
        <f>SUM(I20:I45)</f>
        <v>4518.7700000000013</v>
      </c>
      <c r="J46" s="118">
        <f>SUM(J20:J45)</f>
        <v>21214.570000000003</v>
      </c>
      <c r="K46" s="116"/>
      <c r="L46" s="117">
        <f>SUM(L20:L45)</f>
        <v>3826.44</v>
      </c>
      <c r="M46" s="117">
        <f>SUM(M20:M45)</f>
        <v>4321.1000000000004</v>
      </c>
      <c r="N46" s="118">
        <f>SUM(N20:N45)</f>
        <v>20719.91</v>
      </c>
      <c r="O46" s="116"/>
      <c r="P46" s="117">
        <f>SUM(P20:P45)</f>
        <v>6525.65</v>
      </c>
      <c r="Q46" s="117">
        <f>SUM(Q20:Q45)</f>
        <v>4339.7</v>
      </c>
      <c r="R46" s="118">
        <f>SUM(R20:R45)</f>
        <v>22905.86</v>
      </c>
      <c r="S46" s="116"/>
      <c r="T46" s="117">
        <f>SUM(T20:T45)</f>
        <v>3996.6700000000005</v>
      </c>
      <c r="U46" s="117">
        <f>SUM(U20:U45)</f>
        <v>3280.39</v>
      </c>
      <c r="V46" s="118">
        <f>SUM(V20:V45)</f>
        <v>23622.14</v>
      </c>
      <c r="W46" s="116"/>
      <c r="X46" s="117">
        <f>SUM(X20:X45)</f>
        <v>5438.31</v>
      </c>
      <c r="Y46" s="117">
        <f>SUM(Y20:Y45)</f>
        <v>4148.8899999999994</v>
      </c>
      <c r="Z46" s="118">
        <f>SUM(Z20:Z45)</f>
        <v>24911.56</v>
      </c>
      <c r="AA46" s="116"/>
      <c r="AB46" s="117">
        <f>SUM(AB20:AB45)</f>
        <v>786.42000000000007</v>
      </c>
      <c r="AC46" s="117">
        <f>SUM(AC20:AC45)</f>
        <v>248.89</v>
      </c>
      <c r="AD46" s="118">
        <f>SUM(AD20:AD45)</f>
        <v>25449.09</v>
      </c>
      <c r="AE46" s="116"/>
      <c r="AF46" s="117">
        <f>SUM(AF20:AF45)</f>
        <v>-786.42000000000007</v>
      </c>
      <c r="AG46" s="117">
        <f>SUM(AG20:AG45)</f>
        <v>0</v>
      </c>
      <c r="AH46" s="118">
        <f>SUM(AH20:AH45)</f>
        <v>24662.669999999995</v>
      </c>
      <c r="AI46" s="116"/>
      <c r="AJ46" s="117">
        <f>SUM(AJ20:AJ45)</f>
        <v>3887</v>
      </c>
      <c r="AK46" s="117">
        <f>SUM(AK20:AK45)-AK41</f>
        <v>0</v>
      </c>
      <c r="AL46" s="118">
        <f>SUM(AL20:AL45)</f>
        <v>28549.669999999995</v>
      </c>
      <c r="AM46" s="116"/>
      <c r="AN46" s="117">
        <f>SUM(AN20:AN45)</f>
        <v>3887</v>
      </c>
      <c r="AO46" s="117">
        <f>SUM(AO20:AO45)-AO40</f>
        <v>0</v>
      </c>
      <c r="AP46" s="118">
        <f>SUM(AP20:AP45)</f>
        <v>32436.670000000002</v>
      </c>
      <c r="AQ46" s="116"/>
      <c r="AR46" s="117">
        <f>SUM(AR20:AR45)</f>
        <v>3887</v>
      </c>
      <c r="AS46" s="117">
        <f>SUM(AS20:AS45)-AS40</f>
        <v>0</v>
      </c>
      <c r="AT46" s="118">
        <f>SUM(AT20:AT45)</f>
        <v>36323.670000000006</v>
      </c>
      <c r="AU46" s="116"/>
      <c r="AV46" s="117">
        <f>SUM(AV20:AV45)</f>
        <v>3887</v>
      </c>
      <c r="AW46" s="117">
        <f>SUM(AW20:AW45)-AW40</f>
        <v>0</v>
      </c>
      <c r="AX46" s="118">
        <f>SUM(AX20:AX45)</f>
        <v>40210.670000000006</v>
      </c>
      <c r="AY46" s="28">
        <f>SUM(AY20:AY45)</f>
        <v>27341.690000000002</v>
      </c>
      <c r="AZ46" s="1"/>
      <c r="BA46" s="1"/>
      <c r="BB46" s="29">
        <f ca="1">SUM(BB20:BB45)</f>
        <v>3905.9557142857143</v>
      </c>
    </row>
    <row r="47" spans="1:54" s="81" customFormat="1" ht="12.75">
      <c r="A47" s="80" t="s">
        <v>324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537.53</v>
      </c>
      <c r="AD47" s="82"/>
      <c r="AE47" s="82">
        <f>AE5-AD46</f>
        <v>-11735.660000000002</v>
      </c>
      <c r="AF47" s="82">
        <f>AE17-AF46</f>
        <v>786.42000000000007</v>
      </c>
      <c r="AG47" s="82">
        <f>AE17-AG46</f>
        <v>0</v>
      </c>
      <c r="AH47" s="82"/>
      <c r="AI47" s="82">
        <f>AI5-AH46</f>
        <v>-16181.689999999995</v>
      </c>
      <c r="AJ47" s="82">
        <f>AI17-AJ46</f>
        <v>-3887</v>
      </c>
      <c r="AK47" s="82">
        <f>AI17-AK46</f>
        <v>0</v>
      </c>
      <c r="AL47" s="82"/>
      <c r="AM47" s="82">
        <f>AM5-AL46</f>
        <v>-20068.689999999995</v>
      </c>
      <c r="AN47" s="82">
        <f>AM17-AN46</f>
        <v>-3887</v>
      </c>
      <c r="AO47" s="82">
        <f>AM17-AO46</f>
        <v>0</v>
      </c>
      <c r="AP47" s="82"/>
      <c r="AQ47" s="82">
        <f>AQ5-AP46</f>
        <v>-23955.690000000002</v>
      </c>
      <c r="AR47" s="82">
        <f>AQ17-AR46</f>
        <v>-3887</v>
      </c>
      <c r="AS47" s="82">
        <f>AQ17-AS46</f>
        <v>0</v>
      </c>
      <c r="AT47" s="82"/>
      <c r="AU47" s="82">
        <f>AU5-AT46</f>
        <v>-27842.690000000006</v>
      </c>
      <c r="AV47" s="82">
        <f>AU17-AV46</f>
        <v>-3887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211</v>
      </c>
      <c r="AW48" s="5"/>
      <c r="AX48" s="5"/>
      <c r="AY48" s="82">
        <v>46128</v>
      </c>
      <c r="AZ48" s="1"/>
      <c r="BA48" s="1"/>
      <c r="BB48" s="1"/>
    </row>
    <row r="49" spans="1:51">
      <c r="C49" s="124"/>
      <c r="AY49" s="124"/>
    </row>
    <row r="50" spans="1:51">
      <c r="A50" t="s">
        <v>261</v>
      </c>
      <c r="E50" s="124">
        <f>E22+20-60</f>
        <v>406.3</v>
      </c>
      <c r="I50" s="124">
        <f>I22+20+20-75.1</f>
        <v>403.29999999999995</v>
      </c>
      <c r="M50" s="124">
        <f>M22+20+20-61.46</f>
        <v>402.24</v>
      </c>
      <c r="Q50" s="124">
        <f>Q22+20+20</f>
        <v>646.42999999999995</v>
      </c>
      <c r="U50" s="124">
        <f>U22+20+122.9+31.71+66.04</f>
        <v>480.26</v>
      </c>
      <c r="Y50" s="124">
        <f>Y22+28-97.8</f>
        <v>484.27000000000004</v>
      </c>
      <c r="AC50" s="124">
        <f>AC22+28</f>
        <v>171.46</v>
      </c>
      <c r="AG50" s="124">
        <f>AG22+28</f>
        <v>28</v>
      </c>
      <c r="AK50" s="124">
        <f>AK22+28</f>
        <v>28</v>
      </c>
      <c r="AO50" s="124">
        <f>AO22</f>
        <v>0</v>
      </c>
      <c r="AS50" s="124">
        <f>AS22</f>
        <v>0</v>
      </c>
      <c r="AW50" s="124">
        <f>AW22</f>
        <v>0</v>
      </c>
    </row>
    <row r="51" spans="1:51" ht="15.75" thickBot="1"/>
    <row r="52" spans="1:51">
      <c r="C52" s="237" t="s">
        <v>204</v>
      </c>
      <c r="D52" s="238"/>
      <c r="E52" s="238"/>
      <c r="F52" s="239"/>
      <c r="G52" s="237" t="s">
        <v>204</v>
      </c>
      <c r="H52" s="238"/>
      <c r="I52" s="238"/>
      <c r="J52" s="239"/>
      <c r="K52" s="237" t="s">
        <v>204</v>
      </c>
      <c r="L52" s="238"/>
      <c r="M52" s="238"/>
      <c r="N52" s="239"/>
      <c r="O52" s="237" t="s">
        <v>204</v>
      </c>
      <c r="P52" s="238"/>
      <c r="Q52" s="238"/>
      <c r="R52" s="239"/>
      <c r="S52" s="237" t="s">
        <v>204</v>
      </c>
      <c r="T52" s="238"/>
      <c r="U52" s="238"/>
      <c r="V52" s="239"/>
      <c r="W52" s="237" t="s">
        <v>204</v>
      </c>
      <c r="X52" s="238"/>
      <c r="Y52" s="238"/>
      <c r="Z52" s="239"/>
      <c r="AA52" s="237" t="s">
        <v>204</v>
      </c>
      <c r="AB52" s="238"/>
      <c r="AC52" s="238"/>
      <c r="AD52" s="239"/>
      <c r="AE52" s="237" t="s">
        <v>204</v>
      </c>
      <c r="AF52" s="238"/>
      <c r="AG52" s="238"/>
      <c r="AH52" s="239"/>
      <c r="AI52" s="237" t="s">
        <v>204</v>
      </c>
      <c r="AJ52" s="238"/>
      <c r="AK52" s="238"/>
      <c r="AL52" s="239"/>
      <c r="AM52" s="237" t="s">
        <v>204</v>
      </c>
      <c r="AN52" s="238"/>
      <c r="AO52" s="238"/>
      <c r="AP52" s="239"/>
      <c r="AQ52" s="237" t="s">
        <v>204</v>
      </c>
      <c r="AR52" s="238"/>
      <c r="AS52" s="238"/>
      <c r="AT52" s="239"/>
      <c r="AU52" s="237" t="s">
        <v>204</v>
      </c>
      <c r="AV52" s="238"/>
      <c r="AW52" s="238"/>
      <c r="AX52" s="239"/>
    </row>
    <row r="53" spans="1:51" ht="15.75" thickBot="1">
      <c r="C53" s="188" t="s">
        <v>205</v>
      </c>
      <c r="D53" s="240" t="s">
        <v>33</v>
      </c>
      <c r="E53" s="241"/>
      <c r="F53" s="189" t="s">
        <v>139</v>
      </c>
      <c r="G53" s="188" t="s">
        <v>205</v>
      </c>
      <c r="H53" s="240" t="s">
        <v>33</v>
      </c>
      <c r="I53" s="241"/>
      <c r="J53" s="189" t="s">
        <v>139</v>
      </c>
      <c r="K53" s="188" t="s">
        <v>205</v>
      </c>
      <c r="L53" s="240" t="s">
        <v>33</v>
      </c>
      <c r="M53" s="241"/>
      <c r="N53" s="189" t="s">
        <v>139</v>
      </c>
      <c r="O53" s="188" t="s">
        <v>205</v>
      </c>
      <c r="P53" s="240" t="s">
        <v>33</v>
      </c>
      <c r="Q53" s="241"/>
      <c r="R53" s="189" t="s">
        <v>139</v>
      </c>
      <c r="S53" s="188" t="s">
        <v>205</v>
      </c>
      <c r="T53" s="240" t="s">
        <v>33</v>
      </c>
      <c r="U53" s="241"/>
      <c r="V53" s="189" t="s">
        <v>139</v>
      </c>
      <c r="W53" s="188" t="s">
        <v>205</v>
      </c>
      <c r="X53" s="240" t="s">
        <v>33</v>
      </c>
      <c r="Y53" s="241"/>
      <c r="Z53" s="189" t="s">
        <v>139</v>
      </c>
      <c r="AA53" s="188" t="s">
        <v>205</v>
      </c>
      <c r="AB53" s="240" t="s">
        <v>33</v>
      </c>
      <c r="AC53" s="241"/>
      <c r="AD53" s="189" t="s">
        <v>139</v>
      </c>
      <c r="AE53" s="188" t="s">
        <v>205</v>
      </c>
      <c r="AF53" s="240" t="s">
        <v>33</v>
      </c>
      <c r="AG53" s="241"/>
      <c r="AH53" s="189" t="s">
        <v>139</v>
      </c>
      <c r="AI53" s="188" t="s">
        <v>205</v>
      </c>
      <c r="AJ53" s="240" t="s">
        <v>33</v>
      </c>
      <c r="AK53" s="241"/>
      <c r="AL53" s="189" t="s">
        <v>139</v>
      </c>
      <c r="AM53" s="188" t="s">
        <v>205</v>
      </c>
      <c r="AN53" s="240" t="s">
        <v>33</v>
      </c>
      <c r="AO53" s="241"/>
      <c r="AP53" s="189" t="s">
        <v>139</v>
      </c>
      <c r="AQ53" s="188" t="s">
        <v>205</v>
      </c>
      <c r="AR53" s="240" t="s">
        <v>33</v>
      </c>
      <c r="AS53" s="241"/>
      <c r="AT53" s="189" t="s">
        <v>139</v>
      </c>
      <c r="AU53" s="188" t="s">
        <v>205</v>
      </c>
      <c r="AV53" s="240" t="s">
        <v>33</v>
      </c>
      <c r="AW53" s="241"/>
      <c r="AX53" s="189" t="s">
        <v>139</v>
      </c>
    </row>
    <row r="54" spans="1:51">
      <c r="C54" s="190">
        <v>43112</v>
      </c>
      <c r="D54" s="242" t="s">
        <v>206</v>
      </c>
      <c r="E54" s="243"/>
      <c r="F54" s="193">
        <v>10</v>
      </c>
      <c r="G54" s="190">
        <v>43137</v>
      </c>
      <c r="H54" s="242" t="s">
        <v>229</v>
      </c>
      <c r="I54" s="243"/>
      <c r="J54" s="195">
        <v>10</v>
      </c>
      <c r="K54" s="190">
        <v>43166</v>
      </c>
      <c r="L54" s="248" t="s">
        <v>297</v>
      </c>
      <c r="M54" s="249"/>
      <c r="N54" s="195"/>
      <c r="O54" s="190">
        <v>43195</v>
      </c>
      <c r="P54" s="248" t="s">
        <v>229</v>
      </c>
      <c r="Q54" s="249"/>
      <c r="R54" s="201">
        <v>10</v>
      </c>
      <c r="S54" s="190">
        <v>43224</v>
      </c>
      <c r="T54" s="248" t="s">
        <v>297</v>
      </c>
      <c r="U54" s="249"/>
      <c r="V54" s="202"/>
      <c r="W54" s="191">
        <v>43264</v>
      </c>
      <c r="X54" s="252" t="s">
        <v>206</v>
      </c>
      <c r="Y54" s="253"/>
      <c r="Z54" s="203">
        <v>15</v>
      </c>
      <c r="AA54" s="190"/>
      <c r="AB54" s="262" t="s">
        <v>380</v>
      </c>
      <c r="AC54" s="263"/>
      <c r="AD54" s="195">
        <f>1452-580.8</f>
        <v>871.2</v>
      </c>
      <c r="AE54" s="190"/>
      <c r="AF54" s="264"/>
      <c r="AG54" s="265"/>
      <c r="AH54" s="195"/>
      <c r="AI54" s="190"/>
      <c r="AJ54" s="264"/>
      <c r="AK54" s="265"/>
      <c r="AL54" s="195"/>
      <c r="AM54" s="190"/>
      <c r="AN54" s="264"/>
      <c r="AO54" s="265"/>
      <c r="AP54" s="195"/>
      <c r="AQ54" s="190"/>
      <c r="AR54" s="242" t="s">
        <v>466</v>
      </c>
      <c r="AS54" s="243"/>
      <c r="AT54" s="195">
        <f>50*11</f>
        <v>550</v>
      </c>
      <c r="AU54" s="190"/>
      <c r="AV54" s="242"/>
      <c r="AW54" s="243"/>
      <c r="AX54" s="195"/>
    </row>
    <row r="55" spans="1:51">
      <c r="C55" s="191"/>
      <c r="D55" s="246"/>
      <c r="E55" s="247"/>
      <c r="F55" s="193"/>
      <c r="G55" s="191">
        <v>43146</v>
      </c>
      <c r="H55" s="246" t="s">
        <v>282</v>
      </c>
      <c r="I55" s="247"/>
      <c r="J55" s="195">
        <v>10</v>
      </c>
      <c r="K55" s="191">
        <v>43168</v>
      </c>
      <c r="L55" s="250" t="s">
        <v>282</v>
      </c>
      <c r="M55" s="251"/>
      <c r="N55" s="195">
        <v>15</v>
      </c>
      <c r="O55" s="191">
        <v>43209</v>
      </c>
      <c r="P55" s="252" t="s">
        <v>206</v>
      </c>
      <c r="Q55" s="253"/>
      <c r="R55" s="201">
        <v>15</v>
      </c>
      <c r="S55" s="191">
        <v>43238</v>
      </c>
      <c r="T55" s="252" t="s">
        <v>369</v>
      </c>
      <c r="U55" s="253"/>
      <c r="V55" s="195"/>
      <c r="W55" s="191">
        <v>43253</v>
      </c>
      <c r="X55" s="252" t="s">
        <v>229</v>
      </c>
      <c r="Y55" s="253"/>
      <c r="Z55" s="195">
        <v>10</v>
      </c>
      <c r="AA55" s="191"/>
      <c r="AB55" s="246" t="s">
        <v>381</v>
      </c>
      <c r="AC55" s="247"/>
      <c r="AD55" s="195">
        <f>200-43.62+(76.38*6)</f>
        <v>614.66</v>
      </c>
      <c r="AE55" s="191"/>
      <c r="AF55" s="256"/>
      <c r="AG55" s="257"/>
      <c r="AH55" s="195"/>
      <c r="AI55" s="191"/>
      <c r="AJ55" s="256"/>
      <c r="AK55" s="257"/>
      <c r="AL55" s="195"/>
      <c r="AM55" s="191"/>
      <c r="AN55" s="256"/>
      <c r="AO55" s="257"/>
      <c r="AP55" s="195"/>
      <c r="AQ55" s="191"/>
      <c r="AR55" s="246"/>
      <c r="AS55" s="247"/>
      <c r="AT55" s="195"/>
      <c r="AU55" s="191"/>
      <c r="AV55" s="246"/>
      <c r="AW55" s="247"/>
      <c r="AX55" s="195"/>
    </row>
    <row r="56" spans="1:51">
      <c r="C56" s="191">
        <v>43117</v>
      </c>
      <c r="D56" s="246" t="s">
        <v>208</v>
      </c>
      <c r="E56" s="247"/>
      <c r="F56" s="193"/>
      <c r="G56" s="191">
        <v>43147</v>
      </c>
      <c r="H56" s="246" t="s">
        <v>293</v>
      </c>
      <c r="I56" s="247"/>
      <c r="J56" s="195"/>
      <c r="K56" s="191">
        <v>43189</v>
      </c>
      <c r="L56" s="246" t="s">
        <v>302</v>
      </c>
      <c r="M56" s="247"/>
      <c r="N56" s="195"/>
      <c r="O56" s="191">
        <v>43193</v>
      </c>
      <c r="P56" s="252" t="s">
        <v>338</v>
      </c>
      <c r="Q56" s="253"/>
      <c r="R56" s="201">
        <v>258.52</v>
      </c>
      <c r="S56" s="191">
        <v>43249</v>
      </c>
      <c r="T56" s="246" t="s">
        <v>384</v>
      </c>
      <c r="U56" s="247"/>
      <c r="V56" s="195"/>
      <c r="W56" s="191">
        <v>43249</v>
      </c>
      <c r="X56" s="246" t="s">
        <v>389</v>
      </c>
      <c r="Y56" s="247"/>
      <c r="Z56" s="195"/>
      <c r="AA56" s="191"/>
      <c r="AB56" s="246" t="s">
        <v>382</v>
      </c>
      <c r="AC56" s="247"/>
      <c r="AD56" s="195">
        <f>AD54-AD55</f>
        <v>256.54000000000008</v>
      </c>
      <c r="AE56" s="191">
        <v>43313</v>
      </c>
      <c r="AF56" s="246" t="s">
        <v>229</v>
      </c>
      <c r="AG56" s="247"/>
      <c r="AH56" s="195">
        <v>10</v>
      </c>
      <c r="AI56" s="191"/>
      <c r="AJ56" s="256"/>
      <c r="AK56" s="257"/>
      <c r="AL56" s="195"/>
      <c r="AM56" s="191"/>
      <c r="AN56" s="256"/>
      <c r="AO56" s="257"/>
      <c r="AP56" s="195"/>
      <c r="AQ56" s="191"/>
      <c r="AR56" s="246"/>
      <c r="AS56" s="247"/>
      <c r="AT56" s="195"/>
      <c r="AU56" s="191"/>
      <c r="AV56" s="246"/>
      <c r="AW56" s="247"/>
      <c r="AX56" s="195"/>
    </row>
    <row r="57" spans="1:51">
      <c r="C57" s="191"/>
      <c r="D57" s="246" t="s">
        <v>209</v>
      </c>
      <c r="E57" s="247"/>
      <c r="F57" s="193"/>
      <c r="G57" s="191"/>
      <c r="H57" s="246" t="s">
        <v>294</v>
      </c>
      <c r="I57" s="247"/>
      <c r="J57" s="195"/>
      <c r="K57" s="191"/>
      <c r="L57" s="246" t="s">
        <v>303</v>
      </c>
      <c r="M57" s="247"/>
      <c r="N57" s="195"/>
      <c r="O57" s="191"/>
      <c r="P57" s="252" t="s">
        <v>309</v>
      </c>
      <c r="Q57" s="253"/>
      <c r="R57" s="195">
        <v>2290.23</v>
      </c>
      <c r="S57" s="191"/>
      <c r="T57" s="246" t="s">
        <v>385</v>
      </c>
      <c r="U57" s="247"/>
      <c r="V57" s="195"/>
      <c r="W57" s="191"/>
      <c r="X57" s="246" t="s">
        <v>390</v>
      </c>
      <c r="Y57" s="247"/>
      <c r="Z57" s="195"/>
      <c r="AA57" s="191">
        <v>43282</v>
      </c>
      <c r="AB57" s="246" t="s">
        <v>297</v>
      </c>
      <c r="AC57" s="247"/>
      <c r="AD57" s="195"/>
      <c r="AE57" s="191">
        <v>43189</v>
      </c>
      <c r="AF57" s="246" t="s">
        <v>393</v>
      </c>
      <c r="AG57" s="247"/>
      <c r="AH57" s="195"/>
      <c r="AI57" s="191"/>
      <c r="AJ57" s="256"/>
      <c r="AK57" s="257"/>
      <c r="AL57" s="195"/>
      <c r="AM57" s="191"/>
      <c r="AN57" s="256"/>
      <c r="AO57" s="257"/>
      <c r="AP57" s="195"/>
      <c r="AQ57" s="191"/>
      <c r="AR57" s="246"/>
      <c r="AS57" s="247"/>
      <c r="AT57" s="195"/>
      <c r="AU57" s="191"/>
      <c r="AV57" s="246"/>
      <c r="AW57" s="247"/>
      <c r="AX57" s="195"/>
    </row>
    <row r="58" spans="1:51">
      <c r="C58" s="191"/>
      <c r="D58" s="246" t="s">
        <v>210</v>
      </c>
      <c r="E58" s="247"/>
      <c r="F58" s="193"/>
      <c r="G58" s="191"/>
      <c r="H58" s="246" t="s">
        <v>295</v>
      </c>
      <c r="I58" s="247"/>
      <c r="J58" s="195"/>
      <c r="K58" s="191"/>
      <c r="L58" s="246" t="s">
        <v>304</v>
      </c>
      <c r="M58" s="247"/>
      <c r="N58" s="195"/>
      <c r="O58" s="191"/>
      <c r="P58" s="246"/>
      <c r="Q58" s="247"/>
      <c r="R58" s="195"/>
      <c r="S58" s="191"/>
      <c r="T58" s="246" t="s">
        <v>386</v>
      </c>
      <c r="U58" s="247"/>
      <c r="V58" s="195"/>
      <c r="W58" s="191"/>
      <c r="X58" s="246" t="s">
        <v>391</v>
      </c>
      <c r="Y58" s="247"/>
      <c r="Z58" s="195"/>
      <c r="AA58" s="191"/>
      <c r="AB58" s="246" t="s">
        <v>369</v>
      </c>
      <c r="AC58" s="247"/>
      <c r="AD58" s="195"/>
      <c r="AE58" s="191"/>
      <c r="AF58" s="246" t="s">
        <v>394</v>
      </c>
      <c r="AG58" s="247"/>
      <c r="AH58" s="195"/>
      <c r="AI58" s="191"/>
      <c r="AJ58" s="256"/>
      <c r="AK58" s="257"/>
      <c r="AL58" s="195"/>
      <c r="AM58" s="191"/>
      <c r="AN58" s="256"/>
      <c r="AO58" s="257"/>
      <c r="AP58" s="195"/>
      <c r="AQ58" s="191"/>
      <c r="AR58" s="246"/>
      <c r="AS58" s="247"/>
      <c r="AT58" s="195"/>
      <c r="AU58" s="191"/>
      <c r="AV58" s="246"/>
      <c r="AW58" s="247"/>
      <c r="AX58" s="195"/>
    </row>
    <row r="59" spans="1:51">
      <c r="C59" s="191"/>
      <c r="D59" s="246"/>
      <c r="E59" s="247"/>
      <c r="F59" s="193"/>
      <c r="G59" s="191"/>
      <c r="H59" s="246"/>
      <c r="I59" s="247"/>
      <c r="J59" s="195"/>
      <c r="K59" s="191"/>
      <c r="L59" s="246"/>
      <c r="M59" s="247"/>
      <c r="N59" s="195"/>
      <c r="O59" s="191"/>
      <c r="P59" s="246"/>
      <c r="Q59" s="247"/>
      <c r="R59" s="195"/>
      <c r="S59" s="191">
        <v>43236</v>
      </c>
      <c r="T59" s="254" t="s">
        <v>388</v>
      </c>
      <c r="U59" s="255"/>
      <c r="V59" s="195"/>
      <c r="W59" s="191">
        <v>43263</v>
      </c>
      <c r="X59" s="254" t="s">
        <v>388</v>
      </c>
      <c r="Y59" s="255"/>
      <c r="Z59" s="195"/>
      <c r="AA59" s="191"/>
      <c r="AB59" s="254" t="s">
        <v>465</v>
      </c>
      <c r="AC59" s="255"/>
      <c r="AD59" s="195">
        <f>50*7</f>
        <v>350</v>
      </c>
      <c r="AE59" s="191"/>
      <c r="AF59" s="246" t="s">
        <v>395</v>
      </c>
      <c r="AG59" s="247"/>
      <c r="AH59" s="195"/>
      <c r="AI59" s="191"/>
      <c r="AJ59" s="256"/>
      <c r="AK59" s="257"/>
      <c r="AL59" s="195"/>
      <c r="AM59" s="191"/>
      <c r="AN59" s="256"/>
      <c r="AO59" s="257"/>
      <c r="AP59" s="195"/>
      <c r="AQ59" s="191"/>
      <c r="AR59" s="246"/>
      <c r="AS59" s="247"/>
      <c r="AT59" s="195"/>
      <c r="AU59" s="191">
        <v>43189</v>
      </c>
      <c r="AV59" s="246" t="s">
        <v>451</v>
      </c>
      <c r="AW59" s="247"/>
      <c r="AX59" s="195"/>
    </row>
    <row r="60" spans="1:51">
      <c r="C60" s="191"/>
      <c r="D60" s="246"/>
      <c r="E60" s="247"/>
      <c r="F60" s="193"/>
      <c r="G60" s="191"/>
      <c r="H60" s="246"/>
      <c r="I60" s="247"/>
      <c r="J60" s="195"/>
      <c r="K60" s="191"/>
      <c r="L60" s="246"/>
      <c r="M60" s="247"/>
      <c r="N60" s="195"/>
      <c r="O60" s="191"/>
      <c r="P60" s="246"/>
      <c r="Q60" s="247"/>
      <c r="R60" s="195"/>
      <c r="S60" s="191"/>
      <c r="T60" s="254"/>
      <c r="U60" s="255"/>
      <c r="V60" s="195"/>
      <c r="W60" s="191"/>
      <c r="X60" s="256" t="s">
        <v>318</v>
      </c>
      <c r="Y60" s="257"/>
      <c r="Z60" s="195">
        <f>622.46*2</f>
        <v>1244.92</v>
      </c>
      <c r="AA60" s="191"/>
      <c r="AB60" s="256"/>
      <c r="AC60" s="257"/>
      <c r="AD60" s="195"/>
      <c r="AE60" s="191"/>
      <c r="AF60" s="256"/>
      <c r="AG60" s="257"/>
      <c r="AH60" s="195"/>
      <c r="AI60" s="191"/>
      <c r="AJ60" s="256"/>
      <c r="AK60" s="257"/>
      <c r="AL60" s="195"/>
      <c r="AM60" s="191"/>
      <c r="AN60" s="256"/>
      <c r="AO60" s="257"/>
      <c r="AP60" s="195"/>
      <c r="AQ60" s="191"/>
      <c r="AR60" s="246"/>
      <c r="AS60" s="247"/>
      <c r="AT60" s="195"/>
      <c r="AU60" s="191"/>
      <c r="AV60" s="246" t="s">
        <v>303</v>
      </c>
      <c r="AW60" s="247"/>
      <c r="AX60" s="195"/>
    </row>
    <row r="61" spans="1:51">
      <c r="C61" s="191"/>
      <c r="D61" s="246"/>
      <c r="E61" s="247"/>
      <c r="F61" s="193"/>
      <c r="G61" s="191"/>
      <c r="H61" s="246"/>
      <c r="I61" s="247"/>
      <c r="J61" s="195"/>
      <c r="K61" s="191"/>
      <c r="L61" s="246"/>
      <c r="M61" s="247"/>
      <c r="N61" s="195"/>
      <c r="O61" s="191"/>
      <c r="P61" s="246"/>
      <c r="Q61" s="247"/>
      <c r="R61" s="195"/>
      <c r="S61" s="191"/>
      <c r="T61" s="254"/>
      <c r="U61" s="255"/>
      <c r="V61" s="195"/>
      <c r="W61" s="191"/>
      <c r="X61" s="256"/>
      <c r="Y61" s="257"/>
      <c r="Z61" s="195"/>
      <c r="AA61" s="191"/>
      <c r="AB61" s="256"/>
      <c r="AC61" s="257"/>
      <c r="AD61" s="195"/>
      <c r="AE61" s="191"/>
      <c r="AF61" s="256"/>
      <c r="AG61" s="257"/>
      <c r="AH61" s="195"/>
      <c r="AI61" s="191"/>
      <c r="AJ61" s="256"/>
      <c r="AK61" s="257"/>
      <c r="AL61" s="195"/>
      <c r="AM61" s="191"/>
      <c r="AN61" s="256"/>
      <c r="AO61" s="257"/>
      <c r="AP61" s="195"/>
      <c r="AQ61" s="191"/>
      <c r="AR61" s="246"/>
      <c r="AS61" s="247"/>
      <c r="AT61" s="195"/>
      <c r="AU61" s="191"/>
      <c r="AV61" s="246" t="s">
        <v>452</v>
      </c>
      <c r="AW61" s="247"/>
      <c r="AX61" s="195"/>
    </row>
    <row r="62" spans="1:51">
      <c r="C62" s="191"/>
      <c r="D62" s="246"/>
      <c r="E62" s="247"/>
      <c r="F62" s="193"/>
      <c r="G62" s="191"/>
      <c r="H62" s="246"/>
      <c r="I62" s="247"/>
      <c r="J62" s="195"/>
      <c r="K62" s="191"/>
      <c r="L62" s="246"/>
      <c r="M62" s="247"/>
      <c r="N62" s="195"/>
      <c r="O62" s="191"/>
      <c r="P62" s="246"/>
      <c r="Q62" s="247"/>
      <c r="R62" s="195"/>
      <c r="S62" s="191"/>
      <c r="T62" s="254"/>
      <c r="U62" s="255"/>
      <c r="V62" s="195"/>
      <c r="W62" s="191"/>
      <c r="X62" s="256"/>
      <c r="Y62" s="257"/>
      <c r="Z62" s="195"/>
      <c r="AA62" s="191"/>
      <c r="AB62" s="256"/>
      <c r="AC62" s="257"/>
      <c r="AD62" s="195"/>
      <c r="AE62" s="191"/>
      <c r="AF62" s="256"/>
      <c r="AG62" s="257"/>
      <c r="AH62" s="195"/>
      <c r="AI62" s="191"/>
      <c r="AJ62" s="256"/>
      <c r="AK62" s="257"/>
      <c r="AL62" s="195"/>
      <c r="AM62" s="191"/>
      <c r="AN62" s="256"/>
      <c r="AO62" s="257"/>
      <c r="AP62" s="195"/>
      <c r="AQ62" s="191"/>
      <c r="AR62" s="246"/>
      <c r="AS62" s="247"/>
      <c r="AT62" s="195"/>
      <c r="AU62" s="191"/>
      <c r="AV62" s="246"/>
      <c r="AW62" s="247"/>
      <c r="AX62" s="195"/>
    </row>
    <row r="63" spans="1:51">
      <c r="C63" s="191"/>
      <c r="D63" s="246"/>
      <c r="E63" s="247"/>
      <c r="F63" s="193"/>
      <c r="G63" s="191"/>
      <c r="H63" s="246"/>
      <c r="I63" s="247"/>
      <c r="J63" s="195"/>
      <c r="K63" s="191"/>
      <c r="L63" s="246"/>
      <c r="M63" s="247"/>
      <c r="N63" s="195"/>
      <c r="O63" s="191"/>
      <c r="P63" s="246"/>
      <c r="Q63" s="247"/>
      <c r="R63" s="195"/>
      <c r="S63" s="191"/>
      <c r="T63" s="254"/>
      <c r="U63" s="255"/>
      <c r="V63" s="195"/>
      <c r="W63" s="191"/>
      <c r="X63" s="256"/>
      <c r="Y63" s="257"/>
      <c r="Z63" s="195"/>
      <c r="AA63" s="191"/>
      <c r="AB63" s="256"/>
      <c r="AC63" s="257"/>
      <c r="AD63" s="195"/>
      <c r="AE63" s="191"/>
      <c r="AF63" s="256"/>
      <c r="AG63" s="257"/>
      <c r="AH63" s="195"/>
      <c r="AI63" s="191"/>
      <c r="AJ63" s="256"/>
      <c r="AK63" s="257"/>
      <c r="AL63" s="195"/>
      <c r="AM63" s="191"/>
      <c r="AN63" s="256"/>
      <c r="AO63" s="257"/>
      <c r="AP63" s="195"/>
      <c r="AQ63" s="191"/>
      <c r="AR63" s="246"/>
      <c r="AS63" s="247"/>
      <c r="AT63" s="195"/>
      <c r="AU63" s="191"/>
      <c r="AV63" s="246"/>
      <c r="AW63" s="247"/>
      <c r="AX63" s="195"/>
    </row>
    <row r="64" spans="1:51">
      <c r="C64" s="191"/>
      <c r="D64" s="246"/>
      <c r="E64" s="247"/>
      <c r="F64" s="193"/>
      <c r="G64" s="191"/>
      <c r="H64" s="246"/>
      <c r="I64" s="247"/>
      <c r="J64" s="195"/>
      <c r="K64" s="191"/>
      <c r="L64" s="246"/>
      <c r="M64" s="247"/>
      <c r="N64" s="195"/>
      <c r="O64" s="191"/>
      <c r="P64" s="246"/>
      <c r="Q64" s="247"/>
      <c r="R64" s="195"/>
      <c r="S64" s="191"/>
      <c r="T64" s="254"/>
      <c r="U64" s="255"/>
      <c r="V64" s="195"/>
      <c r="W64" s="191"/>
      <c r="X64" s="256"/>
      <c r="Y64" s="257"/>
      <c r="Z64" s="195"/>
      <c r="AA64" s="191"/>
      <c r="AB64" s="256"/>
      <c r="AC64" s="257"/>
      <c r="AD64" s="195"/>
      <c r="AE64" s="191"/>
      <c r="AF64" s="256"/>
      <c r="AG64" s="257"/>
      <c r="AH64" s="195"/>
      <c r="AI64" s="191"/>
      <c r="AJ64" s="256"/>
      <c r="AK64" s="257"/>
      <c r="AL64" s="195"/>
      <c r="AM64" s="191"/>
      <c r="AN64" s="256"/>
      <c r="AO64" s="257"/>
      <c r="AP64" s="195"/>
      <c r="AQ64" s="191"/>
      <c r="AR64" s="246"/>
      <c r="AS64" s="247"/>
      <c r="AT64" s="195"/>
      <c r="AU64" s="191"/>
      <c r="AV64" s="246"/>
      <c r="AW64" s="247"/>
      <c r="AX64" s="195"/>
    </row>
    <row r="65" spans="3:50">
      <c r="C65" s="191"/>
      <c r="D65" s="246"/>
      <c r="E65" s="247"/>
      <c r="F65" s="193"/>
      <c r="G65" s="191"/>
      <c r="H65" s="246"/>
      <c r="I65" s="247"/>
      <c r="J65" s="195"/>
      <c r="K65" s="191"/>
      <c r="L65" s="246"/>
      <c r="M65" s="247"/>
      <c r="N65" s="195"/>
      <c r="O65" s="191"/>
      <c r="P65" s="246"/>
      <c r="Q65" s="247"/>
      <c r="R65" s="195"/>
      <c r="S65" s="191"/>
      <c r="T65" s="254"/>
      <c r="U65" s="255"/>
      <c r="V65" s="195"/>
      <c r="W65" s="191"/>
      <c r="X65" s="256"/>
      <c r="Y65" s="257"/>
      <c r="Z65" s="195"/>
      <c r="AA65" s="191"/>
      <c r="AB65" s="256"/>
      <c r="AC65" s="257"/>
      <c r="AD65" s="195"/>
      <c r="AE65" s="191"/>
      <c r="AF65" s="256"/>
      <c r="AG65" s="257"/>
      <c r="AH65" s="195"/>
      <c r="AI65" s="191"/>
      <c r="AJ65" s="256"/>
      <c r="AK65" s="257"/>
      <c r="AL65" s="195"/>
      <c r="AM65" s="191"/>
      <c r="AN65" s="256"/>
      <c r="AO65" s="257"/>
      <c r="AP65" s="195"/>
      <c r="AQ65" s="191"/>
      <c r="AR65" s="246"/>
      <c r="AS65" s="247"/>
      <c r="AT65" s="195"/>
      <c r="AU65" s="191"/>
      <c r="AV65" s="246"/>
      <c r="AW65" s="247"/>
      <c r="AX65" s="195"/>
    </row>
    <row r="66" spans="3:50">
      <c r="C66" s="191"/>
      <c r="D66" s="246"/>
      <c r="E66" s="247"/>
      <c r="F66" s="193"/>
      <c r="G66" s="191"/>
      <c r="H66" s="246"/>
      <c r="I66" s="247"/>
      <c r="J66" s="195"/>
      <c r="K66" s="191"/>
      <c r="L66" s="246"/>
      <c r="M66" s="247"/>
      <c r="N66" s="195"/>
      <c r="O66" s="191"/>
      <c r="P66" s="246"/>
      <c r="Q66" s="247"/>
      <c r="R66" s="195"/>
      <c r="S66" s="191"/>
      <c r="T66" s="256"/>
      <c r="U66" s="257"/>
      <c r="V66" s="195"/>
      <c r="W66" s="191"/>
      <c r="X66" s="256"/>
      <c r="Y66" s="257"/>
      <c r="Z66" s="195"/>
      <c r="AA66" s="191"/>
      <c r="AB66" s="256"/>
      <c r="AC66" s="257"/>
      <c r="AD66" s="195"/>
      <c r="AE66" s="191"/>
      <c r="AF66" s="256"/>
      <c r="AG66" s="257"/>
      <c r="AH66" s="195"/>
      <c r="AI66" s="191"/>
      <c r="AJ66" s="256"/>
      <c r="AK66" s="257"/>
      <c r="AL66" s="195"/>
      <c r="AM66" s="191"/>
      <c r="AN66" s="256"/>
      <c r="AO66" s="257"/>
      <c r="AP66" s="195"/>
      <c r="AQ66" s="191"/>
      <c r="AR66" s="246"/>
      <c r="AS66" s="247"/>
      <c r="AT66" s="195"/>
      <c r="AU66" s="191"/>
      <c r="AV66" s="246"/>
      <c r="AW66" s="247"/>
      <c r="AX66" s="195"/>
    </row>
    <row r="67" spans="3:50">
      <c r="C67" s="191"/>
      <c r="D67" s="246"/>
      <c r="E67" s="247"/>
      <c r="F67" s="193"/>
      <c r="G67" s="191"/>
      <c r="H67" s="246"/>
      <c r="I67" s="247"/>
      <c r="J67" s="195"/>
      <c r="K67" s="191"/>
      <c r="L67" s="246"/>
      <c r="M67" s="247"/>
      <c r="N67" s="195"/>
      <c r="O67" s="191"/>
      <c r="P67" s="246"/>
      <c r="Q67" s="247"/>
      <c r="R67" s="195"/>
      <c r="S67" s="191"/>
      <c r="T67" s="256"/>
      <c r="U67" s="257"/>
      <c r="V67" s="195"/>
      <c r="W67" s="191"/>
      <c r="X67" s="256"/>
      <c r="Y67" s="257"/>
      <c r="Z67" s="195"/>
      <c r="AA67" s="191"/>
      <c r="AB67" s="256"/>
      <c r="AC67" s="257"/>
      <c r="AD67" s="195"/>
      <c r="AE67" s="191"/>
      <c r="AF67" s="256"/>
      <c r="AG67" s="257"/>
      <c r="AH67" s="195"/>
      <c r="AI67" s="191"/>
      <c r="AJ67" s="256"/>
      <c r="AK67" s="257"/>
      <c r="AL67" s="195"/>
      <c r="AM67" s="191"/>
      <c r="AN67" s="256"/>
      <c r="AO67" s="257"/>
      <c r="AP67" s="195"/>
      <c r="AQ67" s="191"/>
      <c r="AR67" s="246"/>
      <c r="AS67" s="247"/>
      <c r="AT67" s="195"/>
      <c r="AU67" s="191"/>
      <c r="AV67" s="246"/>
      <c r="AW67" s="247"/>
      <c r="AX67" s="195"/>
    </row>
    <row r="68" spans="3:50">
      <c r="C68" s="191"/>
      <c r="D68" s="246"/>
      <c r="E68" s="247"/>
      <c r="F68" s="193"/>
      <c r="G68" s="191"/>
      <c r="H68" s="246"/>
      <c r="I68" s="247"/>
      <c r="J68" s="195"/>
      <c r="K68" s="191"/>
      <c r="L68" s="246"/>
      <c r="M68" s="247"/>
      <c r="N68" s="195"/>
      <c r="O68" s="191"/>
      <c r="P68" s="246"/>
      <c r="Q68" s="247"/>
      <c r="R68" s="195"/>
      <c r="S68" s="191"/>
      <c r="T68" s="256"/>
      <c r="U68" s="257"/>
      <c r="V68" s="195"/>
      <c r="W68" s="191"/>
      <c r="X68" s="256"/>
      <c r="Y68" s="257"/>
      <c r="Z68" s="195"/>
      <c r="AA68" s="191"/>
      <c r="AB68" s="256"/>
      <c r="AC68" s="257"/>
      <c r="AD68" s="195"/>
      <c r="AE68" s="191"/>
      <c r="AF68" s="256"/>
      <c r="AG68" s="257"/>
      <c r="AH68" s="195"/>
      <c r="AI68" s="191"/>
      <c r="AJ68" s="256"/>
      <c r="AK68" s="257"/>
      <c r="AL68" s="195"/>
      <c r="AM68" s="191"/>
      <c r="AN68" s="256"/>
      <c r="AO68" s="257"/>
      <c r="AP68" s="195"/>
      <c r="AQ68" s="191"/>
      <c r="AR68" s="246"/>
      <c r="AS68" s="247"/>
      <c r="AT68" s="195"/>
      <c r="AU68" s="191"/>
      <c r="AV68" s="246"/>
      <c r="AW68" s="247"/>
      <c r="AX68" s="195"/>
    </row>
    <row r="69" spans="3:50">
      <c r="C69" s="191"/>
      <c r="D69" s="246"/>
      <c r="E69" s="247"/>
      <c r="F69" s="193"/>
      <c r="G69" s="191"/>
      <c r="H69" s="246"/>
      <c r="I69" s="247"/>
      <c r="J69" s="195"/>
      <c r="K69" s="191"/>
      <c r="L69" s="246"/>
      <c r="M69" s="247"/>
      <c r="N69" s="195"/>
      <c r="O69" s="191"/>
      <c r="P69" s="246"/>
      <c r="Q69" s="247"/>
      <c r="R69" s="195"/>
      <c r="S69" s="191"/>
      <c r="T69" s="256"/>
      <c r="U69" s="257"/>
      <c r="V69" s="195"/>
      <c r="W69" s="191"/>
      <c r="X69" s="256"/>
      <c r="Y69" s="257"/>
      <c r="Z69" s="195"/>
      <c r="AA69" s="191"/>
      <c r="AB69" s="256"/>
      <c r="AC69" s="257"/>
      <c r="AD69" s="195"/>
      <c r="AE69" s="191"/>
      <c r="AF69" s="256"/>
      <c r="AG69" s="257"/>
      <c r="AH69" s="195"/>
      <c r="AI69" s="191"/>
      <c r="AJ69" s="256"/>
      <c r="AK69" s="257"/>
      <c r="AL69" s="195"/>
      <c r="AM69" s="191"/>
      <c r="AN69" s="256"/>
      <c r="AO69" s="257"/>
      <c r="AP69" s="195"/>
      <c r="AQ69" s="191"/>
      <c r="AR69" s="246"/>
      <c r="AS69" s="247"/>
      <c r="AT69" s="195"/>
      <c r="AU69" s="191"/>
      <c r="AV69" s="246"/>
      <c r="AW69" s="247"/>
      <c r="AX69" s="195"/>
    </row>
    <row r="70" spans="3:50">
      <c r="C70" s="191"/>
      <c r="D70" s="246"/>
      <c r="E70" s="247"/>
      <c r="F70" s="193"/>
      <c r="G70" s="191"/>
      <c r="H70" s="246"/>
      <c r="I70" s="247"/>
      <c r="J70" s="195"/>
      <c r="K70" s="191"/>
      <c r="L70" s="246"/>
      <c r="M70" s="247"/>
      <c r="N70" s="195"/>
      <c r="O70" s="191"/>
      <c r="P70" s="246"/>
      <c r="Q70" s="247"/>
      <c r="R70" s="195"/>
      <c r="S70" s="191"/>
      <c r="T70" s="256"/>
      <c r="U70" s="257"/>
      <c r="V70" s="195"/>
      <c r="W70" s="191"/>
      <c r="X70" s="246" t="s">
        <v>442</v>
      </c>
      <c r="Y70" s="247"/>
      <c r="Z70" s="195">
        <f>3289.11+270.87</f>
        <v>3559.98</v>
      </c>
      <c r="AA70" s="191"/>
      <c r="AB70" s="256"/>
      <c r="AC70" s="257"/>
      <c r="AD70" s="195"/>
      <c r="AE70" s="191"/>
      <c r="AF70" s="256"/>
      <c r="AG70" s="257"/>
      <c r="AH70" s="195"/>
      <c r="AI70" s="191"/>
      <c r="AJ70" s="256"/>
      <c r="AK70" s="257"/>
      <c r="AL70" s="195"/>
      <c r="AM70" s="191"/>
      <c r="AN70" s="256"/>
      <c r="AO70" s="257"/>
      <c r="AP70" s="195"/>
      <c r="AQ70" s="191"/>
      <c r="AR70" s="246"/>
      <c r="AS70" s="247"/>
      <c r="AT70" s="195"/>
      <c r="AU70" s="191"/>
      <c r="AV70" s="246"/>
      <c r="AW70" s="247"/>
      <c r="AX70" s="195"/>
    </row>
    <row r="71" spans="3:50" ht="15.75" thickBot="1">
      <c r="C71" s="192"/>
      <c r="D71" s="244"/>
      <c r="E71" s="245"/>
      <c r="F71" s="194"/>
      <c r="G71" s="192"/>
      <c r="H71" s="244"/>
      <c r="I71" s="245"/>
      <c r="J71" s="196"/>
      <c r="K71" s="192"/>
      <c r="L71" s="244"/>
      <c r="M71" s="245"/>
      <c r="N71" s="196"/>
      <c r="O71" s="192"/>
      <c r="P71" s="244"/>
      <c r="Q71" s="245"/>
      <c r="R71" s="196"/>
      <c r="S71" s="192"/>
      <c r="T71" s="258"/>
      <c r="U71" s="259"/>
      <c r="V71" s="196"/>
      <c r="W71" s="192"/>
      <c r="X71" s="260" t="s">
        <v>443</v>
      </c>
      <c r="Y71" s="261"/>
      <c r="Z71" s="196">
        <f>Z70-1484.91-429.89</f>
        <v>1645.1799999999998</v>
      </c>
      <c r="AA71" s="192"/>
      <c r="AB71" s="258"/>
      <c r="AC71" s="259"/>
      <c r="AD71" s="196"/>
      <c r="AE71" s="192"/>
      <c r="AF71" s="258"/>
      <c r="AG71" s="259"/>
      <c r="AH71" s="196"/>
      <c r="AI71" s="192"/>
      <c r="AJ71" s="258"/>
      <c r="AK71" s="259"/>
      <c r="AL71" s="196"/>
      <c r="AM71" s="192"/>
      <c r="AN71" s="258"/>
      <c r="AO71" s="259"/>
      <c r="AP71" s="196"/>
      <c r="AQ71" s="192"/>
      <c r="AR71" s="244"/>
      <c r="AS71" s="245"/>
      <c r="AT71" s="196"/>
      <c r="AU71" s="192"/>
      <c r="AV71" s="244"/>
      <c r="AW71" s="245"/>
      <c r="AX71" s="196"/>
    </row>
    <row r="72" spans="3:50">
      <c r="Z72">
        <f>Z71/Z70</f>
        <v>0.46213180972926809</v>
      </c>
    </row>
    <row r="75" spans="3:50">
      <c r="Z75" s="210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20" location="'05'!B2:G20" display="ABRIL"/>
    <hyperlink ref="S21" location="'05'!B22:G40" display="ABRIL"/>
    <hyperlink ref="S22" location="'05'!B42:G6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78" workbookViewId="0">
      <selection activeCell="A278"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78" workbookViewId="0">
      <selection activeCell="F509" sqref="F509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9"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30"/>
      <c r="E1" s="131"/>
    </row>
    <row r="2" spans="1:13" ht="12.75" customHeight="1">
      <c r="A2" s="132" t="s">
        <v>140</v>
      </c>
      <c r="B2" s="131"/>
      <c r="E2" s="131"/>
    </row>
    <row r="3" spans="1:13" ht="12.75" customHeight="1">
      <c r="D3" s="133"/>
      <c r="E3" s="134"/>
    </row>
    <row r="4" spans="1:13" ht="12.75" customHeight="1">
      <c r="A4" t="s">
        <v>141</v>
      </c>
      <c r="B4">
        <v>134748.99</v>
      </c>
      <c r="E4" s="130"/>
    </row>
    <row r="5" spans="1:13" ht="12.75" customHeight="1">
      <c r="A5" t="s">
        <v>142</v>
      </c>
      <c r="B5" s="135">
        <f ca="1">(12*(2048 - YEAR(TODAY())))+4-MONTH("1/10/2018")</f>
        <v>354</v>
      </c>
      <c r="C5">
        <f>MONTH(SUM(Historico!H22:'Historico'!H62))</f>
        <v>5</v>
      </c>
      <c r="E5" s="131"/>
      <c r="J5" s="136" t="s">
        <v>143</v>
      </c>
      <c r="L5" s="133" t="s">
        <v>144</v>
      </c>
      <c r="M5" t="s">
        <v>145</v>
      </c>
    </row>
    <row r="6" spans="1:13" ht="12.75" customHeight="1">
      <c r="A6" t="s">
        <v>146</v>
      </c>
      <c r="B6" s="137">
        <f>E19</f>
        <v>-0.191</v>
      </c>
      <c r="C6" s="133" t="s">
        <v>147</v>
      </c>
      <c r="D6" s="132" t="s">
        <v>148</v>
      </c>
      <c r="E6" s="131"/>
      <c r="J6" t="s">
        <v>149</v>
      </c>
      <c r="K6" s="138">
        <f ca="1">B4-B15</f>
        <v>134385.37955862808</v>
      </c>
      <c r="L6" s="125">
        <f>B4*(E8/100)</f>
        <v>34.69786492499999</v>
      </c>
      <c r="M6" s="138">
        <f ca="1">B13-L6</f>
        <v>363.6104413719047</v>
      </c>
    </row>
    <row r="7" spans="1:13" ht="12.75" customHeight="1">
      <c r="E7" s="131"/>
      <c r="J7" t="s">
        <v>150</v>
      </c>
      <c r="K7" s="138">
        <f ca="1">K6-(B13-L7)</f>
        <v>134021.67548756753</v>
      </c>
      <c r="L7" s="125">
        <f ca="1">(K6*(E8/100))</f>
        <v>34.604235236346724</v>
      </c>
      <c r="M7" s="138">
        <f ca="1">B13-L7</f>
        <v>363.70407106055796</v>
      </c>
    </row>
    <row r="8" spans="1:13" ht="12.75" customHeight="1">
      <c r="B8" s="131"/>
      <c r="D8" t="s">
        <v>151</v>
      </c>
      <c r="E8" s="139">
        <f>(B6+0.5)/12</f>
        <v>2.5749999999999999E-2</v>
      </c>
      <c r="J8" t="s">
        <v>152</v>
      </c>
      <c r="K8" s="138">
        <f ca="1">K7-(B13-L8)</f>
        <v>133657.87776270867</v>
      </c>
      <c r="L8" s="125">
        <f ca="1">(K7*(E8/100))</f>
        <v>34.510581438048632</v>
      </c>
      <c r="M8" s="138">
        <f ca="1">B13-L8</f>
        <v>363.79772485885604</v>
      </c>
    </row>
    <row r="9" spans="1:13" ht="12.75" customHeight="1">
      <c r="B9" s="131"/>
      <c r="D9" t="s">
        <v>153</v>
      </c>
      <c r="E9" s="139">
        <f>1+(E8/100)</f>
        <v>1.0002575</v>
      </c>
      <c r="J9" t="s">
        <v>154</v>
      </c>
      <c r="K9" s="138">
        <f ca="1">K8-(B13-L9)</f>
        <v>133293.98635993566</v>
      </c>
      <c r="L9" s="125">
        <f ca="1">(K8*(E8/100))</f>
        <v>34.416903523897481</v>
      </c>
      <c r="M9" s="138">
        <f ca="1">B13-L9</f>
        <v>363.8914027730072</v>
      </c>
    </row>
    <row r="10" spans="1:13" ht="12.75" customHeight="1">
      <c r="B10" s="131"/>
      <c r="D10" t="s">
        <v>155</v>
      </c>
      <c r="E10" s="139">
        <f ca="1">E9^-B5</f>
        <v>0.91288691604855532</v>
      </c>
      <c r="J10" t="s">
        <v>156</v>
      </c>
      <c r="K10" s="138">
        <f ca="1">K9-(B13-L10)</f>
        <v>132930.00125512644</v>
      </c>
      <c r="L10" s="125">
        <f ca="1">(K9*(E8/100))</f>
        <v>34.323201487683427</v>
      </c>
      <c r="M10" s="138">
        <f ca="1">B13-L10</f>
        <v>363.98510480922124</v>
      </c>
    </row>
    <row r="11" spans="1:13" ht="12.75" customHeight="1">
      <c r="A11" s="132" t="s">
        <v>157</v>
      </c>
      <c r="B11" s="131"/>
      <c r="D11" t="s">
        <v>158</v>
      </c>
      <c r="E11" s="139">
        <f ca="1">100*(1-E10)</f>
        <v>8.7113083951444672</v>
      </c>
      <c r="J11" t="s">
        <v>159</v>
      </c>
      <c r="K11" s="140">
        <f ca="1">K10-(B13-L11)</f>
        <v>132565.92242415273</v>
      </c>
      <c r="L11" s="125">
        <f ca="1">(K10*(E8/100))</f>
        <v>34.229475323195054</v>
      </c>
      <c r="M11" s="138">
        <f ca="1">B13-L11</f>
        <v>364.07883097370961</v>
      </c>
    </row>
    <row r="12" spans="1:13" ht="12.75" customHeight="1">
      <c r="B12" s="131"/>
      <c r="E12" s="131"/>
    </row>
    <row r="13" spans="1:13" ht="12.75" customHeight="1">
      <c r="A13" t="s">
        <v>160</v>
      </c>
      <c r="B13" s="141">
        <f ca="1">(B4*E8)/E11</f>
        <v>398.30830629690468</v>
      </c>
      <c r="E13" s="131"/>
      <c r="F13" s="133"/>
      <c r="G13" s="142"/>
      <c r="L13" s="143">
        <f ca="1">SUM(L6:L11)</f>
        <v>206.78226193417132</v>
      </c>
      <c r="M13" s="143">
        <f ca="1">SUM(M6:M11)</f>
        <v>2183.0675758472566</v>
      </c>
    </row>
    <row r="14" spans="1:13" ht="12.75" customHeight="1">
      <c r="A14" t="s">
        <v>161</v>
      </c>
      <c r="B14" s="144">
        <f>B4*(E8/100)</f>
        <v>34.69786492499999</v>
      </c>
      <c r="E14" s="131"/>
    </row>
    <row r="15" spans="1:13" ht="12.75" customHeight="1">
      <c r="A15" t="s">
        <v>162</v>
      </c>
      <c r="B15" s="144">
        <f ca="1">B13-B14</f>
        <v>363.6104413719047</v>
      </c>
      <c r="E15" s="131"/>
    </row>
    <row r="16" spans="1:13" ht="12.75" customHeight="1">
      <c r="B16" s="131"/>
      <c r="E16" s="131"/>
    </row>
    <row r="17" spans="1:9" ht="12.75" customHeight="1">
      <c r="B17" s="131"/>
      <c r="D17" t="s">
        <v>163</v>
      </c>
      <c r="E17" s="142">
        <f ca="1">B13-Historico!B21</f>
        <v>398.30986629690466</v>
      </c>
    </row>
    <row r="18" spans="1:9" ht="12.75" customHeight="1">
      <c r="B18" s="131"/>
      <c r="E18" s="131"/>
    </row>
    <row r="19" spans="1:9" ht="12.75" customHeight="1">
      <c r="B19" s="139"/>
      <c r="D19" t="s">
        <v>164</v>
      </c>
      <c r="E19" s="145">
        <f>E20/G45</f>
        <v>-0.191</v>
      </c>
      <c r="F19" t="s">
        <v>165</v>
      </c>
    </row>
    <row r="20" spans="1:9" ht="12.75" customHeight="1">
      <c r="B20" s="131"/>
      <c r="D20" t="s">
        <v>166</v>
      </c>
      <c r="E20" s="146">
        <f>SUM(E21:E54)</f>
        <v>-0.191</v>
      </c>
    </row>
    <row r="21" spans="1:9" ht="12.75" customHeight="1">
      <c r="E21" s="131">
        <v>-0.191</v>
      </c>
      <c r="F21">
        <v>1</v>
      </c>
      <c r="G21" s="146">
        <f>IF(E21="",0,1)</f>
        <v>1</v>
      </c>
      <c r="I21" s="131"/>
    </row>
    <row r="22" spans="1:9" ht="12.75" customHeight="1">
      <c r="A22" s="133" t="s">
        <v>167</v>
      </c>
      <c r="B22" s="142">
        <f ca="1">(B13-L6)+(B13-L7)+(B13-L8)+(B13-L9)+(B13-L10)+(B13-L11)</f>
        <v>2183.0675758472566</v>
      </c>
      <c r="C22" s="147">
        <f ca="1">B22/170000</f>
        <v>1.2841573975572097E-2</v>
      </c>
      <c r="E22" s="131"/>
      <c r="F22">
        <v>2</v>
      </c>
      <c r="G22" s="146">
        <f t="shared" ref="G22:G40" si="0">IF(E22="",0,1)</f>
        <v>0</v>
      </c>
    </row>
    <row r="23" spans="1:9" ht="12.75" customHeight="1">
      <c r="A23" t="s">
        <v>168</v>
      </c>
      <c r="B23" s="142">
        <f ca="1">K11</f>
        <v>132565.92242415273</v>
      </c>
      <c r="C23" s="148">
        <f>6/(40*6)</f>
        <v>2.5000000000000001E-2</v>
      </c>
      <c r="E23" s="131"/>
      <c r="F23">
        <v>5</v>
      </c>
      <c r="G23" s="146">
        <f t="shared" si="0"/>
        <v>0</v>
      </c>
    </row>
    <row r="24" spans="1:9" ht="12.75" customHeight="1">
      <c r="E24" s="131"/>
      <c r="F24">
        <v>6</v>
      </c>
      <c r="G24" s="146">
        <f t="shared" si="0"/>
        <v>0</v>
      </c>
    </row>
    <row r="25" spans="1:9" ht="12.75" customHeight="1">
      <c r="E25" s="131"/>
      <c r="F25">
        <v>7</v>
      </c>
      <c r="G25" s="146">
        <f t="shared" si="0"/>
        <v>0</v>
      </c>
    </row>
    <row r="26" spans="1:9" ht="12.75" customHeight="1">
      <c r="E26" s="131"/>
      <c r="F26">
        <v>8</v>
      </c>
      <c r="G26" s="146">
        <f t="shared" si="0"/>
        <v>0</v>
      </c>
    </row>
    <row r="27" spans="1:9" ht="12.75" customHeight="1">
      <c r="E27" s="131"/>
      <c r="F27">
        <v>9</v>
      </c>
      <c r="G27" s="146">
        <f t="shared" si="0"/>
        <v>0</v>
      </c>
    </row>
    <row r="28" spans="1:9" ht="12.75" customHeight="1">
      <c r="C28" s="148">
        <f>1-(35/40)</f>
        <v>0.125</v>
      </c>
      <c r="E28" s="131"/>
      <c r="F28">
        <v>12</v>
      </c>
      <c r="G28" s="146">
        <f t="shared" si="0"/>
        <v>0</v>
      </c>
    </row>
    <row r="29" spans="1:9" ht="12.75" customHeight="1">
      <c r="C29" s="148">
        <f>1-(B4/170000)</f>
        <v>0.2073588823529412</v>
      </c>
      <c r="E29" s="131"/>
      <c r="F29">
        <v>13</v>
      </c>
      <c r="G29" s="146">
        <f t="shared" si="0"/>
        <v>0</v>
      </c>
    </row>
    <row r="30" spans="1:9" ht="12.75" customHeight="1">
      <c r="C30" s="148">
        <f>C28-C29</f>
        <v>-8.2358882352941198E-2</v>
      </c>
      <c r="E30" s="131"/>
      <c r="F30">
        <v>14</v>
      </c>
      <c r="G30" s="146">
        <f t="shared" si="0"/>
        <v>0</v>
      </c>
    </row>
    <row r="31" spans="1:9" ht="12.75" customHeight="1">
      <c r="E31" s="131"/>
      <c r="F31">
        <v>15</v>
      </c>
      <c r="G31" s="146">
        <f t="shared" si="0"/>
        <v>0</v>
      </c>
    </row>
    <row r="32" spans="1:9" ht="12.75" customHeight="1">
      <c r="E32" s="131"/>
      <c r="F32">
        <v>16</v>
      </c>
      <c r="G32" s="146">
        <f t="shared" si="0"/>
        <v>0</v>
      </c>
    </row>
    <row r="33" spans="2:7" ht="12.75" customHeight="1">
      <c r="C33" s="148">
        <f>1-(((12*35)-6)/(40*12))</f>
        <v>0.13749999999999996</v>
      </c>
      <c r="E33" s="131"/>
      <c r="F33">
        <v>19</v>
      </c>
      <c r="G33" s="146">
        <f t="shared" si="0"/>
        <v>0</v>
      </c>
    </row>
    <row r="34" spans="2:7" ht="12.75" customHeight="1">
      <c r="C34" s="147">
        <f ca="1">1-(K11/170000)</f>
        <v>0.22020045632851337</v>
      </c>
      <c r="E34" s="131"/>
      <c r="F34">
        <v>20</v>
      </c>
      <c r="G34" s="146">
        <f t="shared" si="0"/>
        <v>0</v>
      </c>
    </row>
    <row r="35" spans="2:7" ht="12.75" customHeight="1">
      <c r="C35" s="147">
        <f ca="1">C33-C34</f>
        <v>-8.2700456328513416E-2</v>
      </c>
      <c r="E35" s="131"/>
      <c r="F35">
        <v>21</v>
      </c>
      <c r="G35" s="146">
        <f t="shared" si="0"/>
        <v>0</v>
      </c>
    </row>
    <row r="36" spans="2:7" ht="12.75" customHeight="1">
      <c r="E36" s="131"/>
      <c r="F36">
        <v>22</v>
      </c>
      <c r="G36" s="146">
        <f t="shared" si="0"/>
        <v>0</v>
      </c>
    </row>
    <row r="37" spans="2:7" ht="12.75" customHeight="1">
      <c r="E37" s="131"/>
      <c r="F37">
        <v>23</v>
      </c>
      <c r="G37" s="146">
        <f t="shared" si="0"/>
        <v>0</v>
      </c>
    </row>
    <row r="38" spans="2:7" ht="12.75" customHeight="1">
      <c r="E38" s="131"/>
      <c r="F38">
        <v>26</v>
      </c>
      <c r="G38" s="146">
        <f t="shared" si="0"/>
        <v>0</v>
      </c>
    </row>
    <row r="39" spans="2:7" ht="12.75" customHeight="1">
      <c r="E39" s="131"/>
      <c r="F39">
        <v>27</v>
      </c>
      <c r="G39" s="146">
        <f t="shared" si="0"/>
        <v>0</v>
      </c>
    </row>
    <row r="40" spans="2:7" ht="12.75" customHeight="1">
      <c r="E40" s="131"/>
      <c r="F40">
        <v>28</v>
      </c>
      <c r="G40" s="146">
        <f t="shared" si="0"/>
        <v>0</v>
      </c>
    </row>
    <row r="41" spans="2:7" ht="12.75" customHeight="1">
      <c r="E41" s="131"/>
      <c r="G41" s="146"/>
    </row>
    <row r="42" spans="2:7" ht="12.75" customHeight="1">
      <c r="E42" s="131"/>
      <c r="G42" s="146"/>
    </row>
    <row r="43" spans="2:7" ht="12.75" customHeight="1">
      <c r="B43" s="125"/>
      <c r="E43" s="131"/>
      <c r="G43" s="146"/>
    </row>
    <row r="45" spans="2:7" ht="12.75" customHeight="1">
      <c r="G45" s="146">
        <f>SUM(G21:G43)</f>
        <v>1</v>
      </c>
    </row>
    <row r="46" spans="2:7">
      <c r="B46" s="149"/>
    </row>
    <row r="56" spans="3:3">
      <c r="C56" s="125"/>
    </row>
    <row r="57" spans="3:3">
      <c r="C57" s="125"/>
    </row>
    <row r="58" spans="3:3">
      <c r="C58" s="1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9" sqref="E9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5">
        <v>258.47000000000003</v>
      </c>
    </row>
    <row r="2" spans="1:5" ht="15.75" thickBot="1">
      <c r="A2" s="185">
        <v>9486.92</v>
      </c>
      <c r="B2" s="153" t="s">
        <v>198</v>
      </c>
      <c r="C2" s="150" t="s">
        <v>199</v>
      </c>
      <c r="D2" s="152" t="s">
        <v>200</v>
      </c>
    </row>
    <row r="3" spans="1:5">
      <c r="B3" s="170">
        <v>43074</v>
      </c>
      <c r="C3" s="160">
        <v>0</v>
      </c>
      <c r="D3" s="156">
        <v>24736.65</v>
      </c>
      <c r="E3" t="s">
        <v>201</v>
      </c>
    </row>
    <row r="4" spans="1:5">
      <c r="B4" s="170">
        <f>EDATE(B3,1)</f>
        <v>43105</v>
      </c>
      <c r="C4" s="160">
        <f>C3+A$1</f>
        <v>258.47000000000003</v>
      </c>
      <c r="D4" s="156">
        <f>D3-A$1</f>
        <v>24478.18</v>
      </c>
      <c r="E4" t="s">
        <v>201</v>
      </c>
    </row>
    <row r="5" spans="1:5">
      <c r="B5" s="170">
        <f>EDATE(B4,1)</f>
        <v>43136</v>
      </c>
      <c r="C5" s="160">
        <f>C4+A$1</f>
        <v>516.94000000000005</v>
      </c>
      <c r="D5" s="156">
        <f t="shared" ref="D5:D61" si="0">D4-A$1</f>
        <v>24219.71</v>
      </c>
      <c r="E5" t="s">
        <v>201</v>
      </c>
    </row>
    <row r="6" spans="1:5">
      <c r="B6" s="170">
        <f t="shared" ref="B6:B63" si="1">EDATE(B5,1)</f>
        <v>43164</v>
      </c>
      <c r="C6" s="160">
        <f t="shared" ref="C6:C62" si="2">C5+A$1</f>
        <v>775.41000000000008</v>
      </c>
      <c r="D6" s="156">
        <f t="shared" si="0"/>
        <v>23961.239999999998</v>
      </c>
      <c r="E6" t="s">
        <v>201</v>
      </c>
    </row>
    <row r="7" spans="1:5">
      <c r="B7" s="170">
        <f t="shared" si="1"/>
        <v>43195</v>
      </c>
      <c r="C7" s="160">
        <f t="shared" si="2"/>
        <v>1033.8800000000001</v>
      </c>
      <c r="D7" s="156">
        <f t="shared" si="0"/>
        <v>23702.769999999997</v>
      </c>
      <c r="E7" t="s">
        <v>201</v>
      </c>
    </row>
    <row r="8" spans="1:5">
      <c r="B8" s="170">
        <f t="shared" si="1"/>
        <v>43225</v>
      </c>
      <c r="C8" s="160">
        <f t="shared" si="2"/>
        <v>1292.3500000000001</v>
      </c>
      <c r="D8" s="156">
        <f t="shared" si="0"/>
        <v>23444.299999999996</v>
      </c>
      <c r="E8" t="s">
        <v>201</v>
      </c>
    </row>
    <row r="9" spans="1:5">
      <c r="B9" s="170">
        <f t="shared" si="1"/>
        <v>43256</v>
      </c>
      <c r="C9" s="160">
        <f t="shared" si="2"/>
        <v>1550.8200000000002</v>
      </c>
      <c r="D9" s="156">
        <f t="shared" si="0"/>
        <v>23185.829999999994</v>
      </c>
      <c r="E9" t="s">
        <v>201</v>
      </c>
    </row>
    <row r="10" spans="1:5">
      <c r="B10" s="170">
        <f t="shared" si="1"/>
        <v>43286</v>
      </c>
      <c r="C10" s="160">
        <f t="shared" si="2"/>
        <v>1809.2900000000002</v>
      </c>
      <c r="D10" s="156">
        <f t="shared" si="0"/>
        <v>22927.359999999993</v>
      </c>
    </row>
    <row r="11" spans="1:5">
      <c r="B11" s="170">
        <f t="shared" si="1"/>
        <v>43317</v>
      </c>
      <c r="C11" s="160">
        <f t="shared" si="2"/>
        <v>2067.7600000000002</v>
      </c>
      <c r="D11" s="156">
        <f t="shared" si="0"/>
        <v>22668.889999999992</v>
      </c>
    </row>
    <row r="12" spans="1:5">
      <c r="B12" s="170">
        <f t="shared" si="1"/>
        <v>43348</v>
      </c>
      <c r="C12" s="160">
        <f t="shared" si="2"/>
        <v>2326.2300000000005</v>
      </c>
      <c r="D12" s="156">
        <f t="shared" si="0"/>
        <v>22410.419999999991</v>
      </c>
    </row>
    <row r="13" spans="1:5">
      <c r="B13" s="170">
        <f t="shared" si="1"/>
        <v>43378</v>
      </c>
      <c r="C13" s="160">
        <f t="shared" si="2"/>
        <v>2584.7000000000007</v>
      </c>
      <c r="D13" s="156">
        <f t="shared" si="0"/>
        <v>22151.94999999999</v>
      </c>
    </row>
    <row r="14" spans="1:5">
      <c r="B14" s="170">
        <f t="shared" si="1"/>
        <v>43409</v>
      </c>
      <c r="C14" s="160">
        <f t="shared" si="2"/>
        <v>2843.170000000001</v>
      </c>
      <c r="D14" s="156">
        <f t="shared" si="0"/>
        <v>21893.479999999989</v>
      </c>
    </row>
    <row r="15" spans="1:5">
      <c r="B15" s="170">
        <f t="shared" si="1"/>
        <v>43439</v>
      </c>
      <c r="C15" s="160">
        <f t="shared" si="2"/>
        <v>3101.6400000000012</v>
      </c>
      <c r="D15" s="156">
        <f t="shared" si="0"/>
        <v>21635.009999999987</v>
      </c>
    </row>
    <row r="16" spans="1:5">
      <c r="B16" s="170">
        <f t="shared" si="1"/>
        <v>43470</v>
      </c>
      <c r="C16" s="160">
        <f t="shared" si="2"/>
        <v>3360.1100000000015</v>
      </c>
      <c r="D16" s="156">
        <f t="shared" si="0"/>
        <v>21376.539999999986</v>
      </c>
    </row>
    <row r="17" spans="2:4">
      <c r="B17" s="170">
        <f t="shared" si="1"/>
        <v>43501</v>
      </c>
      <c r="C17" s="160">
        <f t="shared" si="2"/>
        <v>3618.5800000000017</v>
      </c>
      <c r="D17" s="156">
        <f t="shared" si="0"/>
        <v>21118.069999999985</v>
      </c>
    </row>
    <row r="18" spans="2:4">
      <c r="B18" s="170">
        <f t="shared" si="1"/>
        <v>43529</v>
      </c>
      <c r="C18" s="160">
        <f t="shared" si="2"/>
        <v>3877.050000000002</v>
      </c>
      <c r="D18" s="156">
        <f t="shared" si="0"/>
        <v>20859.599999999984</v>
      </c>
    </row>
    <row r="19" spans="2:4">
      <c r="B19" s="170">
        <f t="shared" si="1"/>
        <v>43560</v>
      </c>
      <c r="C19" s="160">
        <f t="shared" si="2"/>
        <v>4135.5200000000023</v>
      </c>
      <c r="D19" s="156">
        <f t="shared" si="0"/>
        <v>20601.129999999983</v>
      </c>
    </row>
    <row r="20" spans="2:4">
      <c r="B20" s="170">
        <f t="shared" si="1"/>
        <v>43590</v>
      </c>
      <c r="C20" s="160">
        <f t="shared" si="2"/>
        <v>4393.9900000000025</v>
      </c>
      <c r="D20" s="156">
        <f t="shared" si="0"/>
        <v>20342.659999999982</v>
      </c>
    </row>
    <row r="21" spans="2:4">
      <c r="B21" s="170">
        <f t="shared" si="1"/>
        <v>43621</v>
      </c>
      <c r="C21" s="160">
        <f t="shared" si="2"/>
        <v>4652.4600000000028</v>
      </c>
      <c r="D21" s="156">
        <f t="shared" si="0"/>
        <v>20084.189999999981</v>
      </c>
    </row>
    <row r="22" spans="2:4">
      <c r="B22" s="170">
        <f t="shared" si="1"/>
        <v>43651</v>
      </c>
      <c r="C22" s="160">
        <f t="shared" si="2"/>
        <v>4910.930000000003</v>
      </c>
      <c r="D22" s="156">
        <f t="shared" si="0"/>
        <v>19825.719999999979</v>
      </c>
    </row>
    <row r="23" spans="2:4">
      <c r="B23" s="170">
        <f t="shared" si="1"/>
        <v>43682</v>
      </c>
      <c r="C23" s="160">
        <f t="shared" si="2"/>
        <v>5169.4000000000033</v>
      </c>
      <c r="D23" s="156">
        <f t="shared" si="0"/>
        <v>19567.249999999978</v>
      </c>
    </row>
    <row r="24" spans="2:4">
      <c r="B24" s="170">
        <f t="shared" si="1"/>
        <v>43713</v>
      </c>
      <c r="C24" s="160">
        <f t="shared" si="2"/>
        <v>5427.8700000000035</v>
      </c>
      <c r="D24" s="156">
        <f t="shared" si="0"/>
        <v>19308.779999999977</v>
      </c>
    </row>
    <row r="25" spans="2:4">
      <c r="B25" s="170">
        <f t="shared" si="1"/>
        <v>43743</v>
      </c>
      <c r="C25" s="160">
        <f t="shared" si="2"/>
        <v>5686.3400000000038</v>
      </c>
      <c r="D25" s="156">
        <f t="shared" si="0"/>
        <v>19050.309999999976</v>
      </c>
    </row>
    <row r="26" spans="2:4">
      <c r="B26" s="170">
        <f t="shared" si="1"/>
        <v>43774</v>
      </c>
      <c r="C26" s="160">
        <f t="shared" si="2"/>
        <v>5944.810000000004</v>
      </c>
      <c r="D26" s="156">
        <f t="shared" si="0"/>
        <v>18791.839999999975</v>
      </c>
    </row>
    <row r="27" spans="2:4">
      <c r="B27" s="170">
        <f t="shared" si="1"/>
        <v>43804</v>
      </c>
      <c r="C27" s="160">
        <f t="shared" si="2"/>
        <v>6203.2800000000043</v>
      </c>
      <c r="D27" s="156">
        <f t="shared" si="0"/>
        <v>18533.369999999974</v>
      </c>
    </row>
    <row r="28" spans="2:4">
      <c r="B28" s="170">
        <f t="shared" si="1"/>
        <v>43835</v>
      </c>
      <c r="C28" s="160">
        <f t="shared" si="2"/>
        <v>6461.7500000000045</v>
      </c>
      <c r="D28" s="156">
        <f t="shared" si="0"/>
        <v>18274.899999999972</v>
      </c>
    </row>
    <row r="29" spans="2:4">
      <c r="B29" s="170">
        <f t="shared" si="1"/>
        <v>43866</v>
      </c>
      <c r="C29" s="160">
        <f t="shared" si="2"/>
        <v>6720.2200000000048</v>
      </c>
      <c r="D29" s="156">
        <f t="shared" si="0"/>
        <v>18016.429999999971</v>
      </c>
    </row>
    <row r="30" spans="2:4">
      <c r="B30" s="170">
        <f t="shared" si="1"/>
        <v>43895</v>
      </c>
      <c r="C30" s="160">
        <f t="shared" si="2"/>
        <v>6978.6900000000051</v>
      </c>
      <c r="D30" s="156">
        <f t="shared" si="0"/>
        <v>17757.95999999997</v>
      </c>
    </row>
    <row r="31" spans="2:4">
      <c r="B31" s="170">
        <f t="shared" si="1"/>
        <v>43926</v>
      </c>
      <c r="C31" s="160">
        <f t="shared" si="2"/>
        <v>7237.1600000000053</v>
      </c>
      <c r="D31" s="156">
        <f t="shared" si="0"/>
        <v>17499.489999999969</v>
      </c>
    </row>
    <row r="32" spans="2:4">
      <c r="B32" s="170">
        <f t="shared" si="1"/>
        <v>43956</v>
      </c>
      <c r="C32" s="160">
        <f t="shared" si="2"/>
        <v>7495.6300000000056</v>
      </c>
      <c r="D32" s="156">
        <f t="shared" si="0"/>
        <v>17241.019999999968</v>
      </c>
    </row>
    <row r="33" spans="2:4">
      <c r="B33" s="170">
        <f t="shared" si="1"/>
        <v>43987</v>
      </c>
      <c r="C33" s="160">
        <f t="shared" si="2"/>
        <v>7754.1000000000058</v>
      </c>
      <c r="D33" s="156">
        <f t="shared" si="0"/>
        <v>16982.549999999967</v>
      </c>
    </row>
    <row r="34" spans="2:4">
      <c r="B34" s="170">
        <f t="shared" si="1"/>
        <v>44017</v>
      </c>
      <c r="C34" s="160">
        <f t="shared" si="2"/>
        <v>8012.5700000000061</v>
      </c>
      <c r="D34" s="156">
        <f t="shared" si="0"/>
        <v>16724.079999999965</v>
      </c>
    </row>
    <row r="35" spans="2:4">
      <c r="B35" s="170">
        <f t="shared" si="1"/>
        <v>44048</v>
      </c>
      <c r="C35" s="160">
        <f t="shared" si="2"/>
        <v>8271.0400000000063</v>
      </c>
      <c r="D35" s="156">
        <f t="shared" si="0"/>
        <v>16465.609999999964</v>
      </c>
    </row>
    <row r="36" spans="2:4">
      <c r="B36" s="170">
        <f t="shared" si="1"/>
        <v>44079</v>
      </c>
      <c r="C36" s="160">
        <f t="shared" si="2"/>
        <v>8529.5100000000057</v>
      </c>
      <c r="D36" s="156">
        <f t="shared" si="0"/>
        <v>16207.139999999965</v>
      </c>
    </row>
    <row r="37" spans="2:4">
      <c r="B37" s="170">
        <f t="shared" si="1"/>
        <v>44109</v>
      </c>
      <c r="C37" s="160">
        <f t="shared" si="2"/>
        <v>8787.980000000005</v>
      </c>
      <c r="D37" s="156">
        <f t="shared" si="0"/>
        <v>15948.669999999966</v>
      </c>
    </row>
    <row r="38" spans="2:4">
      <c r="B38" s="170">
        <f t="shared" si="1"/>
        <v>44140</v>
      </c>
      <c r="C38" s="160">
        <f t="shared" si="2"/>
        <v>9046.4500000000044</v>
      </c>
      <c r="D38" s="156">
        <f t="shared" si="0"/>
        <v>15690.199999999966</v>
      </c>
    </row>
    <row r="39" spans="2:4">
      <c r="B39" s="170">
        <f t="shared" si="1"/>
        <v>44170</v>
      </c>
      <c r="C39" s="160">
        <f t="shared" si="2"/>
        <v>9304.9200000000037</v>
      </c>
      <c r="D39" s="156">
        <f t="shared" si="0"/>
        <v>15431.729999999967</v>
      </c>
    </row>
    <row r="40" spans="2:4">
      <c r="B40" s="170">
        <f t="shared" si="1"/>
        <v>44201</v>
      </c>
      <c r="C40" s="160">
        <f t="shared" si="2"/>
        <v>9563.3900000000031</v>
      </c>
      <c r="D40" s="156">
        <f>D39-A$1</f>
        <v>15173.259999999967</v>
      </c>
    </row>
    <row r="41" spans="2:4">
      <c r="B41" s="170">
        <f t="shared" si="1"/>
        <v>44232</v>
      </c>
      <c r="C41" s="160">
        <f t="shared" si="2"/>
        <v>9821.8600000000024</v>
      </c>
      <c r="D41" s="156">
        <f t="shared" si="0"/>
        <v>14914.789999999968</v>
      </c>
    </row>
    <row r="42" spans="2:4">
      <c r="B42" s="170">
        <f t="shared" si="1"/>
        <v>44260</v>
      </c>
      <c r="C42" s="160">
        <f t="shared" si="2"/>
        <v>10080.330000000002</v>
      </c>
      <c r="D42" s="156">
        <f t="shared" si="0"/>
        <v>14656.319999999969</v>
      </c>
    </row>
    <row r="43" spans="2:4">
      <c r="B43" s="170">
        <f t="shared" si="1"/>
        <v>44291</v>
      </c>
      <c r="C43" s="160">
        <f t="shared" si="2"/>
        <v>10338.800000000001</v>
      </c>
      <c r="D43" s="156">
        <f t="shared" si="0"/>
        <v>14397.849999999969</v>
      </c>
    </row>
    <row r="44" spans="2:4">
      <c r="B44" s="170">
        <f t="shared" si="1"/>
        <v>44321</v>
      </c>
      <c r="C44" s="160">
        <f t="shared" si="2"/>
        <v>10597.27</v>
      </c>
      <c r="D44" s="156">
        <f t="shared" si="0"/>
        <v>14139.37999999997</v>
      </c>
    </row>
    <row r="45" spans="2:4">
      <c r="B45" s="170">
        <f t="shared" si="1"/>
        <v>44352</v>
      </c>
      <c r="C45" s="160">
        <f t="shared" si="2"/>
        <v>10855.74</v>
      </c>
      <c r="D45" s="156">
        <f t="shared" si="0"/>
        <v>13880.909999999971</v>
      </c>
    </row>
    <row r="46" spans="2:4">
      <c r="B46" s="170">
        <f t="shared" si="1"/>
        <v>44382</v>
      </c>
      <c r="C46" s="160">
        <f t="shared" si="2"/>
        <v>11114.21</v>
      </c>
      <c r="D46" s="156">
        <f t="shared" si="0"/>
        <v>13622.439999999971</v>
      </c>
    </row>
    <row r="47" spans="2:4">
      <c r="B47" s="170">
        <f t="shared" si="1"/>
        <v>44413</v>
      </c>
      <c r="C47" s="160">
        <f t="shared" si="2"/>
        <v>11372.679999999998</v>
      </c>
      <c r="D47" s="156">
        <f t="shared" si="0"/>
        <v>13363.969999999972</v>
      </c>
    </row>
    <row r="48" spans="2:4">
      <c r="B48" s="170">
        <f t="shared" si="1"/>
        <v>44444</v>
      </c>
      <c r="C48" s="160">
        <f t="shared" si="2"/>
        <v>11631.149999999998</v>
      </c>
      <c r="D48" s="156">
        <f t="shared" si="0"/>
        <v>13105.499999999973</v>
      </c>
    </row>
    <row r="49" spans="2:4">
      <c r="B49" s="170">
        <f t="shared" si="1"/>
        <v>44474</v>
      </c>
      <c r="C49" s="160">
        <f t="shared" si="2"/>
        <v>11889.619999999997</v>
      </c>
      <c r="D49" s="156">
        <f t="shared" si="0"/>
        <v>12847.029999999973</v>
      </c>
    </row>
    <row r="50" spans="2:4">
      <c r="B50" s="170">
        <f t="shared" si="1"/>
        <v>44505</v>
      </c>
      <c r="C50" s="160">
        <f t="shared" si="2"/>
        <v>12148.089999999997</v>
      </c>
      <c r="D50" s="156">
        <f t="shared" si="0"/>
        <v>12588.559999999974</v>
      </c>
    </row>
    <row r="51" spans="2:4">
      <c r="B51" s="170">
        <f t="shared" si="1"/>
        <v>44535</v>
      </c>
      <c r="C51" s="160">
        <f t="shared" si="2"/>
        <v>12406.559999999996</v>
      </c>
      <c r="D51" s="156">
        <f t="shared" si="0"/>
        <v>12330.089999999975</v>
      </c>
    </row>
    <row r="52" spans="2:4">
      <c r="B52" s="170">
        <f t="shared" si="1"/>
        <v>44566</v>
      </c>
      <c r="C52" s="160">
        <f t="shared" si="2"/>
        <v>12665.029999999995</v>
      </c>
      <c r="D52" s="156">
        <f t="shared" si="0"/>
        <v>12071.619999999975</v>
      </c>
    </row>
    <row r="53" spans="2:4">
      <c r="B53" s="170">
        <f t="shared" si="1"/>
        <v>44597</v>
      </c>
      <c r="C53" s="160">
        <f t="shared" si="2"/>
        <v>12923.499999999995</v>
      </c>
      <c r="D53" s="156">
        <f t="shared" si="0"/>
        <v>11813.149999999976</v>
      </c>
    </row>
    <row r="54" spans="2:4">
      <c r="B54" s="170">
        <f t="shared" si="1"/>
        <v>44625</v>
      </c>
      <c r="C54" s="160">
        <f t="shared" si="2"/>
        <v>13181.969999999994</v>
      </c>
      <c r="D54" s="156">
        <f>D53-A$1</f>
        <v>11554.679999999977</v>
      </c>
    </row>
    <row r="55" spans="2:4">
      <c r="B55" s="170">
        <f t="shared" si="1"/>
        <v>44656</v>
      </c>
      <c r="C55" s="160">
        <f t="shared" si="2"/>
        <v>13440.439999999993</v>
      </c>
      <c r="D55" s="156">
        <f t="shared" si="0"/>
        <v>11296.209999999977</v>
      </c>
    </row>
    <row r="56" spans="2:4">
      <c r="B56" s="170">
        <f t="shared" si="1"/>
        <v>44686</v>
      </c>
      <c r="C56" s="160">
        <f t="shared" si="2"/>
        <v>13698.909999999993</v>
      </c>
      <c r="D56" s="156">
        <f t="shared" si="0"/>
        <v>11037.739999999978</v>
      </c>
    </row>
    <row r="57" spans="2:4">
      <c r="B57" s="170">
        <f t="shared" si="1"/>
        <v>44717</v>
      </c>
      <c r="C57" s="160">
        <f t="shared" si="2"/>
        <v>13957.379999999992</v>
      </c>
      <c r="D57" s="156">
        <f t="shared" si="0"/>
        <v>10779.269999999979</v>
      </c>
    </row>
    <row r="58" spans="2:4">
      <c r="B58" s="170">
        <f t="shared" si="1"/>
        <v>44747</v>
      </c>
      <c r="C58" s="160">
        <f t="shared" si="2"/>
        <v>14215.849999999991</v>
      </c>
      <c r="D58" s="156">
        <f t="shared" si="0"/>
        <v>10520.799999999979</v>
      </c>
    </row>
    <row r="59" spans="2:4">
      <c r="B59" s="170">
        <f t="shared" si="1"/>
        <v>44778</v>
      </c>
      <c r="C59" s="160">
        <f t="shared" si="2"/>
        <v>14474.319999999991</v>
      </c>
      <c r="D59" s="156">
        <f t="shared" si="0"/>
        <v>10262.32999999998</v>
      </c>
    </row>
    <row r="60" spans="2:4">
      <c r="B60" s="170">
        <f t="shared" si="1"/>
        <v>44809</v>
      </c>
      <c r="C60" s="160">
        <f t="shared" si="2"/>
        <v>14732.78999999999</v>
      </c>
      <c r="D60" s="156">
        <f t="shared" si="0"/>
        <v>10003.859999999981</v>
      </c>
    </row>
    <row r="61" spans="2:4">
      <c r="B61" s="170">
        <f t="shared" si="1"/>
        <v>44839</v>
      </c>
      <c r="C61" s="160">
        <f t="shared" si="2"/>
        <v>14991.259999999989</v>
      </c>
      <c r="D61" s="156">
        <f t="shared" si="0"/>
        <v>9745.3899999999812</v>
      </c>
    </row>
    <row r="62" spans="2:4">
      <c r="B62" s="170">
        <f t="shared" si="1"/>
        <v>44870</v>
      </c>
      <c r="C62" s="160">
        <f t="shared" si="2"/>
        <v>15249.729999999989</v>
      </c>
      <c r="D62" s="156">
        <f>D61-A$1</f>
        <v>9486.9199999999819</v>
      </c>
    </row>
    <row r="63" spans="2:4" ht="15.75" thickBot="1">
      <c r="B63" s="186">
        <f t="shared" si="1"/>
        <v>44900</v>
      </c>
      <c r="C63" s="178">
        <f>C62+A$2</f>
        <v>24736.649999999987</v>
      </c>
      <c r="D63" s="175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N21" sqref="N21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50" t="s">
        <v>169</v>
      </c>
      <c r="B1" s="151" t="s">
        <v>170</v>
      </c>
      <c r="C1" s="152" t="s">
        <v>171</v>
      </c>
      <c r="D1" s="152" t="s">
        <v>172</v>
      </c>
      <c r="H1" s="153" t="s">
        <v>173</v>
      </c>
      <c r="I1" s="150" t="s">
        <v>174</v>
      </c>
      <c r="J1" s="152" t="s">
        <v>175</v>
      </c>
      <c r="K1" s="152" t="s">
        <v>176</v>
      </c>
      <c r="L1" s="152" t="s">
        <v>172</v>
      </c>
    </row>
    <row r="2" spans="1:12" ht="12.75" customHeight="1">
      <c r="A2" s="154">
        <v>39479</v>
      </c>
      <c r="B2" s="155" t="s">
        <v>177</v>
      </c>
      <c r="C2" s="156">
        <f>848.08</f>
        <v>848.08</v>
      </c>
      <c r="D2" s="157">
        <v>0</v>
      </c>
      <c r="F2" s="158">
        <f t="shared" ref="F2:F22" si="0">C2*6</f>
        <v>5088.4800000000005</v>
      </c>
      <c r="H2" s="159"/>
      <c r="I2" s="160"/>
      <c r="J2" s="156"/>
      <c r="K2" s="156"/>
      <c r="L2" s="157">
        <v>0</v>
      </c>
    </row>
    <row r="3" spans="1:12" ht="12.75" customHeight="1">
      <c r="A3" s="154">
        <v>39661</v>
      </c>
      <c r="B3" s="161">
        <v>5.323E-2</v>
      </c>
      <c r="C3" s="156">
        <v>914</v>
      </c>
      <c r="D3" s="162">
        <f t="shared" ref="D3:D15" si="1">C3-C2</f>
        <v>65.919999999999959</v>
      </c>
      <c r="F3" s="158">
        <f t="shared" si="0"/>
        <v>5484</v>
      </c>
      <c r="H3" s="159"/>
      <c r="I3" s="160"/>
      <c r="J3" s="156"/>
      <c r="K3" s="163"/>
      <c r="L3" s="162">
        <f t="shared" ref="L3:L16" si="2">K3-K2</f>
        <v>0</v>
      </c>
    </row>
    <row r="4" spans="1:12" ht="12.75" customHeight="1">
      <c r="A4" s="154">
        <v>39845</v>
      </c>
      <c r="B4" s="161">
        <v>2.1350000000000001E-2</v>
      </c>
      <c r="C4" s="156">
        <f>577.6</f>
        <v>577.6</v>
      </c>
      <c r="D4" s="162">
        <f t="shared" si="1"/>
        <v>-336.4</v>
      </c>
      <c r="F4" s="158">
        <f t="shared" si="0"/>
        <v>3465.6000000000004</v>
      </c>
      <c r="H4" s="159"/>
      <c r="I4" s="160"/>
      <c r="J4" s="156"/>
      <c r="K4" s="164"/>
      <c r="L4" s="162">
        <f t="shared" si="2"/>
        <v>0</v>
      </c>
    </row>
    <row r="5" spans="1:12" ht="12.75" customHeight="1">
      <c r="A5" s="154">
        <v>40026</v>
      </c>
      <c r="B5" s="161">
        <v>1.3339999999999999E-2</v>
      </c>
      <c r="C5" s="163">
        <v>505.94</v>
      </c>
      <c r="D5" s="162">
        <f t="shared" si="1"/>
        <v>-71.660000000000025</v>
      </c>
      <c r="F5" s="158">
        <f t="shared" si="0"/>
        <v>3035.64</v>
      </c>
      <c r="H5" s="159"/>
      <c r="I5" s="165"/>
      <c r="J5" s="163"/>
      <c r="K5" s="163"/>
      <c r="L5" s="162">
        <f t="shared" si="2"/>
        <v>0</v>
      </c>
    </row>
    <row r="6" spans="1:12" ht="12.75" customHeight="1">
      <c r="A6" s="154">
        <v>40210</v>
      </c>
      <c r="B6" s="161">
        <v>1.225E-2</v>
      </c>
      <c r="C6" s="163">
        <v>496.71</v>
      </c>
      <c r="D6" s="162">
        <f t="shared" si="1"/>
        <v>-9.2300000000000182</v>
      </c>
      <c r="F6" s="158">
        <f t="shared" si="0"/>
        <v>2980.2599999999998</v>
      </c>
      <c r="H6" s="159"/>
      <c r="I6" s="165"/>
      <c r="J6" s="163"/>
      <c r="K6" s="163"/>
      <c r="L6" s="162">
        <f t="shared" si="2"/>
        <v>0</v>
      </c>
    </row>
    <row r="7" spans="1:12" ht="12.75" customHeight="1">
      <c r="A7" s="154">
        <v>40391</v>
      </c>
      <c r="B7" s="161">
        <v>1.421E-2</v>
      </c>
      <c r="C7" s="163">
        <v>513.17999999999995</v>
      </c>
      <c r="D7" s="162">
        <f t="shared" si="1"/>
        <v>16.46999999999997</v>
      </c>
      <c r="F7" s="158">
        <f t="shared" si="0"/>
        <v>3079.08</v>
      </c>
      <c r="H7" s="159"/>
      <c r="I7" s="165"/>
      <c r="J7" s="163"/>
      <c r="K7" s="163"/>
      <c r="L7" s="162">
        <f t="shared" si="2"/>
        <v>0</v>
      </c>
    </row>
    <row r="8" spans="1:12" ht="12.75" customHeight="1">
      <c r="A8" s="154">
        <v>40575</v>
      </c>
      <c r="B8" s="161">
        <v>1.7139999999999999E-2</v>
      </c>
      <c r="C8" s="166">
        <v>538.1</v>
      </c>
      <c r="D8" s="162">
        <f t="shared" si="1"/>
        <v>24.920000000000073</v>
      </c>
      <c r="F8" s="158">
        <f t="shared" si="0"/>
        <v>3228.6000000000004</v>
      </c>
      <c r="H8" s="159"/>
      <c r="I8" s="167"/>
      <c r="J8" s="166"/>
      <c r="K8" s="163"/>
      <c r="L8" s="162">
        <f t="shared" si="2"/>
        <v>0</v>
      </c>
    </row>
    <row r="9" spans="1:12" ht="12.75" customHeight="1">
      <c r="A9" s="154">
        <v>40756</v>
      </c>
      <c r="B9" s="161">
        <v>2.0969999999999999E-2</v>
      </c>
      <c r="C9" s="163">
        <v>571.29</v>
      </c>
      <c r="D9" s="162">
        <f t="shared" si="1"/>
        <v>33.189999999999941</v>
      </c>
      <c r="F9" s="158">
        <f t="shared" si="0"/>
        <v>3427.74</v>
      </c>
      <c r="H9" s="159"/>
      <c r="I9" s="165"/>
      <c r="J9" s="163"/>
      <c r="K9" s="163"/>
      <c r="L9" s="162">
        <f t="shared" si="2"/>
        <v>0</v>
      </c>
    </row>
    <row r="10" spans="1:12" ht="12.75" customHeight="1">
      <c r="A10" s="168">
        <v>40940</v>
      </c>
      <c r="B10" s="161">
        <v>1.678E-2</v>
      </c>
      <c r="C10" s="163">
        <v>535.46</v>
      </c>
      <c r="D10" s="162">
        <f t="shared" si="1"/>
        <v>-35.829999999999927</v>
      </c>
      <c r="F10" s="158">
        <f t="shared" si="0"/>
        <v>3212.76</v>
      </c>
      <c r="H10" s="169"/>
      <c r="I10" s="165"/>
      <c r="J10" s="163"/>
      <c r="K10" s="163"/>
      <c r="L10" s="162">
        <f t="shared" si="2"/>
        <v>0</v>
      </c>
    </row>
    <row r="11" spans="1:12" ht="12.75" customHeight="1">
      <c r="A11" s="154">
        <v>41122</v>
      </c>
      <c r="B11" s="161">
        <f>(1.377-0.5)/100</f>
        <v>8.77E-3</v>
      </c>
      <c r="C11" s="163">
        <f>471.35</f>
        <v>471.35</v>
      </c>
      <c r="D11" s="162">
        <f t="shared" si="1"/>
        <v>-64.110000000000014</v>
      </c>
      <c r="F11" s="158">
        <f t="shared" si="0"/>
        <v>2828.1000000000004</v>
      </c>
      <c r="H11" s="159"/>
      <c r="I11" s="165"/>
      <c r="J11" s="163"/>
      <c r="K11" s="163"/>
      <c r="L11" s="162">
        <f t="shared" si="2"/>
        <v>0</v>
      </c>
    </row>
    <row r="12" spans="1:12" ht="12.75" customHeight="1">
      <c r="A12" s="154">
        <v>41306</v>
      </c>
      <c r="B12" s="161">
        <f>0.594/100</f>
        <v>5.94E-3</v>
      </c>
      <c r="C12" s="163">
        <v>450.15</v>
      </c>
      <c r="D12" s="162">
        <v>-21.2</v>
      </c>
      <c r="F12" s="158">
        <f t="shared" si="0"/>
        <v>2700.8999999999996</v>
      </c>
      <c r="H12" s="159"/>
      <c r="I12" s="165"/>
      <c r="J12" s="163"/>
      <c r="K12" s="163"/>
      <c r="L12" s="162">
        <v>0</v>
      </c>
    </row>
    <row r="13" spans="1:12" ht="12.75" customHeight="1">
      <c r="A13" s="154">
        <v>41487</v>
      </c>
      <c r="B13" s="161">
        <f>0.542/100</f>
        <v>5.4200000000000003E-3</v>
      </c>
      <c r="C13" s="163">
        <v>446.36</v>
      </c>
      <c r="D13" s="162">
        <v>-3.77</v>
      </c>
      <c r="F13" s="158">
        <f t="shared" si="0"/>
        <v>2678.16</v>
      </c>
      <c r="H13" s="159"/>
      <c r="I13" s="165"/>
      <c r="J13" s="163"/>
      <c r="K13" s="163"/>
      <c r="L13" s="162">
        <v>0</v>
      </c>
    </row>
    <row r="14" spans="1:12" ht="12.75" customHeight="1">
      <c r="A14" s="154">
        <v>41671</v>
      </c>
      <c r="B14" s="161">
        <f>0.549/100</f>
        <v>5.4900000000000001E-3</v>
      </c>
      <c r="C14" s="163">
        <f>446.86</f>
        <v>446.86</v>
      </c>
      <c r="D14" s="162">
        <f t="shared" si="1"/>
        <v>0.5</v>
      </c>
      <c r="F14" s="158">
        <f t="shared" si="0"/>
        <v>2681.16</v>
      </c>
      <c r="H14" s="170">
        <f>EDATE(A14,2)</f>
        <v>41730</v>
      </c>
      <c r="I14" s="171">
        <v>153293.20000000001</v>
      </c>
      <c r="J14" s="163">
        <v>15951.99</v>
      </c>
      <c r="K14" s="172">
        <f t="shared" ref="K14:K19" si="3">J14-I14</f>
        <v>-137341.21000000002</v>
      </c>
      <c r="L14" s="162">
        <f t="shared" si="2"/>
        <v>-137341.21000000002</v>
      </c>
    </row>
    <row r="15" spans="1:12" ht="12.75" customHeight="1">
      <c r="A15" s="154">
        <f>EDATE(A14,6)</f>
        <v>41852</v>
      </c>
      <c r="B15" s="161">
        <f>(0.969-0.5)/100</f>
        <v>4.6899999999999997E-3</v>
      </c>
      <c r="C15" s="163">
        <f>318.97+122.27</f>
        <v>441.24</v>
      </c>
      <c r="D15" s="162">
        <f t="shared" si="1"/>
        <v>-5.6200000000000045</v>
      </c>
      <c r="F15" s="158">
        <f t="shared" si="0"/>
        <v>2647.44</v>
      </c>
      <c r="H15" s="170">
        <f t="shared" ref="H15:H62" si="4">EDATE(A15,2)</f>
        <v>41913</v>
      </c>
      <c r="I15" s="165">
        <f>151411.95+18544.65-(198.04*2)</f>
        <v>169560.52000000002</v>
      </c>
      <c r="J15" s="163">
        <v>17897.71</v>
      </c>
      <c r="K15" s="172">
        <f t="shared" si="3"/>
        <v>-151662.81000000003</v>
      </c>
      <c r="L15" s="162">
        <f t="shared" si="2"/>
        <v>-14321.600000000006</v>
      </c>
    </row>
    <row r="16" spans="1:12" ht="12.75" customHeight="1">
      <c r="A16" s="154">
        <f t="shared" ref="A16:A62" si="5">EDATE(A15,6)</f>
        <v>42036</v>
      </c>
      <c r="B16" s="161">
        <f>0.00255</f>
        <v>2.5500000000000002E-3</v>
      </c>
      <c r="C16" s="163">
        <f>426.61</f>
        <v>426.61</v>
      </c>
      <c r="D16" s="162">
        <f>C16-C15</f>
        <v>-14.629999999999995</v>
      </c>
      <c r="F16" s="158">
        <f t="shared" si="0"/>
        <v>2559.66</v>
      </c>
      <c r="H16" s="170">
        <f t="shared" si="4"/>
        <v>42095</v>
      </c>
      <c r="I16" s="165">
        <f>149494.24+18544.65-(198.04*(2+6))</f>
        <v>166454.56999999998</v>
      </c>
      <c r="J16" s="163">
        <v>20433.009999999998</v>
      </c>
      <c r="K16" s="172">
        <f t="shared" si="3"/>
        <v>-146021.55999999997</v>
      </c>
      <c r="L16" s="162">
        <f t="shared" si="2"/>
        <v>5641.2500000000582</v>
      </c>
    </row>
    <row r="17" spans="1:12" ht="12.75" customHeight="1">
      <c r="A17" s="154">
        <f t="shared" si="5"/>
        <v>42217</v>
      </c>
      <c r="B17" s="161">
        <v>1.6138095238095241E-3</v>
      </c>
      <c r="C17" s="163">
        <v>420.38</v>
      </c>
      <c r="D17" s="162">
        <f>C17-C16</f>
        <v>-6.2300000000000182</v>
      </c>
      <c r="F17" s="158">
        <f t="shared" si="0"/>
        <v>2522.2799999999997</v>
      </c>
      <c r="H17" s="170">
        <f t="shared" si="4"/>
        <v>42278</v>
      </c>
      <c r="I17" s="165">
        <f>147495.79+18544.65-(198.04*(2+12))</f>
        <v>163267.88</v>
      </c>
      <c r="J17" s="163">
        <v>17715.88</v>
      </c>
      <c r="K17" s="172">
        <f t="shared" si="3"/>
        <v>-145552</v>
      </c>
      <c r="L17" s="162">
        <f t="shared" ref="L17:L22" si="6">K17-K16</f>
        <v>469.55999999996857</v>
      </c>
    </row>
    <row r="18" spans="1:12" ht="12.75" customHeight="1">
      <c r="A18" s="154">
        <f t="shared" si="5"/>
        <v>42401</v>
      </c>
      <c r="B18" s="161">
        <f>-0.00008</f>
        <v>-8.0000000000000007E-5</v>
      </c>
      <c r="C18" s="163">
        <v>409.48</v>
      </c>
      <c r="D18" s="162">
        <v>-10.89</v>
      </c>
      <c r="F18" s="158">
        <f t="shared" si="0"/>
        <v>2456.88</v>
      </c>
      <c r="H18" s="170">
        <f t="shared" si="4"/>
        <v>42461</v>
      </c>
      <c r="I18" s="165">
        <f>145458.18+18544.65-(198.04*(2+18))</f>
        <v>160042.03</v>
      </c>
      <c r="J18" s="163">
        <f>1167.12+4510.82+2610.71+5004.39+800+2627.7+1337.06</f>
        <v>18057.800000000003</v>
      </c>
      <c r="K18" s="172">
        <f t="shared" si="3"/>
        <v>-141984.22999999998</v>
      </c>
      <c r="L18" s="162">
        <f t="shared" si="6"/>
        <v>3567.7700000000186</v>
      </c>
    </row>
    <row r="19" spans="1:12" ht="12.75" customHeight="1">
      <c r="A19" s="154">
        <f t="shared" si="5"/>
        <v>42583</v>
      </c>
      <c r="B19" s="161">
        <f>-0.048%</f>
        <v>-4.8000000000000001E-4</v>
      </c>
      <c r="C19" s="163">
        <v>406.97</v>
      </c>
      <c r="D19" s="162">
        <f>C19-C18</f>
        <v>-2.5099999999999909</v>
      </c>
      <c r="F19" s="158">
        <f t="shared" si="0"/>
        <v>2441.8200000000002</v>
      </c>
      <c r="H19" s="170">
        <f t="shared" si="4"/>
        <v>42644</v>
      </c>
      <c r="I19" s="165">
        <f>143356.97+18544.65-(198.04*(2+24))</f>
        <v>156752.57999999999</v>
      </c>
      <c r="J19" s="163">
        <f>18827.92-5007.8+(833*5.448)</f>
        <v>18358.304</v>
      </c>
      <c r="K19" s="172">
        <f t="shared" si="3"/>
        <v>-138394.27599999998</v>
      </c>
      <c r="L19" s="162">
        <f t="shared" si="6"/>
        <v>3589.9539999999979</v>
      </c>
    </row>
    <row r="20" spans="1:12" ht="12.75" customHeight="1">
      <c r="A20" s="154">
        <f t="shared" si="5"/>
        <v>42767</v>
      </c>
      <c r="B20" s="161">
        <f>-0.00106</f>
        <v>-1.06E-3</v>
      </c>
      <c r="C20" s="163">
        <v>403.39</v>
      </c>
      <c r="D20" s="162">
        <f>C20-C19</f>
        <v>-3.5800000000000409</v>
      </c>
      <c r="F20" s="158">
        <f t="shared" si="0"/>
        <v>2420.34</v>
      </c>
      <c r="H20" s="170">
        <f t="shared" si="4"/>
        <v>42826</v>
      </c>
      <c r="I20" s="165">
        <f>141384.89+18544.65-(198.04*(2+30))</f>
        <v>153592.26</v>
      </c>
      <c r="J20" s="163">
        <f>19200-5007.8+(833*7.9)</f>
        <v>20772.900000000001</v>
      </c>
      <c r="K20" s="172">
        <f>J20-I20</f>
        <v>-132819.36000000002</v>
      </c>
      <c r="L20" s="162">
        <f t="shared" si="6"/>
        <v>5574.9159999999683</v>
      </c>
    </row>
    <row r="21" spans="1:12" ht="12.75" customHeight="1">
      <c r="A21" s="154">
        <f t="shared" si="5"/>
        <v>42948</v>
      </c>
      <c r="B21" s="161">
        <v>-1.56E-3</v>
      </c>
      <c r="C21" s="163">
        <v>400.38</v>
      </c>
      <c r="D21" s="162">
        <f>C21-C20</f>
        <v>-3.0099999999999909</v>
      </c>
      <c r="F21" s="158">
        <f t="shared" si="0"/>
        <v>2402.2799999999997</v>
      </c>
      <c r="H21" s="170">
        <f t="shared" si="4"/>
        <v>43009</v>
      </c>
      <c r="I21" s="165">
        <f>139093.28+18544.65-(198.04*(2+36))</f>
        <v>150112.41</v>
      </c>
      <c r="J21" s="163">
        <f>11743+(306*21.51)</f>
        <v>18325.060000000001</v>
      </c>
      <c r="K21" s="172">
        <f>J21-I21</f>
        <v>-131787.35</v>
      </c>
      <c r="L21" s="162">
        <f t="shared" si="6"/>
        <v>1032.0100000000093</v>
      </c>
    </row>
    <row r="22" spans="1:12" ht="12.75" customHeight="1">
      <c r="A22" s="154">
        <f t="shared" si="5"/>
        <v>43132</v>
      </c>
      <c r="B22" s="161">
        <v>-1.9124999999999997E-3</v>
      </c>
      <c r="C22" s="163">
        <v>398.31</v>
      </c>
      <c r="D22" s="162">
        <f>C22-C21</f>
        <v>-2.0699999999999932</v>
      </c>
      <c r="F22" s="158">
        <f t="shared" si="0"/>
        <v>2389.86</v>
      </c>
      <c r="H22" s="170">
        <f t="shared" si="4"/>
        <v>43191</v>
      </c>
      <c r="I22" s="165">
        <f>136928.69+Coche!D6</f>
        <v>160889.93</v>
      </c>
      <c r="J22" s="163">
        <v>20719.909999999996</v>
      </c>
      <c r="K22" s="172">
        <f>J22-I22</f>
        <v>-140170.01999999999</v>
      </c>
      <c r="L22" s="162">
        <f t="shared" si="6"/>
        <v>-8382.6699999999837</v>
      </c>
    </row>
    <row r="23" spans="1:12" ht="12.75" customHeight="1">
      <c r="A23" s="154">
        <f t="shared" si="5"/>
        <v>43313</v>
      </c>
      <c r="B23" s="161">
        <f>Hipoteca!B$6/100</f>
        <v>-1.91E-3</v>
      </c>
      <c r="C23" s="163">
        <f ca="1">Hipoteca!B$13</f>
        <v>398.30830629690468</v>
      </c>
      <c r="D23" s="162">
        <f ca="1">C23-C22</f>
        <v>-1.693703095327237E-3</v>
      </c>
      <c r="H23" s="170">
        <f t="shared" si="4"/>
        <v>43374</v>
      </c>
      <c r="I23" s="165">
        <f>134748.99+Coche!D12</f>
        <v>157159.40999999997</v>
      </c>
      <c r="J23" s="163"/>
      <c r="K23" s="163"/>
      <c r="L23" s="162"/>
    </row>
    <row r="24" spans="1:12" ht="12.75" customHeight="1">
      <c r="A24" s="154">
        <f t="shared" si="5"/>
        <v>43497</v>
      </c>
      <c r="B24" s="161"/>
      <c r="C24" s="163"/>
      <c r="D24" s="162"/>
      <c r="H24" s="170">
        <f t="shared" si="4"/>
        <v>43556</v>
      </c>
      <c r="I24" s="165"/>
      <c r="J24" s="163"/>
      <c r="K24" s="163"/>
      <c r="L24" s="162"/>
    </row>
    <row r="25" spans="1:12" ht="12.75" customHeight="1">
      <c r="A25" s="154">
        <f t="shared" si="5"/>
        <v>43678</v>
      </c>
      <c r="B25" s="161"/>
      <c r="C25" s="163"/>
      <c r="D25" s="162"/>
      <c r="H25" s="170">
        <f t="shared" si="4"/>
        <v>43739</v>
      </c>
      <c r="I25" s="165"/>
      <c r="J25" s="163"/>
      <c r="K25" s="163"/>
      <c r="L25" s="162"/>
    </row>
    <row r="26" spans="1:12" ht="12.75" customHeight="1">
      <c r="A26" s="154">
        <f t="shared" si="5"/>
        <v>43862</v>
      </c>
      <c r="B26" s="161"/>
      <c r="C26" s="163"/>
      <c r="D26" s="162"/>
      <c r="H26" s="170">
        <f t="shared" si="4"/>
        <v>43922</v>
      </c>
      <c r="I26" s="165"/>
      <c r="J26" s="163"/>
      <c r="K26" s="163"/>
      <c r="L26" s="162"/>
    </row>
    <row r="27" spans="1:12" ht="12.75" customHeight="1">
      <c r="A27" s="154">
        <f t="shared" si="5"/>
        <v>44044</v>
      </c>
      <c r="B27" s="161"/>
      <c r="C27" s="163"/>
      <c r="D27" s="162"/>
      <c r="H27" s="170">
        <f t="shared" si="4"/>
        <v>44105</v>
      </c>
      <c r="I27" s="165"/>
      <c r="J27" s="163"/>
      <c r="K27" s="163"/>
      <c r="L27" s="162"/>
    </row>
    <row r="28" spans="1:12" ht="12.75" customHeight="1">
      <c r="A28" s="154">
        <f t="shared" si="5"/>
        <v>44228</v>
      </c>
      <c r="B28" s="161"/>
      <c r="C28" s="163"/>
      <c r="D28" s="162"/>
      <c r="H28" s="170">
        <f t="shared" si="4"/>
        <v>44287</v>
      </c>
      <c r="I28" s="165"/>
      <c r="J28" s="163"/>
      <c r="K28" s="163"/>
      <c r="L28" s="162"/>
    </row>
    <row r="29" spans="1:12" ht="12.75" customHeight="1">
      <c r="A29" s="154">
        <f t="shared" si="5"/>
        <v>44409</v>
      </c>
      <c r="B29" s="161"/>
      <c r="C29" s="163"/>
      <c r="D29" s="162"/>
      <c r="H29" s="170">
        <f t="shared" si="4"/>
        <v>44470</v>
      </c>
      <c r="I29" s="165"/>
      <c r="J29" s="163"/>
      <c r="K29" s="163"/>
      <c r="L29" s="162"/>
    </row>
    <row r="30" spans="1:12" ht="12.75" customHeight="1">
      <c r="A30" s="154">
        <f t="shared" si="5"/>
        <v>44593</v>
      </c>
      <c r="B30" s="161"/>
      <c r="C30" s="163"/>
      <c r="D30" s="162"/>
      <c r="H30" s="170">
        <f t="shared" si="4"/>
        <v>44652</v>
      </c>
      <c r="I30" s="165"/>
      <c r="J30" s="163"/>
      <c r="K30" s="163"/>
      <c r="L30" s="162"/>
    </row>
    <row r="31" spans="1:12" ht="12.75" customHeight="1">
      <c r="A31" s="154">
        <f t="shared" si="5"/>
        <v>44774</v>
      </c>
      <c r="B31" s="161"/>
      <c r="C31" s="163"/>
      <c r="D31" s="162"/>
      <c r="H31" s="170">
        <f t="shared" si="4"/>
        <v>44835</v>
      </c>
      <c r="I31" s="165"/>
      <c r="J31" s="163"/>
      <c r="K31" s="163"/>
      <c r="L31" s="162"/>
    </row>
    <row r="32" spans="1:12" ht="12.75" customHeight="1">
      <c r="A32" s="154">
        <f t="shared" si="5"/>
        <v>44958</v>
      </c>
      <c r="B32" s="161"/>
      <c r="C32" s="163"/>
      <c r="D32" s="162"/>
      <c r="H32" s="170">
        <f t="shared" si="4"/>
        <v>45017</v>
      </c>
      <c r="I32" s="165"/>
      <c r="J32" s="163"/>
      <c r="K32" s="163"/>
      <c r="L32" s="162"/>
    </row>
    <row r="33" spans="1:12" ht="12.75" customHeight="1">
      <c r="A33" s="154">
        <f t="shared" si="5"/>
        <v>45139</v>
      </c>
      <c r="B33" s="161"/>
      <c r="C33" s="163"/>
      <c r="D33" s="162"/>
      <c r="H33" s="170">
        <f t="shared" si="4"/>
        <v>45200</v>
      </c>
      <c r="I33" s="165"/>
      <c r="J33" s="163"/>
      <c r="K33" s="163"/>
      <c r="L33" s="162"/>
    </row>
    <row r="34" spans="1:12" ht="12.75" customHeight="1">
      <c r="A34" s="154">
        <f t="shared" si="5"/>
        <v>45323</v>
      </c>
      <c r="B34" s="161"/>
      <c r="C34" s="163"/>
      <c r="D34" s="162"/>
      <c r="H34" s="170">
        <f t="shared" si="4"/>
        <v>45383</v>
      </c>
      <c r="I34" s="165"/>
      <c r="J34" s="163"/>
      <c r="K34" s="163"/>
      <c r="L34" s="162"/>
    </row>
    <row r="35" spans="1:12" ht="12.75" customHeight="1">
      <c r="A35" s="154">
        <f t="shared" si="5"/>
        <v>45505</v>
      </c>
      <c r="B35" s="161"/>
      <c r="C35" s="163"/>
      <c r="D35" s="162"/>
      <c r="H35" s="170">
        <f t="shared" si="4"/>
        <v>45566</v>
      </c>
      <c r="I35" s="165"/>
      <c r="J35" s="163"/>
      <c r="K35" s="163"/>
      <c r="L35" s="162"/>
    </row>
    <row r="36" spans="1:12" ht="12.75" customHeight="1">
      <c r="A36" s="154">
        <f t="shared" si="5"/>
        <v>45689</v>
      </c>
      <c r="B36" s="161"/>
      <c r="C36" s="163"/>
      <c r="D36" s="162"/>
      <c r="H36" s="170">
        <f t="shared" si="4"/>
        <v>45748</v>
      </c>
      <c r="I36" s="165"/>
      <c r="J36" s="163"/>
      <c r="K36" s="163"/>
      <c r="L36" s="162"/>
    </row>
    <row r="37" spans="1:12" ht="12.75" customHeight="1">
      <c r="A37" s="154">
        <f t="shared" si="5"/>
        <v>45870</v>
      </c>
      <c r="B37" s="161"/>
      <c r="C37" s="163"/>
      <c r="D37" s="162"/>
      <c r="H37" s="170">
        <f t="shared" si="4"/>
        <v>45931</v>
      </c>
      <c r="I37" s="165"/>
      <c r="J37" s="163"/>
      <c r="K37" s="163"/>
      <c r="L37" s="162"/>
    </row>
    <row r="38" spans="1:12" ht="12.75" customHeight="1">
      <c r="A38" s="154">
        <f t="shared" si="5"/>
        <v>46054</v>
      </c>
      <c r="B38" s="161"/>
      <c r="C38" s="163"/>
      <c r="D38" s="162"/>
      <c r="H38" s="170">
        <f t="shared" si="4"/>
        <v>46113</v>
      </c>
      <c r="I38" s="165"/>
      <c r="J38" s="163"/>
      <c r="K38" s="163"/>
      <c r="L38" s="162"/>
    </row>
    <row r="39" spans="1:12" ht="12.75" customHeight="1">
      <c r="A39" s="154">
        <f t="shared" si="5"/>
        <v>46235</v>
      </c>
      <c r="B39" s="161"/>
      <c r="C39" s="163"/>
      <c r="D39" s="162"/>
      <c r="H39" s="170">
        <f t="shared" si="4"/>
        <v>46296</v>
      </c>
      <c r="I39" s="165"/>
      <c r="J39" s="163"/>
      <c r="K39" s="163"/>
      <c r="L39" s="162"/>
    </row>
    <row r="40" spans="1:12" ht="12.75" customHeight="1">
      <c r="A40" s="154">
        <f t="shared" si="5"/>
        <v>46419</v>
      </c>
      <c r="B40" s="161"/>
      <c r="C40" s="163"/>
      <c r="D40" s="162"/>
      <c r="H40" s="170">
        <f t="shared" si="4"/>
        <v>46478</v>
      </c>
      <c r="I40" s="165"/>
      <c r="J40" s="163"/>
      <c r="K40" s="163"/>
      <c r="L40" s="162"/>
    </row>
    <row r="41" spans="1:12" ht="12.75" customHeight="1">
      <c r="A41" s="154">
        <f t="shared" si="5"/>
        <v>46600</v>
      </c>
      <c r="B41" s="161"/>
      <c r="C41" s="163"/>
      <c r="D41" s="162"/>
      <c r="H41" s="170">
        <f t="shared" si="4"/>
        <v>46661</v>
      </c>
      <c r="I41" s="165"/>
      <c r="J41" s="163"/>
      <c r="K41" s="163"/>
      <c r="L41" s="162"/>
    </row>
    <row r="42" spans="1:12" ht="12.75" customHeight="1">
      <c r="A42" s="154">
        <f t="shared" si="5"/>
        <v>46784</v>
      </c>
      <c r="B42" s="161"/>
      <c r="C42" s="163"/>
      <c r="D42" s="162"/>
      <c r="H42" s="170">
        <f t="shared" si="4"/>
        <v>46844</v>
      </c>
      <c r="I42" s="165"/>
      <c r="J42" s="163"/>
      <c r="K42" s="163"/>
      <c r="L42" s="162"/>
    </row>
    <row r="43" spans="1:12" ht="12.75" customHeight="1">
      <c r="A43" s="154">
        <f t="shared" si="5"/>
        <v>46966</v>
      </c>
      <c r="B43" s="161"/>
      <c r="C43" s="163"/>
      <c r="D43" s="162"/>
      <c r="H43" s="170">
        <f t="shared" si="4"/>
        <v>47027</v>
      </c>
      <c r="I43" s="165"/>
      <c r="J43" s="163"/>
      <c r="K43" s="163"/>
      <c r="L43" s="162"/>
    </row>
    <row r="44" spans="1:12" ht="12.75" customHeight="1">
      <c r="A44" s="154">
        <f t="shared" si="5"/>
        <v>47150</v>
      </c>
      <c r="B44" s="161"/>
      <c r="C44" s="163"/>
      <c r="D44" s="162"/>
      <c r="H44" s="170">
        <f t="shared" si="4"/>
        <v>47209</v>
      </c>
      <c r="I44" s="165"/>
      <c r="J44" s="163"/>
      <c r="K44" s="163"/>
      <c r="L44" s="162"/>
    </row>
    <row r="45" spans="1:12" ht="12.75" customHeight="1">
      <c r="A45" s="154">
        <f t="shared" si="5"/>
        <v>47331</v>
      </c>
      <c r="B45" s="161"/>
      <c r="C45" s="163"/>
      <c r="D45" s="162"/>
      <c r="H45" s="170">
        <f t="shared" si="4"/>
        <v>47392</v>
      </c>
      <c r="I45" s="165"/>
      <c r="J45" s="163"/>
      <c r="K45" s="163"/>
      <c r="L45" s="162"/>
    </row>
    <row r="46" spans="1:12" ht="12.75" customHeight="1">
      <c r="A46" s="154">
        <f t="shared" si="5"/>
        <v>47515</v>
      </c>
      <c r="B46" s="161"/>
      <c r="C46" s="163"/>
      <c r="D46" s="162"/>
      <c r="H46" s="170">
        <f t="shared" si="4"/>
        <v>47574</v>
      </c>
      <c r="I46" s="165"/>
      <c r="J46" s="163"/>
      <c r="K46" s="163"/>
      <c r="L46" s="162"/>
    </row>
    <row r="47" spans="1:12" ht="12.75" customHeight="1">
      <c r="A47" s="154">
        <f t="shared" si="5"/>
        <v>47696</v>
      </c>
      <c r="B47" s="161"/>
      <c r="C47" s="163"/>
      <c r="D47" s="162"/>
      <c r="H47" s="170">
        <f t="shared" si="4"/>
        <v>47757</v>
      </c>
      <c r="I47" s="165"/>
      <c r="J47" s="163"/>
      <c r="K47" s="163"/>
      <c r="L47" s="162"/>
    </row>
    <row r="48" spans="1:12" ht="12.75" customHeight="1">
      <c r="A48" s="154">
        <f t="shared" si="5"/>
        <v>47880</v>
      </c>
      <c r="B48" s="161"/>
      <c r="C48" s="163"/>
      <c r="D48" s="162"/>
      <c r="H48" s="170">
        <f t="shared" si="4"/>
        <v>47939</v>
      </c>
      <c r="I48" s="165"/>
      <c r="J48" s="163"/>
      <c r="K48" s="163"/>
      <c r="L48" s="162"/>
    </row>
    <row r="49" spans="1:12" ht="12.75" customHeight="1">
      <c r="A49" s="154">
        <f t="shared" si="5"/>
        <v>48061</v>
      </c>
      <c r="B49" s="161"/>
      <c r="C49" s="163"/>
      <c r="D49" s="162"/>
      <c r="H49" s="170">
        <f t="shared" si="4"/>
        <v>48122</v>
      </c>
      <c r="I49" s="165"/>
      <c r="J49" s="163"/>
      <c r="K49" s="163"/>
      <c r="L49" s="162"/>
    </row>
    <row r="50" spans="1:12" ht="12.75" customHeight="1">
      <c r="A50" s="154">
        <f t="shared" si="5"/>
        <v>48245</v>
      </c>
      <c r="B50" s="161"/>
      <c r="C50" s="163"/>
      <c r="D50" s="162"/>
      <c r="H50" s="170">
        <f t="shared" si="4"/>
        <v>48305</v>
      </c>
      <c r="I50" s="165"/>
      <c r="J50" s="163"/>
      <c r="K50" s="163"/>
      <c r="L50" s="162"/>
    </row>
    <row r="51" spans="1:12" ht="12.75" customHeight="1">
      <c r="A51" s="154">
        <f t="shared" si="5"/>
        <v>48427</v>
      </c>
      <c r="B51" s="161"/>
      <c r="C51" s="163"/>
      <c r="D51" s="162"/>
      <c r="H51" s="170">
        <f t="shared" si="4"/>
        <v>48488</v>
      </c>
      <c r="I51" s="165"/>
      <c r="J51" s="163"/>
      <c r="K51" s="163"/>
      <c r="L51" s="162"/>
    </row>
    <row r="52" spans="1:12" ht="12.75" customHeight="1">
      <c r="A52" s="154">
        <f t="shared" si="5"/>
        <v>48611</v>
      </c>
      <c r="B52" s="161"/>
      <c r="C52" s="163"/>
      <c r="D52" s="162"/>
      <c r="H52" s="170">
        <f t="shared" si="4"/>
        <v>48670</v>
      </c>
      <c r="I52" s="165"/>
      <c r="J52" s="163"/>
      <c r="K52" s="163"/>
      <c r="L52" s="162"/>
    </row>
    <row r="53" spans="1:12" ht="12.75" customHeight="1">
      <c r="A53" s="154">
        <f t="shared" si="5"/>
        <v>48792</v>
      </c>
      <c r="B53" s="161"/>
      <c r="C53" s="163"/>
      <c r="D53" s="162"/>
      <c r="H53" s="170">
        <f t="shared" si="4"/>
        <v>48853</v>
      </c>
      <c r="I53" s="165"/>
      <c r="J53" s="163"/>
      <c r="K53" s="163"/>
      <c r="L53" s="162"/>
    </row>
    <row r="54" spans="1:12" ht="12.75" customHeight="1">
      <c r="A54" s="154">
        <f t="shared" si="5"/>
        <v>48976</v>
      </c>
      <c r="B54" s="161"/>
      <c r="C54" s="163"/>
      <c r="D54" s="162"/>
      <c r="H54" s="170">
        <f t="shared" si="4"/>
        <v>49035</v>
      </c>
      <c r="I54" s="165"/>
      <c r="J54" s="163"/>
      <c r="K54" s="163"/>
      <c r="L54" s="162"/>
    </row>
    <row r="55" spans="1:12" ht="12.75" customHeight="1">
      <c r="A55" s="154">
        <f t="shared" si="5"/>
        <v>49157</v>
      </c>
      <c r="B55" s="161"/>
      <c r="C55" s="163"/>
      <c r="D55" s="162"/>
      <c r="H55" s="170">
        <f t="shared" si="4"/>
        <v>49218</v>
      </c>
      <c r="I55" s="165"/>
      <c r="J55" s="163"/>
      <c r="K55" s="163"/>
      <c r="L55" s="162"/>
    </row>
    <row r="56" spans="1:12" ht="12.75" customHeight="1">
      <c r="A56" s="154">
        <f t="shared" si="5"/>
        <v>49341</v>
      </c>
      <c r="B56" s="161"/>
      <c r="C56" s="163"/>
      <c r="D56" s="162"/>
      <c r="H56" s="170">
        <f t="shared" si="4"/>
        <v>49400</v>
      </c>
      <c r="I56" s="165"/>
      <c r="J56" s="163"/>
      <c r="K56" s="163"/>
      <c r="L56" s="162"/>
    </row>
    <row r="57" spans="1:12" ht="12.75" customHeight="1">
      <c r="A57" s="154">
        <f t="shared" si="5"/>
        <v>49522</v>
      </c>
      <c r="B57" s="161"/>
      <c r="C57" s="163"/>
      <c r="D57" s="162"/>
      <c r="H57" s="170">
        <f t="shared" si="4"/>
        <v>49583</v>
      </c>
      <c r="I57" s="165"/>
      <c r="J57" s="163"/>
      <c r="K57" s="163"/>
      <c r="L57" s="162"/>
    </row>
    <row r="58" spans="1:12" ht="12.75" customHeight="1">
      <c r="A58" s="154">
        <f t="shared" si="5"/>
        <v>49706</v>
      </c>
      <c r="B58" s="161"/>
      <c r="C58" s="163"/>
      <c r="D58" s="162"/>
      <c r="H58" s="170">
        <f t="shared" si="4"/>
        <v>49766</v>
      </c>
      <c r="I58" s="165"/>
      <c r="J58" s="163"/>
      <c r="K58" s="163"/>
      <c r="L58" s="162"/>
    </row>
    <row r="59" spans="1:12" ht="12.75" customHeight="1">
      <c r="A59" s="154">
        <f t="shared" si="5"/>
        <v>49888</v>
      </c>
      <c r="B59" s="161"/>
      <c r="C59" s="163"/>
      <c r="D59" s="162"/>
      <c r="H59" s="170">
        <f t="shared" si="4"/>
        <v>49949</v>
      </c>
      <c r="I59" s="165"/>
      <c r="J59" s="163"/>
      <c r="K59" s="163"/>
      <c r="L59" s="162"/>
    </row>
    <row r="60" spans="1:12" ht="12.75" customHeight="1">
      <c r="A60" s="154">
        <f t="shared" si="5"/>
        <v>50072</v>
      </c>
      <c r="B60" s="161"/>
      <c r="C60" s="163"/>
      <c r="D60" s="162"/>
      <c r="H60" s="170">
        <f t="shared" si="4"/>
        <v>50131</v>
      </c>
      <c r="I60" s="165"/>
      <c r="J60" s="163"/>
      <c r="K60" s="163"/>
      <c r="L60" s="162"/>
    </row>
    <row r="61" spans="1:12" ht="12.75" customHeight="1">
      <c r="A61" s="154">
        <f t="shared" si="5"/>
        <v>50253</v>
      </c>
      <c r="B61" s="161"/>
      <c r="C61" s="163"/>
      <c r="D61" s="162"/>
      <c r="H61" s="170">
        <f t="shared" si="4"/>
        <v>50314</v>
      </c>
      <c r="I61" s="165"/>
      <c r="J61" s="163"/>
      <c r="K61" s="163"/>
      <c r="L61" s="162"/>
    </row>
    <row r="62" spans="1:12" ht="12.75" customHeight="1">
      <c r="A62" s="154">
        <f t="shared" si="5"/>
        <v>50437</v>
      </c>
      <c r="B62" s="161"/>
      <c r="C62" s="163"/>
      <c r="D62" s="162"/>
      <c r="H62" s="170">
        <f t="shared" si="4"/>
        <v>50496</v>
      </c>
      <c r="I62" s="165"/>
      <c r="J62" s="163"/>
      <c r="K62" s="163"/>
      <c r="L62" s="162"/>
    </row>
    <row r="63" spans="1:12" ht="13.5" customHeight="1" thickBot="1">
      <c r="A63" s="173">
        <v>53</v>
      </c>
      <c r="B63" s="174"/>
      <c r="C63" s="175"/>
      <c r="D63" s="176"/>
      <c r="H63" s="177"/>
      <c r="I63" s="178"/>
      <c r="J63" s="175"/>
      <c r="K63" s="175"/>
      <c r="L63" s="176"/>
    </row>
    <row r="64" spans="1:12" ht="12.75" customHeight="1">
      <c r="B64" s="179">
        <f>AVERAGE(B3:B63)</f>
        <v>9.3686337868480705E-3</v>
      </c>
      <c r="C64" s="180">
        <f ca="1">AVERAGE(C2:C63)</f>
        <v>500.91583210440456</v>
      </c>
      <c r="D64" s="181">
        <f ca="1">AVERAGE(D3:D63)</f>
        <v>-21.416271128718826</v>
      </c>
      <c r="L64" s="181">
        <f>AVERAGE(L3:L63)</f>
        <v>-7008.5009999999993</v>
      </c>
    </row>
    <row r="66" spans="4:12">
      <c r="D66" t="s">
        <v>178</v>
      </c>
      <c r="F66" s="158">
        <f>SUM(F2:F63)</f>
        <v>63731.039999999994</v>
      </c>
      <c r="L66" t="s">
        <v>178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topLeftCell="A34" workbookViewId="0">
      <selection activeCell="K50" sqref="K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5">
        <f>C3*D2</f>
        <v>63.609900000000003</v>
      </c>
      <c r="F2" s="125">
        <f>E2*D2</f>
        <v>9.4098125070000016</v>
      </c>
    </row>
    <row r="3" spans="3:8">
      <c r="C3">
        <v>430</v>
      </c>
      <c r="D3">
        <v>0.14732000000000001</v>
      </c>
      <c r="E3" s="125">
        <f>C3*D3</f>
        <v>63.3476</v>
      </c>
      <c r="G3" s="125">
        <f>D3*E3</f>
        <v>9.3323684320000009</v>
      </c>
    </row>
    <row r="4" spans="3:8">
      <c r="D4">
        <v>5.9817000000000002E-2</v>
      </c>
      <c r="E4" s="125">
        <f>C5*D4</f>
        <v>8.8050623999999988</v>
      </c>
      <c r="F4" s="125">
        <f>E4*D4</f>
        <v>0.52669241758079999</v>
      </c>
    </row>
    <row r="5" spans="3:8">
      <c r="C5" s="125">
        <f>4.6*32</f>
        <v>147.19999999999999</v>
      </c>
      <c r="D5">
        <v>5.9851000000000001E-2</v>
      </c>
      <c r="E5" s="125">
        <f>C5*D5</f>
        <v>8.8100671999999989</v>
      </c>
      <c r="G5" s="125">
        <f>D5*E5</f>
        <v>0.52729133198719991</v>
      </c>
    </row>
    <row r="6" spans="3:8">
      <c r="F6" s="125">
        <f>SUM(F2:F4)</f>
        <v>9.9365049245808024</v>
      </c>
      <c r="G6" s="125">
        <f>SUM(G2:G5)</f>
        <v>9.8596597639872012</v>
      </c>
    </row>
    <row r="8" spans="3:8">
      <c r="F8" t="s">
        <v>179</v>
      </c>
      <c r="G8">
        <v>386785</v>
      </c>
    </row>
    <row r="9" spans="3:8">
      <c r="F9" t="s">
        <v>180</v>
      </c>
      <c r="G9">
        <v>36372553</v>
      </c>
    </row>
    <row r="13" spans="3:8">
      <c r="D13">
        <v>217.11</v>
      </c>
      <c r="E13">
        <v>6</v>
      </c>
      <c r="F13" s="125">
        <f>D13*E13</f>
        <v>1302.6600000000001</v>
      </c>
      <c r="H13" s="125">
        <f>(6*5)+2</f>
        <v>32</v>
      </c>
    </row>
    <row r="14" spans="3:8">
      <c r="F14" s="125">
        <f>F13/H13</f>
        <v>40.708125000000003</v>
      </c>
    </row>
    <row r="15" spans="3:8">
      <c r="F15" s="125">
        <f>F14*12</f>
        <v>488.49750000000006</v>
      </c>
      <c r="G15" s="125">
        <f>F14*2</f>
        <v>81.416250000000005</v>
      </c>
    </row>
    <row r="19" spans="1:9">
      <c r="A19" t="s">
        <v>181</v>
      </c>
    </row>
    <row r="21" spans="1:9">
      <c r="B21" t="s">
        <v>182</v>
      </c>
      <c r="C21" s="182"/>
      <c r="F21" t="s">
        <v>183</v>
      </c>
    </row>
    <row r="22" spans="1:9">
      <c r="B22" t="s">
        <v>184</v>
      </c>
      <c r="C22" s="182"/>
      <c r="F22" t="s">
        <v>185</v>
      </c>
    </row>
    <row r="23" spans="1:9">
      <c r="B23" t="s">
        <v>186</v>
      </c>
      <c r="C23" t="s">
        <v>422</v>
      </c>
      <c r="I23" s="133"/>
    </row>
    <row r="26" spans="1:9">
      <c r="B26" s="133" t="s">
        <v>19</v>
      </c>
    </row>
    <row r="27" spans="1:9">
      <c r="B27" t="s">
        <v>187</v>
      </c>
    </row>
    <row r="28" spans="1:9">
      <c r="B28" s="136"/>
      <c r="C28" s="133"/>
      <c r="D28" s="133"/>
      <c r="E28" s="136"/>
      <c r="F28" s="136"/>
    </row>
    <row r="33" spans="1:9" ht="150">
      <c r="B33" s="183" t="s">
        <v>188</v>
      </c>
      <c r="I33" s="183" t="s">
        <v>195</v>
      </c>
    </row>
    <row r="34" spans="1:9">
      <c r="B34" s="184" t="s">
        <v>189</v>
      </c>
      <c r="I34" t="s">
        <v>196</v>
      </c>
    </row>
    <row r="35" spans="1:9">
      <c r="B35" t="s">
        <v>190</v>
      </c>
      <c r="I35" t="s">
        <v>197</v>
      </c>
    </row>
    <row r="36" spans="1:9">
      <c r="B36" t="s">
        <v>191</v>
      </c>
    </row>
    <row r="38" spans="1:9">
      <c r="B38" t="s">
        <v>192</v>
      </c>
    </row>
    <row r="41" spans="1:9">
      <c r="A41" t="s">
        <v>193</v>
      </c>
      <c r="B41" t="s">
        <v>194</v>
      </c>
    </row>
    <row r="45" spans="1:9">
      <c r="A45" t="s">
        <v>361</v>
      </c>
      <c r="B45" t="s">
        <v>76</v>
      </c>
    </row>
    <row r="48" spans="1:9">
      <c r="A48" t="s">
        <v>423</v>
      </c>
      <c r="B48" t="s">
        <v>424</v>
      </c>
    </row>
    <row r="49" spans="1:2">
      <c r="A49" t="s">
        <v>59</v>
      </c>
      <c r="B49" t="s">
        <v>424</v>
      </c>
    </row>
    <row r="50" spans="1:2">
      <c r="A50" t="s">
        <v>426</v>
      </c>
      <c r="B50" t="s">
        <v>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2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1462.46</v>
      </c>
      <c r="L5" s="283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>
        <v>7102.9</v>
      </c>
      <c r="L7" s="276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>
        <v>100.34</v>
      </c>
      <c r="L9" s="276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19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/>
      <c r="R11" s="3"/>
    </row>
    <row r="12" spans="1:22" ht="15.75">
      <c r="A12" s="1"/>
      <c r="B12" s="68">
        <v>200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>
        <v>50</v>
      </c>
      <c r="E13" s="71"/>
      <c r="F13" s="71"/>
      <c r="G13" s="34" t="s">
        <v>227</v>
      </c>
      <c r="H13" s="1"/>
      <c r="I13" s="75" t="s">
        <v>96</v>
      </c>
      <c r="J13" s="36" t="s">
        <v>97</v>
      </c>
      <c r="K13" s="275">
        <f>75+20+95</f>
        <v>190</v>
      </c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17336.68</v>
      </c>
      <c r="L19" s="278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68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4</v>
      </c>
      <c r="J25" s="3" t="s">
        <v>219</v>
      </c>
      <c r="K25" s="282">
        <v>1.01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4</v>
      </c>
      <c r="J26" s="36" t="s">
        <v>220</v>
      </c>
      <c r="K26" s="275">
        <v>0.04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9">
        <v>4</v>
      </c>
      <c r="J27" s="36" t="s">
        <v>222</v>
      </c>
      <c r="K27" s="275">
        <v>2831.41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2</v>
      </c>
      <c r="J28" s="36" t="s">
        <v>225</v>
      </c>
      <c r="K28" s="275">
        <v>72.66</v>
      </c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6</v>
      </c>
      <c r="J29" s="36" t="s">
        <v>233</v>
      </c>
      <c r="K29" s="275">
        <v>93.93</v>
      </c>
      <c r="L29" s="276"/>
      <c r="M29" s="1"/>
      <c r="R29" s="3"/>
    </row>
    <row r="30" spans="1:18" ht="15.75">
      <c r="A30" s="1"/>
      <c r="B30" s="68">
        <v>229.4</v>
      </c>
      <c r="C30" s="79" t="s">
        <v>266</v>
      </c>
      <c r="D30" s="70"/>
      <c r="E30" s="71"/>
      <c r="F30" s="71"/>
      <c r="G30" s="34"/>
      <c r="H30" s="1"/>
      <c r="I30" s="199">
        <v>5</v>
      </c>
      <c r="J30" s="36" t="s">
        <v>251</v>
      </c>
      <c r="K30" s="275">
        <v>700</v>
      </c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>
        <v>5</v>
      </c>
      <c r="J31" s="36" t="s">
        <v>252</v>
      </c>
      <c r="K31" s="275">
        <v>50</v>
      </c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>
        <v>9</v>
      </c>
      <c r="J32" s="36" t="s">
        <v>44</v>
      </c>
      <c r="K32" s="275">
        <v>229.4</v>
      </c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>
        <v>4</v>
      </c>
      <c r="J33" s="36" t="s">
        <v>271</v>
      </c>
      <c r="K33" s="275">
        <v>0.05</v>
      </c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>
        <v>9</v>
      </c>
      <c r="J34" s="36" t="s">
        <v>272</v>
      </c>
      <c r="K34" s="275">
        <v>1566.27</v>
      </c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>
        <v>5</v>
      </c>
      <c r="J35" s="36" t="s">
        <v>285</v>
      </c>
      <c r="K35" s="275">
        <v>449</v>
      </c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>
        <v>2</v>
      </c>
      <c r="J36" s="36" t="s">
        <v>286</v>
      </c>
      <c r="K36" s="275">
        <v>314.12</v>
      </c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68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39.1+19.94</f>
        <v>59.040000000000006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260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19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232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241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280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68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221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251</v>
      </c>
      <c r="D167" s="70"/>
      <c r="E167" s="71"/>
      <c r="F167" s="71">
        <f>78</f>
        <v>78</v>
      </c>
      <c r="G167" s="34" t="s">
        <v>254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255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263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68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242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236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237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239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243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245</v>
      </c>
    </row>
    <row r="192" spans="1:22">
      <c r="B192" s="68"/>
      <c r="C192" s="34"/>
      <c r="D192" s="70"/>
      <c r="E192" s="71"/>
      <c r="F192" s="71">
        <v>5</v>
      </c>
      <c r="G192" s="34" t="s">
        <v>256</v>
      </c>
    </row>
    <row r="193" spans="2:7">
      <c r="B193" s="68"/>
      <c r="C193" s="34"/>
      <c r="D193" s="70">
        <v>51.9</v>
      </c>
      <c r="E193" s="71"/>
      <c r="F193" s="71"/>
      <c r="G193" s="34" t="s">
        <v>265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>
        <v>45</v>
      </c>
      <c r="G207" s="34" t="s">
        <v>253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270</v>
      </c>
    </row>
    <row r="209" spans="2:7">
      <c r="B209" s="68"/>
      <c r="C209" s="34"/>
      <c r="D209" s="70">
        <v>19.440000000000001</v>
      </c>
      <c r="E209" s="71"/>
      <c r="F209" s="71"/>
      <c r="G209" s="34" t="s">
        <v>100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105</v>
      </c>
      <c r="D227" s="70"/>
      <c r="E227" s="71"/>
      <c r="F227" s="71">
        <v>120</v>
      </c>
      <c r="G227" s="34" t="s">
        <v>238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215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248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4" t="s">
        <v>10</v>
      </c>
      <c r="C284" s="273"/>
      <c r="D284" s="272" t="s">
        <v>11</v>
      </c>
      <c r="E284" s="272"/>
      <c r="F284" s="272"/>
      <c r="G284" s="273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228</v>
      </c>
    </row>
    <row r="287" spans="2:8">
      <c r="B287" s="68">
        <v>345</v>
      </c>
      <c r="C287" s="34" t="s">
        <v>224</v>
      </c>
      <c r="D287" s="70">
        <f>116.33+27.98+20</f>
        <v>164.31</v>
      </c>
      <c r="E287" s="71">
        <f>38+43.59</f>
        <v>81.59</v>
      </c>
      <c r="F287" s="71"/>
      <c r="G287" s="34" t="s">
        <v>230</v>
      </c>
      <c r="H287" s="187">
        <f>300-(D287+E287+F287)</f>
        <v>54.099999999999994</v>
      </c>
    </row>
    <row r="288" spans="2:8">
      <c r="B288" s="68">
        <v>449</v>
      </c>
      <c r="C288" s="34" t="s">
        <v>284</v>
      </c>
      <c r="D288" s="70">
        <f>8.98</f>
        <v>8.98</v>
      </c>
      <c r="E288" s="71"/>
      <c r="F288" s="71"/>
      <c r="G288" s="34" t="s">
        <v>231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240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244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246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250</v>
      </c>
      <c r="H292" s="187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258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259</v>
      </c>
    </row>
    <row r="296" spans="2:8">
      <c r="B296" s="68"/>
      <c r="C296" s="34"/>
      <c r="D296" s="70">
        <v>449</v>
      </c>
      <c r="E296" s="71"/>
      <c r="F296" s="71"/>
      <c r="G296" s="34" t="s">
        <v>264</v>
      </c>
      <c r="H296" s="187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267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68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68</v>
      </c>
    </row>
    <row r="301" spans="2:8" ht="15.75" thickBot="1">
      <c r="B301" s="3"/>
      <c r="C301" s="3"/>
      <c r="D301" s="3"/>
      <c r="E301" s="3"/>
    </row>
    <row r="302" spans="2:8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8" ht="15" customHeight="1" thickBot="1">
      <c r="B303" s="269"/>
      <c r="C303" s="270"/>
      <c r="D303" s="270"/>
      <c r="E303" s="270"/>
      <c r="F303" s="270"/>
      <c r="G303" s="271"/>
    </row>
    <row r="304" spans="2:8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226</v>
      </c>
    </row>
    <row r="307" spans="2:7">
      <c r="B307" s="121"/>
      <c r="C307" s="79"/>
      <c r="D307" s="70">
        <f>10.89+37.34-7</f>
        <v>41.230000000000004</v>
      </c>
      <c r="E307" s="71"/>
      <c r="F307" s="71"/>
      <c r="G307" s="34" t="s">
        <v>100</v>
      </c>
    </row>
    <row r="308" spans="2:7">
      <c r="B308" s="121"/>
      <c r="C308" s="79"/>
      <c r="D308" s="70">
        <f>34.5+34.5</f>
        <v>69</v>
      </c>
      <c r="E308" s="71"/>
      <c r="F308" s="71"/>
      <c r="G308" s="34" t="s">
        <v>235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249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279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>
        <v>150</v>
      </c>
      <c r="G346" s="34" t="s">
        <v>257</v>
      </c>
    </row>
    <row r="347" spans="2:7">
      <c r="B347" s="68"/>
      <c r="C347" s="34"/>
      <c r="D347" s="70">
        <v>266.13</v>
      </c>
      <c r="E347" s="71"/>
      <c r="F347" s="71"/>
      <c r="G347" s="34" t="s">
        <v>283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>
        <v>12.99</v>
      </c>
      <c r="F368" s="71"/>
      <c r="G368" s="34" t="s">
        <v>281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68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218</v>
      </c>
      <c r="D406" s="70">
        <f>30.78+12.1</f>
        <v>42.88</v>
      </c>
      <c r="E406" s="71"/>
      <c r="F406" s="71"/>
      <c r="G406" s="34" t="s">
        <v>247</v>
      </c>
    </row>
    <row r="407" spans="2:7">
      <c r="B407" s="68">
        <f>2831.41-345</f>
        <v>2486.41</v>
      </c>
      <c r="C407" s="34" t="s">
        <v>223</v>
      </c>
      <c r="D407" s="70"/>
      <c r="E407" s="71"/>
      <c r="F407" s="71"/>
      <c r="G407" s="34"/>
    </row>
    <row r="408" spans="2:7">
      <c r="B408" s="68">
        <v>0.05</v>
      </c>
      <c r="C408" s="34" t="s">
        <v>75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68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274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9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1295.79</v>
      </c>
      <c r="L5" s="283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75">
        <v>379.61</v>
      </c>
      <c r="L6" s="276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>
        <v>7271.78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119.41</v>
      </c>
      <c r="F8" s="71"/>
      <c r="G8" s="34" t="s">
        <v>38</v>
      </c>
      <c r="H8" s="1"/>
      <c r="I8" s="75" t="s">
        <v>78</v>
      </c>
      <c r="J8" s="36" t="s">
        <v>80</v>
      </c>
      <c r="K8" s="275">
        <v>9090.56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75">
        <v>69.22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290+20</f>
        <v>310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/>
      <c r="J12" s="36"/>
      <c r="K12" s="275"/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20217</v>
      </c>
      <c r="L19" s="278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68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288</v>
      </c>
      <c r="K25" s="275">
        <v>176.46</v>
      </c>
      <c r="L25" s="276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9</v>
      </c>
      <c r="J26" s="36" t="s">
        <v>289</v>
      </c>
      <c r="K26" s="275">
        <v>47.52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9">
        <v>6</v>
      </c>
      <c r="J27" s="36" t="s">
        <v>233</v>
      </c>
      <c r="K27" s="275">
        <v>93.93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5</v>
      </c>
      <c r="J28" s="36" t="s">
        <v>319</v>
      </c>
      <c r="K28" s="275">
        <v>447.43</v>
      </c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1</v>
      </c>
      <c r="J29" s="36" t="s">
        <v>322</v>
      </c>
      <c r="K29" s="275">
        <v>1638.24</v>
      </c>
      <c r="L29" s="276"/>
      <c r="M29" s="1"/>
      <c r="R29" s="3"/>
    </row>
    <row r="30" spans="1:18" ht="15.75">
      <c r="A30" s="1"/>
      <c r="B30" s="68">
        <v>47.52</v>
      </c>
      <c r="C30" s="79" t="s">
        <v>290</v>
      </c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68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19.12+24.23+26.6</f>
        <v>69.95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300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291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292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217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311</v>
      </c>
      <c r="H70" s="1"/>
      <c r="M70" s="1"/>
      <c r="R70" s="3"/>
    </row>
    <row r="71" spans="1:18" ht="15.75">
      <c r="A71" s="1"/>
      <c r="B71" s="68">
        <v>51</v>
      </c>
      <c r="C71" s="34" t="s">
        <v>316</v>
      </c>
      <c r="D71" s="70">
        <v>26</v>
      </c>
      <c r="E71" s="71"/>
      <c r="F71" s="71">
        <v>25</v>
      </c>
      <c r="G71" s="34" t="s">
        <v>315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68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68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301</v>
      </c>
      <c r="H166" s="119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318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68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4" t="s">
        <v>10</v>
      </c>
      <c r="C284" s="273"/>
      <c r="D284" s="272" t="s">
        <v>11</v>
      </c>
      <c r="E284" s="272"/>
      <c r="F284" s="272"/>
      <c r="G284" s="273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298</v>
      </c>
    </row>
    <row r="287" spans="2:8">
      <c r="B287" s="68"/>
      <c r="C287" s="34"/>
      <c r="D287" s="70">
        <v>54.1</v>
      </c>
      <c r="E287" s="71"/>
      <c r="F287" s="71"/>
      <c r="G287" s="34" t="s">
        <v>299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250</v>
      </c>
      <c r="H288" s="184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/>
      <c r="E307" s="71"/>
      <c r="F307" s="71"/>
      <c r="G307" s="34" t="s">
        <v>100</v>
      </c>
    </row>
    <row r="308" spans="2:7">
      <c r="B308" s="121"/>
      <c r="C308" s="79"/>
      <c r="D308" s="70">
        <f>20.67</f>
        <v>20.67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249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306</v>
      </c>
    </row>
    <row r="311" spans="2:7">
      <c r="B311" s="68"/>
      <c r="C311" s="34"/>
      <c r="D311" s="70">
        <v>40</v>
      </c>
      <c r="E311" s="71"/>
      <c r="F311" s="71"/>
      <c r="G311" s="34" t="s">
        <v>308</v>
      </c>
    </row>
    <row r="312" spans="2:7">
      <c r="B312" s="68"/>
      <c r="C312" s="34"/>
      <c r="D312" s="70">
        <v>57</v>
      </c>
      <c r="E312" s="71"/>
      <c r="F312" s="71"/>
      <c r="G312" s="34" t="s">
        <v>310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296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305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320</v>
      </c>
      <c r="D406" s="70">
        <v>56.01</v>
      </c>
      <c r="E406" s="71"/>
      <c r="F406" s="71"/>
      <c r="G406" s="34" t="s">
        <v>312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68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316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320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/>
    <hyperlink ref="I2:L3" location="'2018'!G4:J4" display="SALDO REAL"/>
    <hyperlink ref="I22" location="Trimestre!C39:F40" display="TELÉFONO"/>
    <hyperlink ref="I22:L23" location="'2018'!G7:J7" display="INGRESOS"/>
    <hyperlink ref="B2" location="Trimestre!C25:F26" display="HIPOTECA"/>
    <hyperlink ref="B2:G3" location="'2018'!G20:J20" display="'2018'!G20:J20"/>
    <hyperlink ref="B22" location="Trimestre!C25:F26" display="HIPOTECA"/>
    <hyperlink ref="B22:G23" location="'2018'!G21:J21" display="'2018'!G21:J21"/>
    <hyperlink ref="B42" location="Trimestre!C25:F26" display="HIPOTECA"/>
    <hyperlink ref="B42:G43" location="'2018'!G22:J22" display="'2018'!G22:J22"/>
    <hyperlink ref="B62" location="Trimestre!C25:F26" display="HIPOTECA"/>
    <hyperlink ref="B62:G63" location="'2018'!G23:J23" display="'2018'!G23:J23"/>
    <hyperlink ref="B82" location="Trimestre!C25:F26" display="HIPOTECA"/>
    <hyperlink ref="B82:G83" location="'2018'!G24:J24" display="'2018'!G24:J24"/>
    <hyperlink ref="B102" location="Trimestre!C25:F26" display="HIPOTECA"/>
    <hyperlink ref="B102:G103" location="'2018'!G25:J25" display="'2018'!G25:J25"/>
    <hyperlink ref="B122" location="Trimestre!C25:F26" display="HIPOTECA"/>
    <hyperlink ref="B122:G123" location="'2018'!G26:J26" display="'2018'!G26:J26"/>
    <hyperlink ref="B142" location="Trimestre!C25:F26" display="HIPOTECA"/>
    <hyperlink ref="B142:G143" location="'2018'!G27:J27" display="'2018'!G27:J27"/>
    <hyperlink ref="B162" location="Trimestre!C25:F26" display="HIPOTECA"/>
    <hyperlink ref="B162:G163" location="'2018'!G28:J28" display="'2018'!G28:J28"/>
    <hyperlink ref="B182" location="Trimestre!C25:F26" display="HIPOTECA"/>
    <hyperlink ref="B182:G183" location="'2018'!G29:J29" display="'2018'!G29:J29"/>
    <hyperlink ref="B202" location="Trimestre!C25:F26" display="HIPOTECA"/>
    <hyperlink ref="B202:G203" location="'2018'!G30:J30" display="'2018'!G30:J30"/>
    <hyperlink ref="B222" location="Trimestre!C25:F26" display="HIPOTECA"/>
    <hyperlink ref="B222:G223" location="'2018'!G31:J31" display="'2018'!G31:J31"/>
    <hyperlink ref="B242" location="Trimestre!C25:F26" display="HIPOTECA"/>
    <hyperlink ref="B242:G243" location="'2018'!G32:J32" display="'2018'!G32:J32"/>
    <hyperlink ref="B262" location="Trimestre!C25:F26" display="HIPOTECA"/>
    <hyperlink ref="B262:G263" location="'2018'!G33:J33" display="'2018'!G33:J33"/>
    <hyperlink ref="B282" location="Trimestre!C25:F26" display="HIPOTECA"/>
    <hyperlink ref="B282:G283" location="'2018'!G34:J34" display="'2018'!G34:J34"/>
    <hyperlink ref="B302" location="Trimestre!C25:F26" display="HIPOTECA"/>
    <hyperlink ref="B302:G303" location="'2018'!G35:J35" display="'2018'!G35:J35"/>
    <hyperlink ref="B322" location="Trimestre!C25:F26" display="HIPOTECA"/>
    <hyperlink ref="B322:G323" location="'2018'!G36:J36" display="'2018'!G36:J36"/>
    <hyperlink ref="B342" location="Trimestre!C25:F26" display="HIPOTECA"/>
    <hyperlink ref="B342:G343" location="'2018'!G37:J37" display="'2018'!G37:J37"/>
    <hyperlink ref="B362" location="Trimestre!C25:F26" display="HIPOTECA"/>
    <hyperlink ref="B362:G363" location="'2018'!G38:J38" display="'2018'!G38:J38"/>
    <hyperlink ref="B382" location="Trimestre!C25:F26" display="HIPOTECA"/>
    <hyperlink ref="B382:G383" location="'2018'!G39:J39" display="'2018'!G39:J39"/>
    <hyperlink ref="B402" location="Trimestre!C25:F26" display="HIPOTECA"/>
    <hyperlink ref="B402:G403" location="'2018'!G40:J40" display="'2018'!G40:J40"/>
    <hyperlink ref="B422" location="Trimestre!C25:F26" display="HIPOTECA"/>
    <hyperlink ref="B422:G423" location="'2018'!G41:J41" display="'2018'!G41:J41"/>
    <hyperlink ref="B442" location="Trimestre!C25:F26" display="HIPOTECA"/>
    <hyperlink ref="B442:G443" location="'2018'!G42:J42" display="'2018'!G42:J42"/>
    <hyperlink ref="B462" location="Trimestre!C25:F26" display="HIPOTECA"/>
    <hyperlink ref="B462:G463" location="'2018'!G43:J43" display="'2018'!G43:J43"/>
    <hyperlink ref="B482" location="Trimestre!C25:F26" display="HIPOTECA"/>
    <hyperlink ref="B482:G483" location="'2018'!G44:J44" display="'2018'!G44:J44"/>
    <hyperlink ref="B502" location="Trimestre!C25:F26" display="HIPOTECA"/>
    <hyperlink ref="B502:G503" location="'2018'!G45:J45" display="'2018'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5" workbookViewId="0">
      <selection activeCell="D53" sqref="D5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1852.76</v>
      </c>
      <c r="L5" s="283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75">
        <v>335.99</v>
      </c>
      <c r="L6" s="276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>
        <f>310.53+141.02+247.94</f>
        <v>699.49</v>
      </c>
      <c r="F7" s="71"/>
      <c r="G7" s="34" t="s">
        <v>109</v>
      </c>
      <c r="H7" s="119">
        <f>B7*12</f>
        <v>672</v>
      </c>
      <c r="I7" s="75" t="s">
        <v>78</v>
      </c>
      <c r="J7" s="36" t="s">
        <v>79</v>
      </c>
      <c r="K7" s="275">
        <v>7882.01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3390.56</v>
      </c>
      <c r="L8" s="276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78</v>
      </c>
      <c r="J9" s="36" t="s">
        <v>277</v>
      </c>
      <c r="K9" s="275">
        <v>621.13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30+40+170</f>
        <v>240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75">
        <v>5092.08</v>
      </c>
      <c r="L12" s="276"/>
      <c r="M12" s="187" t="s">
        <v>317</v>
      </c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>
        <v>14.98</v>
      </c>
      <c r="F13" s="71"/>
      <c r="G13" s="34" t="s">
        <v>325</v>
      </c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21214.57</v>
      </c>
      <c r="L19" s="278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68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82">
        <v>259.36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334</v>
      </c>
      <c r="K26" s="275">
        <v>176.46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10.29+13.04+4.68+23.01+61.46</f>
        <v>112.47999999999999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331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68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323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333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336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68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68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342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298</v>
      </c>
    </row>
    <row r="189" spans="1:22">
      <c r="B189" s="68"/>
      <c r="C189" s="34"/>
      <c r="D189" s="70"/>
      <c r="E189" s="71"/>
      <c r="F189" s="71">
        <v>20</v>
      </c>
      <c r="G189" s="34" t="s">
        <v>341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342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>
        <v>180</v>
      </c>
      <c r="G227" s="34" t="s">
        <v>329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114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330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332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326</v>
      </c>
    </row>
    <row r="287" spans="2:7">
      <c r="B287" s="68"/>
      <c r="C287" s="34"/>
      <c r="D287" s="70">
        <v>10</v>
      </c>
      <c r="E287" s="71"/>
      <c r="F287" s="71"/>
      <c r="G287" s="34" t="s">
        <v>101</v>
      </c>
    </row>
    <row r="288" spans="2:7">
      <c r="B288" s="68"/>
      <c r="C288" s="34"/>
      <c r="D288" s="70">
        <v>30</v>
      </c>
      <c r="E288" s="71"/>
      <c r="F288" s="71"/>
      <c r="G288" s="34" t="s">
        <v>298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161.13</f>
        <v>161.13</v>
      </c>
      <c r="E307" s="71"/>
      <c r="F307" s="71"/>
      <c r="G307" s="34" t="s">
        <v>100</v>
      </c>
    </row>
    <row r="308" spans="2:7">
      <c r="B308" s="121"/>
      <c r="C308" s="79"/>
      <c r="D308" s="70">
        <f>68.66+13.86</f>
        <v>82.52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68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344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340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K4:N4" display="SALDO REAL"/>
    <hyperlink ref="I22" location="Trimestre!C39:F40" display="TELÉFONO"/>
    <hyperlink ref="I22:L23" location="'2018'!K7:N7" display="INGRESOS"/>
    <hyperlink ref="B2" location="Trimestre!C25:F26" display="HIPOTECA"/>
    <hyperlink ref="B2:G3" location="'2018'!K20:N20" display="'2018'!K20:N20"/>
    <hyperlink ref="B22" location="Trimestre!C25:F26" display="HIPOTECA"/>
    <hyperlink ref="B22:G23" location="'2018'!K21:N21" display="'2018'!K21:N21"/>
    <hyperlink ref="B42" location="Trimestre!C25:F26" display="HIPOTECA"/>
    <hyperlink ref="B42:G43" location="'2018'!K22:N22" display="'2018'!K22:N22"/>
    <hyperlink ref="B62" location="Trimestre!C25:F26" display="HIPOTECA"/>
    <hyperlink ref="B62:G63" location="'2018'!K23:N23" display="'2018'!K23:N23"/>
    <hyperlink ref="B82" location="Trimestre!C25:F26" display="HIPOTECA"/>
    <hyperlink ref="B82:G83" location="'2018'!K24:N24" display="'2018'!K24:N24"/>
    <hyperlink ref="B102" location="Trimestre!C25:F26" display="HIPOTECA"/>
    <hyperlink ref="B102:G103" location="'2018'!K25:N25" display="'2018'!K25:N25"/>
    <hyperlink ref="B122" location="Trimestre!C25:F26" display="HIPOTECA"/>
    <hyperlink ref="B122:G123" location="'2018'!K26:N26" display="'2018'!K26:N26"/>
    <hyperlink ref="B142" location="Trimestre!C25:F26" display="HIPOTECA"/>
    <hyperlink ref="B142:G143" location="'2018'!K27:N27" display="'2018'!K27:N27"/>
    <hyperlink ref="B162" location="Trimestre!C25:F26" display="HIPOTECA"/>
    <hyperlink ref="B162:G163" location="'2018'!K28:N28" display="'2018'!K28:N28"/>
    <hyperlink ref="B182" location="Trimestre!C25:F26" display="HIPOTECA"/>
    <hyperlink ref="B182:G183" location="'2018'!K29:N29" display="'2018'!K29:N29"/>
    <hyperlink ref="B202" location="Trimestre!C25:F26" display="HIPOTECA"/>
    <hyperlink ref="B202:G203" location="'2018'!K30:N30" display="'2018'!K30:N30"/>
    <hyperlink ref="B222" location="Trimestre!C25:F26" display="HIPOTECA"/>
    <hyperlink ref="B222:G223" location="'2018'!K31:N31" display="'2018'!K31:N31"/>
    <hyperlink ref="B242" location="Trimestre!C25:F26" display="HIPOTECA"/>
    <hyperlink ref="B242:G243" location="'2018'!K32:N32" display="'2018'!K32:N32"/>
    <hyperlink ref="B262" location="Trimestre!C25:F26" display="HIPOTECA"/>
    <hyperlink ref="B262:G263" location="'2018'!K33:N33" display="'2018'!K33:N33"/>
    <hyperlink ref="B282" location="Trimestre!C25:F26" display="HIPOTECA"/>
    <hyperlink ref="B282:G283" location="'2018'!K34:N34" display="'2018'!K34:N34"/>
    <hyperlink ref="B302" location="Trimestre!C25:F26" display="HIPOTECA"/>
    <hyperlink ref="B302:G303" location="'2018'!K35:N35" display="'2018'!K35:N35"/>
    <hyperlink ref="B322" location="Trimestre!C25:F26" display="HIPOTECA"/>
    <hyperlink ref="B322:G323" location="'2018'!K36:N36" display="'2018'!K36:N36"/>
    <hyperlink ref="B342" location="Trimestre!C25:F26" display="HIPOTECA"/>
    <hyperlink ref="B342:G343" location="'2018'!K37:N37" display="'2018'!K37:N37"/>
    <hyperlink ref="B362" location="Trimestre!C25:F26" display="HIPOTECA"/>
    <hyperlink ref="B362:G363" location="'2018'!K38:N38" display="'2018'!K38:N38"/>
    <hyperlink ref="B382" location="Trimestre!C25:F26" display="HIPOTECA"/>
    <hyperlink ref="B382:G383" location="'2018'!K39:N39" display="'2018'!K39:N39"/>
    <hyperlink ref="B402" location="Trimestre!C25:F26" display="HIPOTECA"/>
    <hyperlink ref="B402:G403" location="'2018'!K40:N40" display="'2018'!K40:N40"/>
    <hyperlink ref="B422" location="Trimestre!C25:F26" display="HIPOTECA"/>
    <hyperlink ref="B422:G423" location="'2018'!K41:N41" display="'2018'!K41:N41"/>
    <hyperlink ref="B442" location="Trimestre!C25:F26" display="HIPOTECA"/>
    <hyperlink ref="B442:G443" location="'2018'!K42:N42" display="'2018'!K42:N42"/>
    <hyperlink ref="B462" location="Trimestre!C25:F26" display="HIPOTECA"/>
    <hyperlink ref="B462:G463" location="'2018'!K43:N43" display="'2018'!K43:N43"/>
    <hyperlink ref="B482" location="Trimestre!C25:F26" display="HIPOTECA"/>
    <hyperlink ref="B482:G483" location="'2018'!K44:N44" display="'2018'!K44:N44"/>
    <hyperlink ref="B502" location="Trimestre!C25:F26" display="HIPOTECA"/>
    <hyperlink ref="B502:G503" location="'2018'!K45:N45" display="'2018'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1117.3699999999999</v>
      </c>
      <c r="L5" s="283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75">
        <v>292.37</v>
      </c>
      <c r="L6" s="276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>
        <v>17.46</v>
      </c>
      <c r="F7" s="71"/>
      <c r="G7" s="34" t="s">
        <v>109</v>
      </c>
      <c r="H7" s="119"/>
      <c r="I7" s="75" t="s">
        <v>78</v>
      </c>
      <c r="J7" s="36" t="s">
        <v>79</v>
      </c>
      <c r="K7" s="275">
        <f>6685.64-16.84-6.88</f>
        <v>6661.92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78</v>
      </c>
      <c r="J8" s="36" t="s">
        <v>80</v>
      </c>
      <c r="K8" s="275">
        <v>5000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75">
        <v>621.13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90+30+15</f>
        <v>135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>
        <v>82.95</v>
      </c>
      <c r="E13" s="71"/>
      <c r="F13" s="71"/>
      <c r="G13" s="34" t="s">
        <v>362</v>
      </c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20719.909999999996</v>
      </c>
      <c r="L19" s="278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68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82">
        <v>249.22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346</v>
      </c>
      <c r="K26" s="275">
        <v>197.22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9">
        <v>6</v>
      </c>
      <c r="J27" s="36" t="s">
        <v>365</v>
      </c>
      <c r="K27" s="275">
        <v>2290.23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9">
        <v>5</v>
      </c>
      <c r="J28" s="36" t="s">
        <v>366</v>
      </c>
      <c r="K28" s="275">
        <v>80.099999999999994</v>
      </c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>
        <v>4</v>
      </c>
      <c r="J29" s="36" t="s">
        <v>367</v>
      </c>
      <c r="K29" s="275">
        <v>0.03</v>
      </c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>
        <v>2</v>
      </c>
      <c r="J30" s="36" t="s">
        <v>286</v>
      </c>
      <c r="K30" s="275">
        <v>325.64</v>
      </c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11.16+13.38+122.9</f>
        <v>147.44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10</v>
      </c>
      <c r="C49" s="34" t="s">
        <v>339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267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68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311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348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352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360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7.99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342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318</v>
      </c>
      <c r="D167" s="70"/>
      <c r="E167" s="71">
        <f>80.1</f>
        <v>80.099999999999994</v>
      </c>
      <c r="F167" s="71"/>
      <c r="G167" s="34" t="s">
        <v>278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68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>
        <v>24.5</v>
      </c>
      <c r="E207" s="71"/>
      <c r="F207" s="71"/>
      <c r="G207" s="34" t="s">
        <v>353</v>
      </c>
    </row>
    <row r="208" spans="2:7">
      <c r="B208" s="68"/>
      <c r="C208" s="34"/>
      <c r="D208" s="70">
        <v>7.04</v>
      </c>
      <c r="E208" s="71"/>
      <c r="F208" s="71"/>
      <c r="G208" s="34" t="s">
        <v>355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6</v>
      </c>
      <c r="E250" s="71"/>
      <c r="F250" s="71"/>
      <c r="G250" s="34" t="s">
        <v>350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359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343</v>
      </c>
    </row>
    <row r="287" spans="2:7">
      <c r="B287" s="68">
        <v>224.6</v>
      </c>
      <c r="C287" s="34" t="s">
        <v>108</v>
      </c>
      <c r="D287" s="70">
        <v>34.99</v>
      </c>
      <c r="E287" s="71"/>
      <c r="F287" s="71"/>
      <c r="G287" s="34" t="s">
        <v>349</v>
      </c>
    </row>
    <row r="288" spans="2:7">
      <c r="B288" s="68"/>
      <c r="C288" s="34"/>
      <c r="D288" s="70">
        <v>22.15</v>
      </c>
      <c r="E288" s="71"/>
      <c r="F288" s="71"/>
      <c r="G288" s="34" t="s">
        <v>354</v>
      </c>
    </row>
    <row r="289" spans="2:7">
      <c r="B289" s="68"/>
      <c r="C289" s="34"/>
      <c r="D289" s="70">
        <v>198</v>
      </c>
      <c r="E289" s="71"/>
      <c r="F289" s="71"/>
      <c r="G289" s="34" t="s">
        <v>358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68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104</v>
      </c>
    </row>
    <row r="307" spans="2:7">
      <c r="B307" s="121"/>
      <c r="C307" s="79"/>
      <c r="D307" s="70">
        <f>9.1</f>
        <v>9.1</v>
      </c>
      <c r="E307" s="71"/>
      <c r="F307" s="71">
        <f>3.6</f>
        <v>3.6</v>
      </c>
      <c r="G307" s="34" t="s">
        <v>100</v>
      </c>
    </row>
    <row r="308" spans="2:7">
      <c r="B308" s="121"/>
      <c r="C308" s="79"/>
      <c r="D308" s="70"/>
      <c r="E308" s="71"/>
      <c r="F308" s="71">
        <f>50</f>
        <v>50</v>
      </c>
      <c r="G308" s="34" t="s">
        <v>249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356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364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363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94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367</v>
      </c>
      <c r="D406" s="70"/>
      <c r="E406" s="71">
        <v>20</v>
      </c>
      <c r="F406" s="71"/>
      <c r="G406" s="34" t="s">
        <v>351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68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368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370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O4:R4" display="SALDO REAL"/>
    <hyperlink ref="I22" location="Trimestre!C39:F40" display="TELÉFONO"/>
    <hyperlink ref="I22:L23" location="'2018'!O7:R7" display="INGRESOS"/>
    <hyperlink ref="B2" location="Trimestre!C25:F26" display="HIPOTECA"/>
    <hyperlink ref="B2:G3" location="'2018'!O20:R20" display="'2018'!O20:R20"/>
    <hyperlink ref="B22" location="Trimestre!C25:F26" display="HIPOTECA"/>
    <hyperlink ref="B22:G23" location="'2018'!O21:R21" display="'2018'!O21:R21"/>
    <hyperlink ref="B42" location="Trimestre!C25:F26" display="HIPOTECA"/>
    <hyperlink ref="B42:G43" location="'2018'!O22:R22" display="'2018'!O22:R22"/>
    <hyperlink ref="B62" location="Trimestre!C25:F26" display="HIPOTECA"/>
    <hyperlink ref="B62:G63" location="'2018'!O23:R23" display="'2018'!O23:R23"/>
    <hyperlink ref="B82" location="Trimestre!C25:F26" display="HIPOTECA"/>
    <hyperlink ref="B82:G83" location="'2018'!O24:R24" display="'2018'!O24:R24"/>
    <hyperlink ref="B102" location="Trimestre!C25:F26" display="HIPOTECA"/>
    <hyperlink ref="B102:G103" location="'2018'!O25:R25" display="'2018'!O25:R25"/>
    <hyperlink ref="B122" location="Trimestre!C25:F26" display="HIPOTECA"/>
    <hyperlink ref="B122:G123" location="'2018'!O26:R26" display="'2018'!O26:R26"/>
    <hyperlink ref="B142" location="Trimestre!C25:F26" display="HIPOTECA"/>
    <hyperlink ref="B142:G143" location="'2018'!O27:R27" display="'2018'!O27:R27"/>
    <hyperlink ref="B162" location="Trimestre!C25:F26" display="HIPOTECA"/>
    <hyperlink ref="B162:G163" location="'2018'!O28:R28" display="'2018'!O28:R28"/>
    <hyperlink ref="B182" location="Trimestre!C25:F26" display="HIPOTECA"/>
    <hyperlink ref="B182:G183" location="'2018'!O29:R29" display="'2018'!O29:R29"/>
    <hyperlink ref="B202" location="Trimestre!C25:F26" display="HIPOTECA"/>
    <hyperlink ref="B202:G203" location="'2018'!O30:R30" display="'2018'!O30:R30"/>
    <hyperlink ref="B222" location="Trimestre!C25:F26" display="HIPOTECA"/>
    <hyperlink ref="B222:G223" location="'2018'!O31:R31" display="'2018'!O31:R31"/>
    <hyperlink ref="B242" location="Trimestre!C25:F26" display="HIPOTECA"/>
    <hyperlink ref="B242:G243" location="'2018'!O32:R32" display="'2018'!O32:R32"/>
    <hyperlink ref="B262" location="Trimestre!C25:F26" display="HIPOTECA"/>
    <hyperlink ref="B262:G263" location="'2018'!O33:R33" display="'2018'!O33:R33"/>
    <hyperlink ref="B282" location="Trimestre!C25:F26" display="HIPOTECA"/>
    <hyperlink ref="B282:G283" location="'2018'!O34:R34" display="'2018'!O34:R34"/>
    <hyperlink ref="B302" location="Trimestre!C25:F26" display="HIPOTECA"/>
    <hyperlink ref="B302:G303" location="'2018'!O35:R35" display="'2018'!O35:R35"/>
    <hyperlink ref="B322" location="Trimestre!C25:F26" display="HIPOTECA"/>
    <hyperlink ref="B322:G323" location="'2018'!O36:R36" display="'2018'!O36:R36"/>
    <hyperlink ref="B342" location="Trimestre!C25:F26" display="HIPOTECA"/>
    <hyperlink ref="B342:G343" location="'2018'!O37:R37" display="'2018'!O37:R37"/>
    <hyperlink ref="B362" location="Trimestre!C25:F26" display="HIPOTECA"/>
    <hyperlink ref="B362:G363" location="'2018'!O38:R38" display="'2018'!O38:R38"/>
    <hyperlink ref="B382" location="Trimestre!C25:F26" display="HIPOTECA"/>
    <hyperlink ref="B382:G383" location="'2018'!O39:R39" display="'2018'!O39:R39"/>
    <hyperlink ref="B402" location="Trimestre!C25:F26" display="HIPOTECA"/>
    <hyperlink ref="B402:G403" location="'2018'!O40:R40" display="'2018'!O40:R40"/>
    <hyperlink ref="B422" location="Trimestre!C25:F26" display="HIPOTECA"/>
    <hyperlink ref="B422:G423" location="'2018'!O41:R41" display="'2018'!O41:R41"/>
    <hyperlink ref="B442" location="Trimestre!C25:F26" display="HIPOTECA"/>
    <hyperlink ref="B442:G443" location="'2018'!O42:R42" display="'2018'!O42:R42"/>
    <hyperlink ref="B462" location="Trimestre!C25:F26" display="HIPOTECA"/>
    <hyperlink ref="B462:G463" location="'2018'!O43:R43" display="'2018'!O43:R43"/>
    <hyperlink ref="B482" location="Trimestre!C25:F26" display="HIPOTECA"/>
    <hyperlink ref="B482:G483" location="'2018'!O44:R44" display="'2018'!O44:R44"/>
    <hyperlink ref="B502" location="Trimestre!C25:F26" display="HIPOTECA"/>
    <hyperlink ref="B502:G503" location="'2018'!O45:R45" display="'2018'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1091.18</v>
      </c>
      <c r="L5" s="283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75">
        <v>248.78</v>
      </c>
      <c r="L6" s="276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75" t="s">
        <v>78</v>
      </c>
      <c r="J7" s="36" t="s">
        <v>79</v>
      </c>
      <c r="K7" s="275">
        <v>8736.65</v>
      </c>
      <c r="L7" s="276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5000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75">
        <v>621.13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40+276</f>
        <v>316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f>43.62</f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22905.86</v>
      </c>
      <c r="L19" s="278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68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5</v>
      </c>
      <c r="J25" s="3" t="s">
        <v>371</v>
      </c>
      <c r="K25" s="282">
        <v>38.64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286</v>
      </c>
      <c r="K26" s="275">
        <v>249.22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>
        <v>2</v>
      </c>
      <c r="J27" s="36" t="s">
        <v>346</v>
      </c>
      <c r="K27" s="275">
        <v>155.69999999999999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40</v>
      </c>
      <c r="C49" s="34" t="s">
        <v>345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101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101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68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375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377</v>
      </c>
      <c r="D68" s="70">
        <f>50+100</f>
        <v>150</v>
      </c>
      <c r="E68" s="71"/>
      <c r="F68" s="71">
        <f>35+38</f>
        <v>73</v>
      </c>
      <c r="G68" s="34" t="s">
        <v>377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387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348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89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68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68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8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372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376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399</v>
      </c>
    </row>
    <row r="189" spans="1:22">
      <c r="B189" s="68"/>
      <c r="C189" s="34"/>
      <c r="D189" s="70">
        <v>18</v>
      </c>
      <c r="E189" s="71"/>
      <c r="F189" s="71"/>
      <c r="G189" s="34" t="s">
        <v>400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3.99</v>
      </c>
      <c r="E250" s="71"/>
      <c r="F250" s="71"/>
      <c r="G250" s="34" t="s">
        <v>396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101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373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374</v>
      </c>
    </row>
    <row r="288" spans="2:7">
      <c r="B288" s="68"/>
      <c r="C288" s="34"/>
      <c r="D288" s="70"/>
      <c r="E288" s="71">
        <v>66.59</v>
      </c>
      <c r="F288" s="71"/>
      <c r="G288" s="34" t="s">
        <v>383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134.93</f>
        <v>134.93</v>
      </c>
      <c r="E307" s="71"/>
      <c r="F307" s="71"/>
      <c r="G307" s="34" t="s">
        <v>100</v>
      </c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68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94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95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392</v>
      </c>
    </row>
    <row r="369" spans="2:7">
      <c r="B369" s="68"/>
      <c r="C369" s="34"/>
      <c r="D369" s="70"/>
      <c r="E369" s="71">
        <v>6.48</v>
      </c>
      <c r="F369" s="71"/>
      <c r="G369" s="34" t="s">
        <v>401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371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379</v>
      </c>
      <c r="D426" s="70"/>
      <c r="E426" s="71"/>
      <c r="F426" s="71"/>
      <c r="G426" s="34"/>
    </row>
    <row r="427" spans="2:7">
      <c r="B427" s="68">
        <v>-27.52</v>
      </c>
      <c r="C427" s="34" t="s">
        <v>402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S4:V4" display="SALDO REAL"/>
    <hyperlink ref="I22" location="Trimestre!C39:F40" display="TELÉFONO"/>
    <hyperlink ref="I22:L23" location="'2018'!S7:V7" display="INGRESOS"/>
    <hyperlink ref="B2" location="Trimestre!C25:F26" display="HIPOTECA"/>
    <hyperlink ref="B2:G3" location="'2018'!S20:V20" display="'2018'!S20:V20"/>
    <hyperlink ref="B22" location="Trimestre!C25:F26" display="HIPOTECA"/>
    <hyperlink ref="B22:G23" location="'2018'!S21:V21" display="'2018'!S21:V21"/>
    <hyperlink ref="B42" location="Trimestre!C25:F26" display="HIPOTECA"/>
    <hyperlink ref="B42:G43" location="'2018'!S22:V22" display="'2018'!S22:V22"/>
    <hyperlink ref="B62" location="Trimestre!C25:F26" display="HIPOTECA"/>
    <hyperlink ref="B62:G63" location="'2018'!S23:V23" display="'2018'!S23:V23"/>
    <hyperlink ref="B82" location="Trimestre!C25:F26" display="HIPOTECA"/>
    <hyperlink ref="B82:G83" location="'2018'!S24:V24" display="'2018'!S24:V24"/>
    <hyperlink ref="B102" location="Trimestre!C25:F26" display="HIPOTECA"/>
    <hyperlink ref="B102:G103" location="'2018'!S25:V25" display="'2018'!S25:V25"/>
    <hyperlink ref="B122" location="Trimestre!C25:F26" display="HIPOTECA"/>
    <hyperlink ref="B122:G123" location="'2018'!S26:V26" display="'2018'!S26:V26"/>
    <hyperlink ref="B142" location="Trimestre!C25:F26" display="HIPOTECA"/>
    <hyperlink ref="B142:G143" location="'2018'!S27:V27" display="'2018'!S27:V27"/>
    <hyperlink ref="B162" location="Trimestre!C25:F26" display="HIPOTECA"/>
    <hyperlink ref="B162:G163" location="'2018'!S28:V28" display="'2018'!S28:V28"/>
    <hyperlink ref="B182" location="Trimestre!C25:F26" display="HIPOTECA"/>
    <hyperlink ref="B182:G183" location="'2018'!S29:V29" display="'2018'!S29:V29"/>
    <hyperlink ref="B202" location="Trimestre!C25:F26" display="HIPOTECA"/>
    <hyperlink ref="B202:G203" location="'2018'!S30:V30" display="'2018'!S30:V30"/>
    <hyperlink ref="B222" location="Trimestre!C25:F26" display="HIPOTECA"/>
    <hyperlink ref="B222:G223" location="'2018'!S31:V31" display="'2018'!S31:V31"/>
    <hyperlink ref="B242" location="Trimestre!C25:F26" display="HIPOTECA"/>
    <hyperlink ref="B242:G243" location="'2018'!S32:V32" display="'2018'!S32:V32"/>
    <hyperlink ref="B262" location="Trimestre!C25:F26" display="HIPOTECA"/>
    <hyperlink ref="B262:G263" location="'2018'!S33:V33" display="'2018'!S33:V33"/>
    <hyperlink ref="B282" location="Trimestre!C25:F26" display="HIPOTECA"/>
    <hyperlink ref="B282:G283" location="'2018'!S34:V34" display="'2018'!S34:V34"/>
    <hyperlink ref="B302" location="Trimestre!C25:F26" display="HIPOTECA"/>
    <hyperlink ref="B302:G303" location="'2018'!S35:V35" display="'2018'!S35:V35"/>
    <hyperlink ref="B322" location="Trimestre!C25:F26" display="HIPOTECA"/>
    <hyperlink ref="B322:G323" location="'2018'!S36:V36" display="'2018'!S36:V36"/>
    <hyperlink ref="B342" location="Trimestre!C25:F26" display="HIPOTECA"/>
    <hyperlink ref="B342:G343" location="'2018'!S37:V37" display="'2018'!S37:V37"/>
    <hyperlink ref="B362" location="Trimestre!C25:F26" display="HIPOTECA"/>
    <hyperlink ref="B362:G363" location="'2018'!S38:V38" display="'2018'!S38:V38"/>
    <hyperlink ref="B382" location="Trimestre!C25:F26" display="HIPOTECA"/>
    <hyperlink ref="B382:G383" location="'2018'!S39:V39" display="'2018'!S39:V39"/>
    <hyperlink ref="B402" location="Trimestre!C25:F26" display="HIPOTECA"/>
    <hyperlink ref="B402:G403" location="'2018'!S40:V40" display="'2018'!S40:V40"/>
    <hyperlink ref="B422" location="Trimestre!C25:F26" display="HIPOTECA"/>
    <hyperlink ref="B422:G423" location="'2018'!S41:V41" display="'2018'!S41:V41"/>
    <hyperlink ref="B442" location="Trimestre!C25:F26" display="HIPOTECA"/>
    <hyperlink ref="B442:G443" location="'2018'!S42:V42" display="'2018'!S42:V42"/>
    <hyperlink ref="B462" location="Trimestre!C25:F26" display="HIPOTECA"/>
    <hyperlink ref="B462:G463" location="'2018'!S43:V43" display="'2018'!S43:V43"/>
    <hyperlink ref="B482" location="Trimestre!C25:F26" display="HIPOTECA"/>
    <hyperlink ref="B482:G483" location="'2018'!S44:V44" display="'2018'!S44:V44"/>
    <hyperlink ref="B502" location="Trimestre!C25:F26" display="HIPOTECA"/>
    <hyperlink ref="B502:G503" location="'2018'!S45:V45" display="'2018'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14" workbookViewId="0">
      <selection activeCell="B426" sqref="B42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129" t="s">
        <v>72</v>
      </c>
      <c r="J4" s="204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82">
        <v>2311.09</v>
      </c>
      <c r="L5" s="283"/>
      <c r="M5" s="1" t="s">
        <v>405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207" t="s">
        <v>75</v>
      </c>
      <c r="J6" s="206" t="s">
        <v>77</v>
      </c>
      <c r="K6" s="275">
        <v>205.16</v>
      </c>
      <c r="L6" s="276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75">
        <v>6999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82.76</v>
      </c>
      <c r="F8" s="71"/>
      <c r="G8" s="34" t="s">
        <v>38</v>
      </c>
      <c r="H8" s="1"/>
      <c r="I8" s="207" t="s">
        <v>78</v>
      </c>
      <c r="J8" s="206" t="s">
        <v>80</v>
      </c>
      <c r="K8" s="275">
        <v>6000</v>
      </c>
      <c r="L8" s="276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7" t="s">
        <v>78</v>
      </c>
      <c r="J9" s="206" t="s">
        <v>277</v>
      </c>
      <c r="K9" s="275">
        <v>659.77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7" t="s">
        <v>78</v>
      </c>
      <c r="J10" s="20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7" t="s">
        <v>96</v>
      </c>
      <c r="J11" s="206" t="s">
        <v>97</v>
      </c>
      <c r="K11" s="275">
        <f>465+90</f>
        <v>555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207" t="s">
        <v>313</v>
      </c>
      <c r="J12" s="20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23622.14</v>
      </c>
      <c r="L19" s="278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68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2</v>
      </c>
      <c r="J25" s="3" t="s">
        <v>346</v>
      </c>
      <c r="K25" s="282">
        <v>197.22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5</v>
      </c>
      <c r="J26" s="36" t="s">
        <v>437</v>
      </c>
      <c r="K26" s="275">
        <v>200</v>
      </c>
      <c r="L26" s="276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404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408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61.31+15.03</f>
        <v>76.34</v>
      </c>
      <c r="E47" s="71"/>
      <c r="F47" s="71"/>
      <c r="G47" s="34" t="s">
        <v>417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409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459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413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414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416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428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434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436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441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449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454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455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68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407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427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432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433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439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446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445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456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420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440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448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461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>
        <v>10</v>
      </c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411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421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457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404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429</v>
      </c>
    </row>
    <row r="207" spans="2:7">
      <c r="B207" s="68"/>
      <c r="C207" s="34"/>
      <c r="D207" s="70">
        <v>9</v>
      </c>
      <c r="E207" s="71"/>
      <c r="F207" s="71"/>
      <c r="G207" s="34" t="s">
        <v>453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>
        <v>195</v>
      </c>
      <c r="G227" s="34" t="s">
        <v>105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404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449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404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435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438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444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447</v>
      </c>
    </row>
    <row r="290" spans="2:7">
      <c r="B290" s="68"/>
      <c r="C290" s="34"/>
      <c r="D290" s="70">
        <v>6.95</v>
      </c>
      <c r="E290" s="71"/>
      <c r="F290" s="71"/>
      <c r="G290" s="34" t="s">
        <v>460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404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412</v>
      </c>
    </row>
    <row r="307" spans="2:7">
      <c r="B307" s="121"/>
      <c r="C307" s="79"/>
      <c r="D307" s="70">
        <v>94</v>
      </c>
      <c r="E307" s="71"/>
      <c r="F307" s="71"/>
      <c r="G307" s="34" t="s">
        <v>418</v>
      </c>
    </row>
    <row r="308" spans="2:7">
      <c r="B308" s="121"/>
      <c r="C308" s="79"/>
      <c r="D308" s="70">
        <v>4.4000000000000004</v>
      </c>
      <c r="E308" s="71"/>
      <c r="F308" s="71"/>
      <c r="G308" s="34" t="s">
        <v>431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404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419</v>
      </c>
    </row>
    <row r="327" spans="2:7">
      <c r="B327" s="68"/>
      <c r="C327" s="34"/>
      <c r="D327" s="70">
        <v>9</v>
      </c>
      <c r="E327" s="71"/>
      <c r="F327" s="71"/>
      <c r="G327" s="34" t="s">
        <v>436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404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404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406</v>
      </c>
    </row>
    <row r="367" spans="2:7">
      <c r="B367" s="68"/>
      <c r="C367" s="34"/>
      <c r="D367" s="70">
        <v>6.5</v>
      </c>
      <c r="E367" s="71"/>
      <c r="F367" s="71"/>
      <c r="G367" s="91" t="s">
        <v>430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449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450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68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403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W4:Z4" display="SALDO REAL"/>
    <hyperlink ref="I22" location="Trimestre!C39:F40" display="TELÉFONO"/>
    <hyperlink ref="I22:L23" location="'2018'!W7:Z7" display="INGRESOS"/>
    <hyperlink ref="B2" location="Trimestre!C25:F26" display="HIPOTECA"/>
    <hyperlink ref="B2:G3" location="'2018'!W20:Z20" display="'2018'!W20:Z20"/>
    <hyperlink ref="B22" location="Trimestre!C25:F26" display="HIPOTECA"/>
    <hyperlink ref="B22:G23" location="'2018'!W21:Z21" display="'2018'!W21:Z21"/>
    <hyperlink ref="B42" location="Trimestre!C25:F26" display="HIPOTECA"/>
    <hyperlink ref="B42:G43" location="'2018'!W22:Z22" display="'2018'!W22:Z22"/>
    <hyperlink ref="B62" location="Trimestre!C25:F26" display="HIPOTECA"/>
    <hyperlink ref="B62:G63" location="'2018'!W23:Z23" display="'2018'!W23:Z23"/>
    <hyperlink ref="B82" location="Trimestre!C25:F26" display="HIPOTECA"/>
    <hyperlink ref="B82:G83" location="'2018'!W24:Z24" display="'2018'!W24:Z24"/>
    <hyperlink ref="B102" location="Trimestre!C25:F26" display="HIPOTECA"/>
    <hyperlink ref="B102:G103" location="'2018'!W25:Z25" display="'2018'!W25:Z25"/>
    <hyperlink ref="B122" location="Trimestre!C25:F26" display="HIPOTECA"/>
    <hyperlink ref="B122:G123" location="'2018'!W26:Z26" display="'2018'!W26:Z26"/>
    <hyperlink ref="B142" location="Trimestre!C25:F26" display="HIPOTECA"/>
    <hyperlink ref="B142:G143" location="'2018'!W27:Z27" display="'2018'!W27:Z27"/>
    <hyperlink ref="B162" location="Trimestre!C25:F26" display="HIPOTECA"/>
    <hyperlink ref="B162:G163" location="'2018'!W28:Z28" display="'2018'!W28:Z28"/>
    <hyperlink ref="B182" location="Trimestre!C25:F26" display="HIPOTECA"/>
    <hyperlink ref="B182:G183" location="'2018'!W29:Z29" display="'2018'!W29:Z29"/>
    <hyperlink ref="B202" location="Trimestre!C25:F26" display="HIPOTECA"/>
    <hyperlink ref="B202:G203" location="'2018'!W30:Z30" display="'2018'!W30:Z30"/>
    <hyperlink ref="B222" location="Trimestre!C25:F26" display="HIPOTECA"/>
    <hyperlink ref="B222:G223" location="'2018'!W31:Z31" display="'2018'!W31:Z31"/>
    <hyperlink ref="B242" location="Trimestre!C25:F26" display="HIPOTECA"/>
    <hyperlink ref="B242:G243" location="'2018'!W32:Z32" display="'2018'!W32:Z32"/>
    <hyperlink ref="B262" location="Trimestre!C25:F26" display="HIPOTECA"/>
    <hyperlink ref="B262:G263" location="'2018'!W33:Z33" display="'2018'!W33:Z33"/>
    <hyperlink ref="B282" location="Trimestre!C25:F26" display="HIPOTECA"/>
    <hyperlink ref="B282:G283" location="'2018'!W34:Z34" display="'2018'!W34:Z34"/>
    <hyperlink ref="B302" location="Trimestre!C25:F26" display="HIPOTECA"/>
    <hyperlink ref="B302:G303" location="'2018'!W35:Z35" display="'2018'!W35:Z35"/>
    <hyperlink ref="B322" location="Trimestre!C25:F26" display="HIPOTECA"/>
    <hyperlink ref="B322:G323" location="'2018'!W36:Z36" display="'2018'!W36:Z36"/>
    <hyperlink ref="B342" location="Trimestre!C25:F26" display="HIPOTECA"/>
    <hyperlink ref="B342:G343" location="'2018'!W37:Z37" display="'2018'!W37:Z37"/>
    <hyperlink ref="B362" location="Trimestre!C25:F26" display="HIPOTECA"/>
    <hyperlink ref="B362:G363" location="'2018'!W38:Z38" display="'2018'!W38:Z38"/>
    <hyperlink ref="B382" location="Trimestre!C25:F26" display="HIPOTECA"/>
    <hyperlink ref="B382:G383" location="'2018'!W39:Z39" display="'2018'!W39:Z39"/>
    <hyperlink ref="B402" location="Trimestre!C25:F26" display="HIPOTECA"/>
    <hyperlink ref="B402:G403" location="'2018'!W40:Z40" display="'2018'!W40:Z40"/>
    <hyperlink ref="B422" location="Trimestre!C25:F26" display="HIPOTECA"/>
    <hyperlink ref="B422:G423" location="'2018'!W41:Z41" display="'2018'!W41:Z41"/>
    <hyperlink ref="B442" location="Trimestre!C25:F26" display="HIPOTECA"/>
    <hyperlink ref="B442:G443" location="'2018'!W42:Z42" display="'2018'!W42:Z42"/>
    <hyperlink ref="B462" location="Trimestre!C25:F26" display="HIPOTECA"/>
    <hyperlink ref="B462:G463" location="'2018'!W43:Z43" display="'2018'!W43:Z43"/>
    <hyperlink ref="B482" location="Trimestre!C25:F26" display="HIPOTECA"/>
    <hyperlink ref="B482:G483" location="'2018'!W44:Z44" display="'2018'!W44:Z44"/>
    <hyperlink ref="B502" location="Trimestre!C25:F26" display="HIPOTECA"/>
    <hyperlink ref="B502:G503" location="'2018'!W45:Z45" display="'2018'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362" workbookViewId="0">
      <selection activeCell="B362" sqref="B362:G36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129" t="s">
        <v>72</v>
      </c>
      <c r="J4" s="204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82">
        <v>2946.37</v>
      </c>
      <c r="L5" s="283"/>
      <c r="M5" s="1" t="s">
        <v>405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75">
        <v>161.54</v>
      </c>
      <c r="L6" s="276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75">
        <v>7451.76</v>
      </c>
      <c r="L7" s="276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75">
        <v>6000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75">
        <v>659.77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7" t="s">
        <v>78</v>
      </c>
      <c r="J10" s="20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7" t="s">
        <v>96</v>
      </c>
      <c r="J11" s="206" t="s">
        <v>97</v>
      </c>
      <c r="K11" s="275">
        <v>800</v>
      </c>
      <c r="L11" s="276"/>
      <c r="M11" s="1"/>
      <c r="N11" s="1"/>
      <c r="R11" s="3"/>
    </row>
    <row r="12" spans="1:22" ht="15.75">
      <c r="A12" s="1"/>
      <c r="B12" s="68">
        <f>120+256.54</f>
        <v>376.54</v>
      </c>
      <c r="C12" s="34" t="s">
        <v>202</v>
      </c>
      <c r="D12" s="70"/>
      <c r="E12" s="71"/>
      <c r="F12" s="71"/>
      <c r="G12" s="34" t="s">
        <v>234</v>
      </c>
      <c r="H12" s="1"/>
      <c r="I12" s="207" t="s">
        <v>313</v>
      </c>
      <c r="J12" s="20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24911.559999999998</v>
      </c>
      <c r="L19" s="278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75"/>
      <c r="L26" s="276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404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</f>
        <v>56.85</v>
      </c>
      <c r="E46" s="71"/>
      <c r="F46" s="71"/>
      <c r="G46" s="90" t="s">
        <v>463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86.61</f>
        <v>86.61</v>
      </c>
      <c r="E47" s="71"/>
      <c r="F47" s="71"/>
      <c r="G47" s="34" t="s">
        <v>464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68</v>
      </c>
      <c r="D60" s="69">
        <f>SUM(D46:D59)</f>
        <v>143.46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>
        <v>71</v>
      </c>
      <c r="C67" s="34" t="s">
        <v>458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462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469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467</v>
      </c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84.97999999999999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404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404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464</v>
      </c>
    </row>
    <row r="287" spans="2:7">
      <c r="B287" s="68">
        <v>200</v>
      </c>
      <c r="C287" s="34" t="s">
        <v>438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68</v>
      </c>
      <c r="D300" s="69">
        <f>SUM(D286:D299)</f>
        <v>6.5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404</v>
      </c>
    </row>
    <row r="306" spans="2:7">
      <c r="B306" s="67">
        <v>100</v>
      </c>
      <c r="C306" s="37" t="s">
        <v>60</v>
      </c>
      <c r="D306" s="70"/>
      <c r="E306" s="71"/>
      <c r="F306" s="71"/>
      <c r="G306" s="34"/>
    </row>
    <row r="307" spans="2:7">
      <c r="B307" s="121"/>
      <c r="C307" s="79"/>
      <c r="D307" s="70"/>
      <c r="E307" s="71"/>
      <c r="F307" s="71"/>
      <c r="G307" s="34"/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404</v>
      </c>
    </row>
    <row r="326" spans="2:7">
      <c r="B326" s="67">
        <v>10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404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404</v>
      </c>
    </row>
    <row r="366" spans="2:7">
      <c r="B366" s="67">
        <v>103</v>
      </c>
      <c r="C366" s="37" t="s">
        <v>36</v>
      </c>
      <c r="D366" s="70"/>
      <c r="E366" s="71"/>
      <c r="F366" s="71">
        <f>4.45</f>
        <v>4.45</v>
      </c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4.45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-4618.3+'2018'!AA17</f>
        <v>-3831.88</v>
      </c>
      <c r="C426" s="37" t="s">
        <v>415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-3831.88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activeCell="H19" sqref="H19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129" t="s">
        <v>72</v>
      </c>
      <c r="J4" s="204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82"/>
      <c r="L5" s="283"/>
      <c r="M5" s="1" t="s">
        <v>405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75">
        <v>161.54</v>
      </c>
      <c r="L6" s="276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75"/>
      <c r="L7" s="276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75">
        <v>6000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75">
        <v>659.77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7" t="s">
        <v>78</v>
      </c>
      <c r="J10" s="20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7" t="s">
        <v>96</v>
      </c>
      <c r="J11" s="206" t="s">
        <v>97</v>
      </c>
      <c r="K11" s="275"/>
      <c r="L11" s="276"/>
      <c r="M11" s="1"/>
      <c r="N11" s="1"/>
      <c r="R11" s="3"/>
    </row>
    <row r="12" spans="1:22" ht="15.75">
      <c r="A12" s="1"/>
      <c r="B12" s="68">
        <f>120+256.54</f>
        <v>376.54</v>
      </c>
      <c r="C12" s="34" t="s">
        <v>202</v>
      </c>
      <c r="D12" s="70"/>
      <c r="E12" s="71"/>
      <c r="F12" s="71"/>
      <c r="G12" s="34" t="s">
        <v>234</v>
      </c>
      <c r="H12" s="1"/>
      <c r="I12" s="207" t="s">
        <v>313</v>
      </c>
      <c r="J12" s="20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13713.429999999998</v>
      </c>
      <c r="L19" s="278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6821.3099999999995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75"/>
      <c r="L26" s="276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404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>
        <v>71</v>
      </c>
      <c r="C67" s="34" t="s">
        <v>458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404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404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>
        <v>200</v>
      </c>
      <c r="C287" s="34" t="s">
        <v>438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404</v>
      </c>
    </row>
    <row r="306" spans="2:7">
      <c r="B306" s="67">
        <v>100</v>
      </c>
      <c r="C306" s="37" t="s">
        <v>60</v>
      </c>
      <c r="D306" s="70"/>
      <c r="E306" s="71"/>
      <c r="F306" s="71"/>
      <c r="G306" s="34"/>
    </row>
    <row r="307" spans="2:7">
      <c r="B307" s="121"/>
      <c r="C307" s="79"/>
      <c r="D307" s="70"/>
      <c r="E307" s="71"/>
      <c r="F307" s="71"/>
      <c r="G307" s="34"/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404</v>
      </c>
    </row>
    <row r="326" spans="2:7">
      <c r="B326" s="67">
        <v>10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404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404</v>
      </c>
    </row>
    <row r="366" spans="2:7">
      <c r="B366" s="67">
        <v>103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-4598.3-'2018'!AA17</f>
        <v>-5384.72</v>
      </c>
      <c r="C426" s="37" t="s">
        <v>415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-5384.72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2018-07-03T14:35:24Z</dcterms:modified>
</cp:coreProperties>
</file>