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A65964B-B48F-4A9D-9371-B10C404E1987}" xr6:coauthVersionLast="41" xr6:coauthVersionMax="41" xr10:uidLastSave="{00000000-0000-0000-0000-000000000000}"/>
  <bookViews>
    <workbookView xWindow="-108" yWindow="12852" windowWidth="22224" windowHeight="13176" firstSheet="1" activeTab="9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0" l="1"/>
  <c r="A428" i="10" l="1"/>
  <c r="M60" i="10"/>
  <c r="L25" i="15" l="1"/>
  <c r="M25" i="15" s="1"/>
  <c r="J25" i="15"/>
  <c r="A468" i="11" l="1"/>
  <c r="A467" i="11"/>
  <c r="A466" i="11"/>
  <c r="A359" i="11"/>
  <c r="A358" i="11"/>
  <c r="A346" i="11"/>
  <c r="A299" i="11"/>
  <c r="A286" i="11"/>
  <c r="A300" i="11" s="1"/>
  <c r="A257" i="11"/>
  <c r="A256" i="11"/>
  <c r="A246" i="11"/>
  <c r="H257" i="11"/>
  <c r="A127" i="11"/>
  <c r="A126" i="11"/>
  <c r="A140" i="11" s="1"/>
  <c r="A108" i="11"/>
  <c r="A109" i="11"/>
  <c r="A79" i="11"/>
  <c r="A66" i="11"/>
  <c r="A27" i="11"/>
  <c r="A28" i="11"/>
  <c r="A29" i="11"/>
  <c r="A30" i="11"/>
  <c r="A26" i="11"/>
  <c r="A7" i="11"/>
  <c r="A10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E257" i="10"/>
  <c r="H26" i="15"/>
  <c r="E186" i="10"/>
  <c r="F66" i="10"/>
  <c r="A480" i="11" l="1"/>
  <c r="A360" i="11"/>
  <c r="A260" i="11"/>
  <c r="A80" i="11"/>
  <c r="A4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1" i="11" l="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20" i="11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<sst xmlns="http://schemas.openxmlformats.org/spreadsheetml/2006/main" count="5642" uniqueCount="803">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</sst>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6" zoomScaleNormal="100" workbookViewId="0">
      <pane xSplit="1" topLeftCell="AE1" activePane="topRight" state="frozen"/>
      <selection pane="topRight" activeCell="AP50" sqref="AP5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291.60000000000002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5362.3900000000012</v>
      </c>
      <c r="BA9" s="112">
        <f t="shared" ca="1" si="0"/>
        <v>595.82111111111124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48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1036.56</v>
      </c>
      <c r="BA10" s="112">
        <f t="shared" ca="1" si="0"/>
        <v>115.17333333333333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1072.33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6281.9000000000005</v>
      </c>
      <c r="BA13" s="112">
        <f t="shared" ca="1" si="0"/>
        <v>697.98888888888894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676.35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4937.7900000000009</v>
      </c>
      <c r="BA15" s="112">
        <f t="shared" ca="1" si="0"/>
        <v>548.64333333333343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2188.2799999999997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42384.22</v>
      </c>
      <c r="BA17" s="112">
        <f ca="1">AZ17/BC$17</f>
        <v>4709.3577777777782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56512.293333333335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52.82</v>
      </c>
      <c r="AL20" s="145">
        <f t="shared" ref="AL20:AL45" si="10">AH20+AJ20-AK20</f>
        <v>1032.5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1576.5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2120.5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2664.5</v>
      </c>
      <c r="AZ20" s="123">
        <f t="shared" ref="AZ20:AZ27" si="14">E20+I20+M20+Q20+U20+Y20+AC20+AG20+AK20+AO20+AS20+AW20</f>
        <v>4737.5600000000004</v>
      </c>
      <c r="BA20" s="21">
        <f t="shared" ref="BA20:BA45" si="15">AZ20/AZ$46</f>
        <v>0.1229109617028563</v>
      </c>
      <c r="BB20" s="22">
        <f>_xlfn.RANK.EQ(BA20,$BA$20:$BA$45,)</f>
        <v>2</v>
      </c>
      <c r="BC20" s="22">
        <f t="shared" ref="BC20:BC45" ca="1" si="16">AZ20/BC$17</f>
        <v>526.39555555555557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5321.2800000000007</v>
      </c>
      <c r="BF20" s="21">
        <f t="shared" ref="BF20:BF45" ca="1" si="18">BE20/BE$46</f>
        <v>0.12554861219576527</v>
      </c>
      <c r="BG20" s="22">
        <f ca="1">_xlfn.RANK.EQ(BF20,$BF$20:$BF$45,)</f>
        <v>2</v>
      </c>
      <c r="BH20" s="22">
        <f t="shared" ref="BH20:BH45" ca="1" si="19">BE20/BC$17</f>
        <v>591.25333333333344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583.72000000000037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2616.0199999999995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3744.0199999999995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4872.0199999999995</v>
      </c>
      <c r="AZ21" s="152">
        <f t="shared" si="14"/>
        <v>9541.84</v>
      </c>
      <c r="BA21" s="21">
        <f t="shared" si="15"/>
        <v>0.24755290293205412</v>
      </c>
      <c r="BB21" s="22">
        <f t="shared" ref="BB21:BB45" si="20">_xlfn.RANK.EQ(BA21,$BA$20:$BA$45,)</f>
        <v>1</v>
      </c>
      <c r="BC21" s="22">
        <f t="shared" ca="1" si="16"/>
        <v>1060.2044444444446</v>
      </c>
      <c r="BE21" s="224">
        <f t="shared" ca="1" si="17"/>
        <v>10357</v>
      </c>
      <c r="BF21" s="21">
        <f t="shared" ca="1" si="18"/>
        <v>0.24435981126938272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815.15999999999963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93.88</v>
      </c>
      <c r="AL22" s="156">
        <f t="shared" si="10"/>
        <v>695.80000000000007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995.80000000000007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1485.8000000000002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1975.8000000000002</v>
      </c>
      <c r="AZ22" s="157">
        <f t="shared" si="14"/>
        <v>2436.5</v>
      </c>
      <c r="BA22" s="21">
        <f t="shared" si="15"/>
        <v>6.32124043155146E-2</v>
      </c>
      <c r="BB22" s="22">
        <f t="shared" si="20"/>
        <v>6</v>
      </c>
      <c r="BC22" s="22">
        <f t="shared" ca="1" si="16"/>
        <v>270.72222222222223</v>
      </c>
      <c r="BE22" s="225">
        <f t="shared" ca="1" si="17"/>
        <v>2886.23</v>
      </c>
      <c r="BF22" s="21">
        <f t="shared" ca="1" si="18"/>
        <v>6.809680583953176E-2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449.7299999999999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64.05</v>
      </c>
      <c r="AL23" s="151">
        <f t="shared" si="10"/>
        <v>238.78000000000009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418.78000000000009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568.78000000000009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718.78000000000009</v>
      </c>
      <c r="AZ23" s="152">
        <f t="shared" si="14"/>
        <v>1428.3499999999997</v>
      </c>
      <c r="BA23" s="21">
        <f t="shared" si="15"/>
        <v>3.7057023477966453E-2</v>
      </c>
      <c r="BB23" s="22">
        <f t="shared" si="20"/>
        <v>7</v>
      </c>
      <c r="BC23" s="22">
        <f t="shared" ca="1" si="16"/>
        <v>158.70555555555552</v>
      </c>
      <c r="BE23" s="224">
        <f t="shared" ca="1" si="17"/>
        <v>1625</v>
      </c>
      <c r="BF23" s="21">
        <f t="shared" ca="1" si="18"/>
        <v>3.8339740592135456E-2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196.65000000000006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94.68</v>
      </c>
      <c r="AL24" s="156">
        <f t="shared" si="10"/>
        <v>266.40999999999997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416.40999999999997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576.41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736.41</v>
      </c>
      <c r="AZ24" s="157">
        <f t="shared" si="14"/>
        <v>1193.5900000000001</v>
      </c>
      <c r="BA24" s="21">
        <f t="shared" si="15"/>
        <v>3.0966424652967405E-2</v>
      </c>
      <c r="BB24" s="22">
        <f t="shared" si="20"/>
        <v>10</v>
      </c>
      <c r="BC24" s="22">
        <f t="shared" ca="1" si="16"/>
        <v>132.62111111111113</v>
      </c>
      <c r="BE24" s="225">
        <f t="shared" ca="1" si="17"/>
        <v>1460</v>
      </c>
      <c r="BF24" s="21">
        <f t="shared" ca="1" si="18"/>
        <v>3.4446782316626318E-2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266.40999999999997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4520.4799999999977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4925.4799999999977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5330.4799999999977</v>
      </c>
      <c r="AZ25" s="152">
        <f t="shared" si="14"/>
        <v>3010.4200000000005</v>
      </c>
      <c r="BA25" s="21">
        <f t="shared" si="15"/>
        <v>7.8102149066083107E-2</v>
      </c>
      <c r="BB25" s="22">
        <f t="shared" si="20"/>
        <v>5</v>
      </c>
      <c r="BC25" s="22">
        <f t="shared" ca="1" si="16"/>
        <v>334.49111111111119</v>
      </c>
      <c r="BE25" s="224">
        <f t="shared" ca="1" si="17"/>
        <v>3923.35</v>
      </c>
      <c r="BF25" s="21">
        <f t="shared" ca="1" si="18"/>
        <v>9.2566290001325935E-2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912.92999999999938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7.99</v>
      </c>
      <c r="AL26" s="156">
        <f t="shared" si="10"/>
        <v>70.059999999999988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123.05999999999999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171.06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219.06</v>
      </c>
      <c r="AZ26" s="157">
        <f t="shared" si="14"/>
        <v>421.93000000000006</v>
      </c>
      <c r="BA26" s="21">
        <f t="shared" si="15"/>
        <v>1.0946525652717046E-2</v>
      </c>
      <c r="BB26" s="22">
        <f t="shared" si="20"/>
        <v>17</v>
      </c>
      <c r="BC26" s="22">
        <f t="shared" ca="1" si="16"/>
        <v>46.881111111111117</v>
      </c>
      <c r="BE26" s="225">
        <f t="shared" ca="1" si="17"/>
        <v>472.45</v>
      </c>
      <c r="BF26" s="21">
        <f t="shared" ca="1" si="18"/>
        <v>1.1146837195541166E-2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50.520000000000039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9.12448290489082E-3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9.2015377421125095E-3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8.8211723287148797E-2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8.2106972830926189E-2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172.35999999999999</v>
      </c>
      <c r="AL29" s="160">
        <f t="shared" si="10"/>
        <v>-68.579999999999913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1.420000000000087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71.420000000000087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141.42000000000007</v>
      </c>
      <c r="AZ29" s="152">
        <f t="shared" si="23"/>
        <v>635.91</v>
      </c>
      <c r="BA29" s="21">
        <f t="shared" si="15"/>
        <v>1.649800945137652E-2</v>
      </c>
      <c r="BB29" s="22">
        <f t="shared" si="20"/>
        <v>13</v>
      </c>
      <c r="BC29" s="22">
        <f t="shared" ca="1" si="16"/>
        <v>70.656666666666666</v>
      </c>
      <c r="BE29" s="224">
        <f t="shared" ca="1" si="17"/>
        <v>614</v>
      </c>
      <c r="BF29" s="21">
        <f t="shared" ca="1" si="18"/>
        <v>1.4486523522197642E-2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-21.909999999999982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6.2978908875810256E-3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8.3757587139742067E-3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4.6268418574302783E-3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4.2468635732826965E-3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205.81</v>
      </c>
      <c r="AL32" s="161">
        <f t="shared" si="10"/>
        <v>520.30999999999995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615.30999999999995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665.31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715.31</v>
      </c>
      <c r="AZ32" s="157">
        <f t="shared" si="23"/>
        <v>1264.69</v>
      </c>
      <c r="BA32" s="21">
        <f t="shared" si="15"/>
        <v>3.2811038626631713E-2</v>
      </c>
      <c r="BB32" s="22">
        <f t="shared" si="20"/>
        <v>8</v>
      </c>
      <c r="BC32" s="22">
        <f t="shared" ca="1" si="16"/>
        <v>140.52111111111111</v>
      </c>
      <c r="BE32" s="225">
        <f t="shared" ca="1" si="17"/>
        <v>1799.25</v>
      </c>
      <c r="BF32" s="21">
        <f t="shared" ca="1" si="18"/>
        <v>4.2450940467938285E-2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534.55999999999995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0.11575795862720248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0.10645329794909518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44</v>
      </c>
      <c r="AL34" s="161">
        <f t="shared" si="10"/>
        <v>111.35999999999981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201.35999999999981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291.35999999999979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381.35999999999979</v>
      </c>
      <c r="AZ34" s="152">
        <f t="shared" si="23"/>
        <v>1224.6500000000001</v>
      </c>
      <c r="BA34" s="21">
        <f t="shared" si="15"/>
        <v>3.1772243359324839E-2</v>
      </c>
      <c r="BB34" s="22">
        <f t="shared" si="20"/>
        <v>9</v>
      </c>
      <c r="BC34" s="22">
        <f t="shared" ca="1" si="16"/>
        <v>136.07222222222222</v>
      </c>
      <c r="BE34" s="225">
        <f t="shared" ca="1" si="17"/>
        <v>1234.4099999999999</v>
      </c>
      <c r="BF34" s="21">
        <f t="shared" ca="1" si="18"/>
        <v>2.9124282574977182E-2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9.7599999999999056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2076.7900000000004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2191.7900000000004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2306.7900000000004</v>
      </c>
      <c r="AZ35" s="188">
        <f t="shared" si="23"/>
        <v>1082.24</v>
      </c>
      <c r="BA35" s="21">
        <f t="shared" si="15"/>
        <v>2.8077567185069784E-2</v>
      </c>
      <c r="BB35" s="22">
        <f t="shared" si="20"/>
        <v>12</v>
      </c>
      <c r="BC35" s="22">
        <f t="shared" ca="1" si="16"/>
        <v>120.24888888888889</v>
      </c>
      <c r="BE35" s="224">
        <f t="shared" ca="1" si="17"/>
        <v>1539.43</v>
      </c>
      <c r="BF35" s="21">
        <f t="shared" ca="1" si="18"/>
        <v>3.6320828836769896E-2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457.19000000000005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25.87</v>
      </c>
      <c r="AL36" s="156">
        <f t="shared" si="10"/>
        <v>221.50000000000011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311.50000000000011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401.50000000000011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491.50000000000011</v>
      </c>
      <c r="AZ36" s="182">
        <f t="shared" si="23"/>
        <v>1192.4899999999998</v>
      </c>
      <c r="BA36" s="21">
        <f t="shared" si="15"/>
        <v>3.0937886321447977E-2</v>
      </c>
      <c r="BB36" s="22">
        <f t="shared" si="20"/>
        <v>11</v>
      </c>
      <c r="BC36" s="22">
        <f t="shared" ca="1" si="16"/>
        <v>132.49888888888887</v>
      </c>
      <c r="BE36" s="223">
        <f t="shared" ca="1" si="17"/>
        <v>1313</v>
      </c>
      <c r="BF36" s="21">
        <f t="shared" ca="1" si="18"/>
        <v>3.0978510398445448E-2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120.51000000000005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1.1206483908921211E-2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1.1308453948191091E-2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20</v>
      </c>
      <c r="AL38" s="156">
        <f t="shared" si="10"/>
        <v>141.73000000000008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206.73000000000008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276.73000000000008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346.73000000000008</v>
      </c>
      <c r="AZ38" s="157">
        <f t="shared" si="23"/>
        <v>552.47</v>
      </c>
      <c r="BA38" s="21">
        <f t="shared" si="15"/>
        <v>1.4333247285939812E-2</v>
      </c>
      <c r="BB38" s="22">
        <f t="shared" si="20"/>
        <v>14</v>
      </c>
      <c r="BC38" s="22">
        <f t="shared" ca="1" si="16"/>
        <v>61.385555555555555</v>
      </c>
      <c r="BE38" s="225">
        <f t="shared" ca="1" si="17"/>
        <v>655</v>
      </c>
      <c r="BF38" s="21">
        <f t="shared" ca="1" si="18"/>
        <v>1.5453864669445368E-2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102.53000000000004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-2.7220979883550992E-2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4.3409396634811843E-3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-1.3270268982182516E-2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-1937.9800000000005</v>
      </c>
      <c r="AK41" s="165">
        <f>SUM('09'!D440:F440)</f>
        <v>0</v>
      </c>
      <c r="AL41" s="151">
        <f t="shared" si="10"/>
        <v>6226.8600000000015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2326.8600000000015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-1573.1399999999985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-5473.1399999999985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-2323.1399999999971</v>
      </c>
      <c r="BF41" s="21">
        <f t="shared" ca="1" si="18"/>
        <v>-5.481143689797751E-2</v>
      </c>
      <c r="BG41" s="22">
        <f t="shared" ca="1" si="21"/>
        <v>26</v>
      </c>
      <c r="BH41" s="22">
        <f t="shared" ca="1" si="19"/>
        <v>-258.12666666666632</v>
      </c>
      <c r="BJ41" s="224">
        <f t="shared" ca="1" si="22"/>
        <v>-2323.1399999999967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9.54657181375521E-2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1.2971968872463492E-2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-5.6476207418704382E-3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2.2833259609310237E-3</v>
      </c>
      <c r="BB45" s="22">
        <f t="shared" si="20"/>
        <v>22</v>
      </c>
      <c r="BC45" s="22">
        <f t="shared" ca="1" si="16"/>
        <v>9.7788888888888881</v>
      </c>
      <c r="BE45" s="226">
        <f t="shared" ca="1" si="17"/>
        <v>20</v>
      </c>
      <c r="BF45" s="21">
        <f t="shared" ca="1" si="18"/>
        <v>4.7187373036474404E-4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2188.2799999999997</v>
      </c>
      <c r="AK46" s="219">
        <f>SUM(AK20:AK45)</f>
        <v>1223.4299999999998</v>
      </c>
      <c r="AL46" s="220">
        <f>SUM(AL20:AL45)</f>
        <v>30223.110000000004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30223.11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30223.11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30223.110000000004</v>
      </c>
      <c r="AZ46" s="227">
        <f>SUM(AZ20:AZ45)</f>
        <v>38544.65</v>
      </c>
      <c r="BA46" s="1"/>
      <c r="BB46" s="1"/>
      <c r="BC46" s="124">
        <f ca="1">SUM(BC20:BC45)</f>
        <v>4282.7388888888891</v>
      </c>
      <c r="BE46" s="227">
        <f ca="1">SUM(BE20:BE45)</f>
        <v>42384.220000000016</v>
      </c>
      <c r="BF46" s="1"/>
      <c r="BG46" s="1"/>
      <c r="BH46" s="124">
        <f ca="1">SUM(BH20:BH45)</f>
        <v>4709.3577777777782</v>
      </c>
      <c r="BJ46" s="227">
        <f ca="1">SUM(BJ20:BJ45)</f>
        <v>3839.5700000000043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964.84999999999991</v>
      </c>
      <c r="AL47" s="125"/>
      <c r="AM47" s="125">
        <f>AM5-AL46</f>
        <v>-12359.010000000006</v>
      </c>
      <c r="AN47" s="125">
        <f>AM17-AN46</f>
        <v>0</v>
      </c>
      <c r="AO47" s="125">
        <f>AM17-AO46</f>
        <v>0</v>
      </c>
      <c r="AP47" s="125"/>
      <c r="AQ47" s="125">
        <f>AQ5-AP46</f>
        <v>-15121.22</v>
      </c>
      <c r="AR47" s="125">
        <f>AQ17-AR46</f>
        <v>0</v>
      </c>
      <c r="AS47" s="125">
        <f>AQ17-AS46</f>
        <v>0</v>
      </c>
      <c r="AT47" s="140"/>
      <c r="AU47" s="125">
        <f>AU5-AT46</f>
        <v>-15121.22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51392.866666666669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93.88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27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9</v>
      </c>
      <c r="D75">
        <f>C75*D74</f>
        <v>30</v>
      </c>
      <c r="Z75" s="111"/>
    </row>
    <row r="76" spans="1:50">
      <c r="D76">
        <f>D75-D73</f>
        <v>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67" workbookViewId="0">
      <selection activeCell="K15" sqref="K15:L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1044.5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52.82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800</v>
      </c>
      <c r="K35" s="407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790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 t="s">
        <v>798</v>
      </c>
      <c r="K50" s="407"/>
      <c r="L50" s="231">
        <v>1072.33</v>
      </c>
      <c r="M50" s="112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93.88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799</v>
      </c>
      <c r="K60" s="407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113.78000000000006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218.78000000000006</v>
      </c>
      <c r="B80" s="233">
        <f>SUM(B66:B79)</f>
        <v>180</v>
      </c>
      <c r="C80" s="17" t="s">
        <v>53</v>
      </c>
      <c r="D80" s="135">
        <f>SUM(D66:D79)</f>
        <v>15</v>
      </c>
      <c r="E80" s="135">
        <f>SUM(E66:E79)</f>
        <v>36.049999999999997</v>
      </c>
      <c r="F80" s="135">
        <f>SUM(F66:F79)</f>
        <v>13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94.68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151.38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-55.14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736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530.31000000000017</v>
      </c>
      <c r="B260" s="135">
        <f>SUM(B246:B259)</f>
        <v>95</v>
      </c>
      <c r="C260" s="17" t="s">
        <v>53</v>
      </c>
      <c r="D260" s="135">
        <f>SUM(D246:D259)</f>
        <v>105.14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51.359999999999808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111.35999999999981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7">
      <c r="B327" s="134">
        <v>100</v>
      </c>
      <c r="C327" s="16" t="s">
        <v>790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25.87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</f>
        <v>20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2188.2799999999997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-1937.9800000000005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-1937.9800000000005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workbookViewId="0">
      <selection activeCell="G11" sqref="G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1" t="str">
        <f>AÑO!A20</f>
        <v>Cártama Gastos</v>
      </c>
      <c r="C2" s="446"/>
      <c r="D2" s="446"/>
      <c r="E2" s="446"/>
      <c r="F2" s="446"/>
      <c r="G2" s="447"/>
      <c r="H2" s="222"/>
      <c r="I2" s="445" t="s">
        <v>4</v>
      </c>
      <c r="J2" s="446"/>
      <c r="K2" s="446"/>
      <c r="L2" s="447"/>
      <c r="M2" s="1"/>
      <c r="N2" s="1"/>
      <c r="R2" s="3"/>
    </row>
    <row r="3" spans="1:22" ht="16.5" thickBot="1">
      <c r="A3" s="1"/>
      <c r="B3" s="448"/>
      <c r="C3" s="449"/>
      <c r="D3" s="449"/>
      <c r="E3" s="449"/>
      <c r="F3" s="449"/>
      <c r="G3" s="450"/>
      <c r="H3" s="1"/>
      <c r="I3" s="448"/>
      <c r="J3" s="449"/>
      <c r="K3" s="449"/>
      <c r="L3" s="450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1588.5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45" t="s">
        <v>6</v>
      </c>
      <c r="J22" s="446"/>
      <c r="K22" s="446"/>
      <c r="L22" s="447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48"/>
      <c r="J23" s="449"/>
      <c r="K23" s="449"/>
      <c r="L23" s="450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418.04999999999995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2616.0200000000004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288.78000000000009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398.78000000000009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-5.1400000000000006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625.31000000000017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101.35999999999981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201.35999999999981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I21:AL21" display="AÑO!AI21:AL21" xr:uid="{FBD6EEFD-A8CA-46BD-9B3A-009EDF6CCF71}"/>
    <hyperlink ref="B42" location="Trimestre!C25:F26" display="HIPOTECA" xr:uid="{D38DFAE1-0668-4D5F-8530-EFD5AC0273E1}"/>
    <hyperlink ref="B42:G43" location="AÑO!AI22:AL22" display="AÑO!AI22:AL22" xr:uid="{7B2F706E-913F-4FBE-A6E3-E9865A32EF4C}"/>
    <hyperlink ref="B62" location="Trimestre!C25:F26" display="HIPOTECA" xr:uid="{13750E3E-4977-41DD-9701-887BC948987C}"/>
    <hyperlink ref="B62:G63" location="AÑO!AI23:AL23" display="AÑO!AI23:AL23" xr:uid="{CB475850-CB8A-48BE-87C6-1CAE52599F55}"/>
    <hyperlink ref="B82" location="Trimestre!C25:F26" display="HIPOTECA" xr:uid="{4CC334BE-7C26-48F9-8F8F-4D5FA0E5D46D}"/>
    <hyperlink ref="B82:G83" location="AÑO!AI24:AL24" display="AÑO!AI24:AL24" xr:uid="{8BD21062-45FB-4B29-91BB-3E123D060CFF}"/>
    <hyperlink ref="B102" location="Trimestre!C25:F26" display="HIPOTECA" xr:uid="{38853D38-2AB5-4BA5-BF5B-F71C95824F7D}"/>
    <hyperlink ref="B102:G103" location="AÑO!AI25:AL25" display="AÑO!AI25:AL25" xr:uid="{0BF67B5C-574A-4785-89CD-F3061FAA9140}"/>
    <hyperlink ref="B122" location="Trimestre!C25:F26" display="HIPOTECA" xr:uid="{278662EB-1770-4703-9974-2746A6472775}"/>
    <hyperlink ref="B122:G123" location="AÑO!AI26:AL26" display="AÑO!AI26:AL26" xr:uid="{FB7D536D-186A-4771-8799-770620951559}"/>
    <hyperlink ref="B142" location="Trimestre!C25:F26" display="HIPOTECA" xr:uid="{F9F11EC4-9BAD-4C06-8000-2E324089BDD6}"/>
    <hyperlink ref="B142:G143" location="AÑO!AI27:AL27" display="AÑO!AI27:AL27" xr:uid="{A35AFAF7-8665-4479-AD07-4986BAEF561B}"/>
    <hyperlink ref="B162" location="Trimestre!C25:F26" display="HIPOTECA" xr:uid="{B99FA8C3-8CCE-4FB0-BD09-8E5322EB5E0A}"/>
    <hyperlink ref="B162:G163" location="AÑO!AI28:AL28" display="AÑO!AI28:AL28" xr:uid="{0F906586-6E3D-4E1E-A757-F585EC426660}"/>
    <hyperlink ref="B182" location="Trimestre!C25:F26" display="HIPOTECA" xr:uid="{0848DC06-1238-4D95-9FA2-520D5918F81B}"/>
    <hyperlink ref="B182:G183" location="AÑO!AI29:AL29" display="AÑO!AI29:AL29" xr:uid="{86F7B929-6CA2-44B2-BB2A-88B8BBA09FE6}"/>
    <hyperlink ref="B202" location="Trimestre!C25:F26" display="HIPOTECA" xr:uid="{CF051C7E-1418-4923-8A50-9437192538EA}"/>
    <hyperlink ref="B202:G203" location="AÑO!AI30:AL30" display="AÑO!AI30:AL30" xr:uid="{89E77391-5B43-4A62-9A90-5D1EA1F04B5A}"/>
    <hyperlink ref="B222" location="Trimestre!C25:F26" display="HIPOTECA" xr:uid="{A29263BE-5C59-4495-8607-0E1619BAA053}"/>
    <hyperlink ref="B222:G223" location="AÑO!AI31:AL31" display="AÑO!AI31:AL31" xr:uid="{E8A1D209-E2BF-4D8B-A24F-8B41EFD27A47}"/>
    <hyperlink ref="B242" location="Trimestre!C25:F26" display="HIPOTECA" xr:uid="{FC252FB4-1FED-450A-ABC9-2D7FD5BE209E}"/>
    <hyperlink ref="B242:G243" location="AÑO!AI32:AL32" display="AÑO!AI32:AL32" xr:uid="{6EC24824-DB34-42F6-93C4-53C2A096B36F}"/>
    <hyperlink ref="B262" location="Trimestre!C25:F26" display="HIPOTECA" xr:uid="{60D4D80E-05E4-4B95-9954-0682801D070E}"/>
    <hyperlink ref="B262:G263" location="AÑO!AI33:AL33" display="AÑO!AI33:AL33" xr:uid="{01435681-20A9-460F-8AB0-BCBA528A805A}"/>
    <hyperlink ref="B282" location="Trimestre!C25:F26" display="HIPOTECA" xr:uid="{304BAA6E-C5F7-4952-BE36-967A31A23076}"/>
    <hyperlink ref="B282:G283" location="AÑO!AI34:AL34" display="AÑO!AI34:AL34" xr:uid="{95D3ECAA-0F32-4F1D-BC49-1DC14DEFCD9A}"/>
    <hyperlink ref="B302" location="Trimestre!C25:F26" display="HIPOTECA" xr:uid="{2A9018F2-1B0B-4EB4-8A1C-171B96116931}"/>
    <hyperlink ref="B302:G303" location="AÑO!AI35:AL35" display="AÑO!AI35:AL35" xr:uid="{F776509A-606B-4D04-AE57-3FBA37DA929F}"/>
    <hyperlink ref="B322" location="Trimestre!C25:F26" display="HIPOTECA" xr:uid="{D0632158-B6E0-4604-9002-6AC4102DA746}"/>
    <hyperlink ref="B322:G323" location="AÑO!AI36:AL36" display="AÑO!AI36:AL36" xr:uid="{BE824F08-671D-4082-8635-19FBAD9F5B92}"/>
    <hyperlink ref="B342" location="Trimestre!C25:F26" display="HIPOTECA" xr:uid="{F2441972-823B-4AD0-852A-7DC607E84603}"/>
    <hyperlink ref="B342:G343" location="AÑO!AI37:AL37" display="AÑO!AI37:AL37" xr:uid="{60AD11BC-3E50-4B67-9F93-45BF6BA64895}"/>
    <hyperlink ref="B362" location="Trimestre!C25:F26" display="HIPOTECA" xr:uid="{CBF2A362-CFC5-4231-95A2-484F3230F337}"/>
    <hyperlink ref="B362:G363" location="AÑO!AI38:AL38" display="AÑO!AI38:AL38" xr:uid="{F0697011-FDEC-4888-B665-B3EBC1345ACC}"/>
    <hyperlink ref="B382" location="Trimestre!C25:F26" display="HIPOTECA" xr:uid="{2E7E955D-5087-4AEA-BB61-E59CF8CE3775}"/>
    <hyperlink ref="B382:G383" location="AÑO!AI39:AL39" display="AÑO!AI39:AL39" xr:uid="{DDE3EC76-D5FF-4019-8D22-3DBFCC30A714}"/>
    <hyperlink ref="B402" location="Trimestre!C25:F26" display="HIPOTECA" xr:uid="{82ED9533-2635-46BC-A14B-CC7300A60B30}"/>
    <hyperlink ref="B402:G403" location="AÑO!AI40:AL40" display="AÑO!AI40:AL40" xr:uid="{91581741-C693-4911-9A47-E0A17A710913}"/>
    <hyperlink ref="B422" location="Trimestre!C25:F26" display="HIPOTECA" xr:uid="{62380196-FAD1-4B7B-B82E-BE6858DEDA08}"/>
    <hyperlink ref="B422:G423" location="AÑO!AI41:AL41" display="AÑO!AI41:AL41" xr:uid="{C5B4D35B-6BA7-41DE-BF5F-CE64DCDAE700}"/>
    <hyperlink ref="B442" location="Trimestre!C25:F26" display="HIPOTECA" xr:uid="{99995857-D66E-4658-BC71-ECCF97C3524A}"/>
    <hyperlink ref="B442:G443" location="AÑO!AI42:AL42" display="AÑO!AI42:AL42" xr:uid="{11DD4323-62E7-4A8A-A701-B81C865C9FCD}"/>
    <hyperlink ref="B462" location="Trimestre!C25:F26" display="HIPOTECA" xr:uid="{BB984A45-92BE-49AC-B960-A686DA8B59D0}"/>
    <hyperlink ref="B462:G463" location="AÑO!AI43:AL43" display="AÑO!AI43:AL43" xr:uid="{8CAFA8E1-6BC0-49E0-8B74-8942882CDFD0}"/>
    <hyperlink ref="B482" location="Trimestre!C25:F26" display="HIPOTECA" xr:uid="{F6DB1CE1-BC90-469F-90C8-2209F90A179C}"/>
    <hyperlink ref="B482:G483" location="AÑO!AI44:AL44" display="AÑO!AI44:AL44" xr:uid="{5796F1A1-9692-4D9A-A62C-46569C5D6C97}"/>
    <hyperlink ref="B502" location="Trimestre!C25:F26" display="HIPOTECA" xr:uid="{FAD1BE32-F71E-463C-B4A5-C542DD92D3EB}"/>
    <hyperlink ref="B502:G503" location="AÑO!AI45:AL45" display="AÑO!AI45:AL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2132.5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588.04999999999995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3744.0200000000004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142.20000000000005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1342.24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2676.5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758.05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4872.0199999999995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213.20000000000005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1721.71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H15" sqref="H15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3" workbookViewId="0">
      <selection activeCell="E32" sqref="E32:E3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v>0</v>
      </c>
      <c r="L25" s="127">
        <f t="shared" si="8"/>
        <v>-149357.61999999997</v>
      </c>
      <c r="M25" s="72">
        <f t="shared" si="10"/>
        <v>-22721.829999999973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-6493.8095652173897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3" workbookViewId="0">
      <selection activeCell="R34" sqref="R34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1510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43719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114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43719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43722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565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43719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43722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52"/>
      <c r="B10" s="453"/>
      <c r="C10" s="453"/>
      <c r="D10" s="453"/>
      <c r="E10" s="453"/>
      <c r="F10" s="453"/>
      <c r="G10" s="453"/>
      <c r="H10" s="453"/>
      <c r="I10" s="453"/>
      <c r="J10" s="453"/>
      <c r="K10" s="453"/>
      <c r="L10" s="453"/>
      <c r="M10" s="453"/>
      <c r="N10" s="453"/>
      <c r="O10" s="453"/>
      <c r="P10" s="453"/>
      <c r="Q10" s="453"/>
      <c r="R10" s="453"/>
    </row>
    <row r="11" spans="1:26">
      <c r="A11" s="454" t="s">
        <v>518</v>
      </c>
      <c r="B11" s="455"/>
      <c r="C11" s="455"/>
      <c r="D11" s="455"/>
      <c r="E11" s="455"/>
      <c r="F11" s="455"/>
      <c r="G11" s="455"/>
      <c r="H11" s="455"/>
      <c r="I11" s="455"/>
      <c r="J11" s="455"/>
      <c r="K11" s="455"/>
      <c r="L11" s="455"/>
      <c r="M11" s="455"/>
      <c r="N11" s="455"/>
      <c r="O11" s="455"/>
      <c r="P11" s="455"/>
      <c r="Q11" s="455"/>
      <c r="R11" s="455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3.7689969604863219E-2</v>
      </c>
      <c r="X13" s="119">
        <f ca="1">W13*E13</f>
        <v>151.48612455927051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3.3434650455927049E-2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8.5106382978723406E-3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0.52826747720364742</v>
      </c>
      <c r="X19" s="119">
        <f t="shared" ca="1" si="2"/>
        <v>2336.7383164012163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0.38419452887537991</v>
      </c>
      <c r="X20" s="119">
        <f t="shared" ca="1" si="2"/>
        <v>230.74723404255317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0.17507598784194528</v>
      </c>
      <c r="X25" s="119">
        <f t="shared" ca="1" si="2"/>
        <v>106.43976236352583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565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43719</v>
      </c>
      <c r="L28" s="302">
        <v>27.5</v>
      </c>
      <c r="M28" s="264">
        <f>(H28*L28)</f>
        <v>5390</v>
      </c>
      <c r="N28" s="264">
        <f>-(IF((M28*0.0075)&lt;30,30,(M28*0.0075)) + (M28*0.0035))</f>
        <v>-59.29</v>
      </c>
      <c r="O28" s="272">
        <f>J28+N28</f>
        <v>-115.30287999999999</v>
      </c>
      <c r="P28" s="273">
        <f ca="1">IF(K28=0,0,M28-E28+N28)</f>
        <v>182.61711999999986</v>
      </c>
      <c r="Q28" s="274">
        <f ca="1">P28/E28</f>
        <v>3.5472771035164358E-2</v>
      </c>
      <c r="R28" s="275" t="s">
        <v>517</v>
      </c>
      <c r="S28" s="59">
        <f ca="1">Q28+Q29+Q30+Q34</f>
        <v>5.987792512399269E-2</v>
      </c>
      <c r="T28" s="59">
        <f>(L28/L5)-1</f>
        <v>-8.2415749082415668E-2</v>
      </c>
      <c r="W28" s="39">
        <f t="shared" ca="1" si="0"/>
        <v>0.34346504559270519</v>
      </c>
      <c r="X28" s="119">
        <f t="shared" ca="1" si="2"/>
        <v>1768.1899557446809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1.3373860182370821E-2</v>
      </c>
      <c r="X33" s="119">
        <f t="shared" ca="1" si="2"/>
        <v>55.22235647416413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114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43719</v>
      </c>
      <c r="L35" s="302">
        <v>63.5</v>
      </c>
      <c r="M35" s="264">
        <f>(H35*L35)</f>
        <v>3937</v>
      </c>
      <c r="N35" s="264">
        <f>-(IF((M35*0.0075)&lt;30,30,(M35*0.0075)) + (M35*0.0035))</f>
        <v>-43.779499999999999</v>
      </c>
      <c r="O35" s="272">
        <f>J35+N35</f>
        <v>-88.266359999999992</v>
      </c>
      <c r="P35" s="273">
        <f ca="1">IF(K35=0,0,M35-E35+N35)</f>
        <v>-195.52636000000018</v>
      </c>
      <c r="Q35" s="274">
        <f ca="1">P35/E35</f>
        <v>-4.7820607803536211E-2</v>
      </c>
      <c r="R35" s="275" t="s">
        <v>412</v>
      </c>
      <c r="T35" s="59">
        <f>(L35/L4)-1</f>
        <v>-5.9677180512364925E-2</v>
      </c>
      <c r="W35" s="39">
        <f t="shared" ca="1" si="0"/>
        <v>6.930091185410335E-2</v>
      </c>
      <c r="X35" s="119">
        <f t="shared" ca="1" si="2"/>
        <v>283.35388573860189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2621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-373.65075899999999</v>
      </c>
      <c r="O42" s="315">
        <f>SUM(O13:O41)</f>
        <v>-559.84889699999997</v>
      </c>
      <c r="P42" s="315">
        <f ca="1">SUM(P13:P41)</f>
        <v>3635.7094830000001</v>
      </c>
      <c r="Q42" s="326">
        <f ca="1">SUM(Q13:Q41)</f>
        <v>3.9110178693926985</v>
      </c>
      <c r="R42" s="317"/>
      <c r="W42" s="327">
        <f ca="1">SUM(W13:W41)</f>
        <v>1.5933130699088143</v>
      </c>
      <c r="X42" s="328">
        <f ca="1">SUM(X13:X41)</f>
        <v>4932.177635324013</v>
      </c>
      <c r="Y42" s="329">
        <f ca="1">P42/X42</f>
        <v>0.73714082334772946</v>
      </c>
      <c r="Z42" s="329">
        <f ca="1">Y42/(D$43/365)</f>
        <v>0.16356012189782448</v>
      </c>
    </row>
    <row r="43" spans="1:26">
      <c r="C43" s="119" t="s">
        <v>568</v>
      </c>
      <c r="D43" s="46">
        <f ca="1">_xlfn.DAYS(TODAY(),F13)</f>
        <v>1645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K8" sqref="K8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56" t="s">
        <v>574</v>
      </c>
      <c r="B1" s="456"/>
      <c r="C1" s="456"/>
      <c r="D1" s="456"/>
      <c r="E1" s="456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-60.155783429749867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-67.685288285125139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-53.181297938312618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-14.503990346812532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-195.52636000000018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54" t="s">
        <v>603</v>
      </c>
      <c r="B15" s="454"/>
      <c r="C15" s="454"/>
      <c r="D15" s="454"/>
      <c r="E15" s="454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4"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688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675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689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689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689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704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7" workbookViewId="0">
      <selection activeCell="G54" sqref="G5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776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4"/>
      <c r="J46" s="408" t="s">
        <v>777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2019-09-11T15:22:23Z</dcterms:modified>
</cp:coreProperties>
</file>