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8131A5A3-16C2-47C7-8DF2-2F2A4356470E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AF41" i="1" l="1"/>
  <c r="F366" i="9" l="1"/>
  <c r="D46" i="9" l="1"/>
  <c r="AE9" i="1" l="1"/>
  <c r="A20" i="9" l="1"/>
  <c r="A14" i="9"/>
  <c r="A15" i="9"/>
  <c r="A6" i="9"/>
  <c r="A7" i="9"/>
  <c r="A8" i="9"/>
  <c r="A9" i="9"/>
  <c r="A10" i="9"/>
  <c r="A11" i="9"/>
  <c r="K5" i="9" l="1"/>
  <c r="F366" i="8"/>
  <c r="K11" i="9"/>
  <c r="G41" i="14"/>
  <c r="G42" i="14"/>
  <c r="G43" i="14"/>
  <c r="D86" i="8" l="1"/>
  <c r="D190" i="8" l="1"/>
  <c r="D248" i="8"/>
  <c r="D290" i="8"/>
  <c r="D289" i="8"/>
  <c r="AA12" i="1" l="1"/>
  <c r="D51" i="8" l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B5" i="14" l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s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C16" i="15"/>
  <c r="B16" i="15"/>
  <c r="K15" i="15"/>
  <c r="I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L16" i="15" l="1"/>
  <c r="E4" i="16"/>
  <c r="F4" i="16" s="1"/>
  <c r="D5" i="15"/>
  <c r="H15" i="15"/>
  <c r="K19" i="15"/>
  <c r="K20" i="15"/>
  <c r="F4" i="15"/>
  <c r="F14" i="16"/>
  <c r="G15" i="16" s="1"/>
  <c r="K21" i="15"/>
  <c r="L21" i="15" s="1"/>
  <c r="L15" i="15"/>
  <c r="K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20" i="15" l="1"/>
  <c r="L19" i="15"/>
  <c r="L18" i="15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26" i="9" l="1"/>
  <c r="B426" i="10"/>
  <c r="B440" i="10" s="1"/>
  <c r="B426" i="13"/>
  <c r="B440" i="13" s="1"/>
  <c r="AV41" i="1" s="1"/>
  <c r="AV46" i="1" s="1"/>
  <c r="AV47" i="1" s="1"/>
  <c r="B426" i="11"/>
  <c r="B440" i="11" s="1"/>
  <c r="AN41" i="1" s="1"/>
  <c r="B426" i="12"/>
  <c r="B440" i="12" s="1"/>
  <c r="AR41" i="1" s="1"/>
  <c r="B440" i="8"/>
  <c r="B440" i="9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s="1"/>
  <c r="AK47" i="1" l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6" i="1" s="1"/>
  <c r="AG47" i="1" l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6" i="1"/>
  <c r="AO47" i="1" s="1"/>
  <c r="AF46" i="1"/>
  <c r="AF47" i="1" s="1"/>
  <c r="AB46" i="1"/>
  <c r="AB47" i="1" s="1"/>
  <c r="AR46" i="1" l="1"/>
  <c r="AR47" i="1" s="1"/>
  <c r="AN46" i="1"/>
  <c r="AN47" i="1" s="1"/>
  <c r="AJ46" i="1"/>
  <c r="AJ47" i="1" s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<sst xmlns="http://schemas.openxmlformats.org/spreadsheetml/2006/main" count="5136" uniqueCount="527">
  <si>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</si>
  <si>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</si>
  <si>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</si>
  <si>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</si>
  <si>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</si>
  <si>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</si>
  <si>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</si>
  <si>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</si>
  <si>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</si>
  <si>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</si>
  <si>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</si>
  <si>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</si>
  <si>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</si>
  <si>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</si>
  <si>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</si>
  <si>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</si>
  <si>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</si>
  <si>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</si>
  <si>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</si>
  <si>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</si>
  <si>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</si>
  <si>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</si>
  <si>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</si>
  <si>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</si>
  <si>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</si>
  <si>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</si>
  <si>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</si>
  <si>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</si>
  <si>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</si>
  <si>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</si>
  <si>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</si>
  <si>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</si>
  <si>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</si>
  <si>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</si>
  <si>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</si>
  <si>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</si>
  <si>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</si>
  <si>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</si>
  <si>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</si>
  <si>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</si>
  <si>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</si>
  <si>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</si>
  <si>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</si>
  <si>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</si>
  <si>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</si>
  <si>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</si>
  <si>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</si>
  <si>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</si>
  <si>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</si>
  <si>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</si>
  <si>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</si>
  <si>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</si>
  <si>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</si>
  <si>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</si>
  <si>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</si>
  <si>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</si>
  <si>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</si>
  <si>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</si>
  <si>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</si>
  <si>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</si>
  <si>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</si>
  <si>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</si>
  <si>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</si>
  <si>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</si>
  <si>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</si>
  <si>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</si>
  <si>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</si>
  <si>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</si>
  <si>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</si>
  <si>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</si>
  <si>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</si>
  <si>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</si>
  <si>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</si>
  <si>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</si>
  <si>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</si>
  <si>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</si>
  <si>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</si>
  <si>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</si>
  <si>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</si>
  <si>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</si>
  <si>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</si>
  <si>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</si>
  <si>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</si>
  <si>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</si>
  <si>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</si>
  <si>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</si>
  <si>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</si>
  <si>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</si>
  <si>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</si>
  <si>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</si>
  <si>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</si>
  <si>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</si>
  <si>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</si>
  <si>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</si>
  <si>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</si>
  <si>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</si>
  <si>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</si>
  <si>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</si>
  <si>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</si>
  <si>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</si>
  <si>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</si>
  <si>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</si>
  <si>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</si>
  <si>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</si>
  <si>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</si>
  <si>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</si>
  <si>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</si>
  <si>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</si>
  <si>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</si>
  <si>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</si>
  <si>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</si>
  <si>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</si>
  <si>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</si>
  <si>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</si>
  <si>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</si>
  <si>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</si>
  <si>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</si>
  <si>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</si>
  <si>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</si>
  <si>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</si>
  <si>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</si>
  <si>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</si>
  <si>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</si>
  <si>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</si>
  <si>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</si>
  <si>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</si>
  <si>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</si>
  <si>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</si>
  <si>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</si>
  <si>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</si>
  <si>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</si>
  <si>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</si>
  <si>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</si>
  <si>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</si>
  <si>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</si>
  <si>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</si>
  <si>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>Capital (01/04/2017) =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</si>
  <si>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</si>
  <si>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</si>
  <si>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</si>
  <si>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</si>
  <si>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</si>
  <si>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</si>
  <si>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</si>
  <si>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</si>
  <si>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</si>
  <si>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</si>
  <si>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</si>
  <si>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</si>
  <si>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</si>
  <si>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</si>
  <si>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</si>
  <si>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</si>
  <si>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</si>
  <si>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</si>
  <si>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</si>
  <si>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</si>
  <si>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</si>
  <si>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</si>
  <si>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</si>
  <si>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</si>
  <si>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</si>
  <si>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</si>
  <si>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</si>
  <si>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</si>
  <si>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</si>
  <si>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</si>
  <si>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</si>
  <si>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</si>
  <si>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</si>
  <si>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</si>
  <si>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</si>
  <si>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</si>
  <si>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</si>
  <si>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</si>
  <si>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</si>
  <si>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</si>
  <si>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</si>
  <si>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</si>
  <si>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</si>
  <si>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</si>
  <si>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</si>
  <si>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</si>
  <si>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</si>
  <si>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</si>
  <si>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</si>
  <si>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</si>
  <si>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</si>
  <si>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</si>
  <si>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</si>
  <si>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</si>
  <si>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</si>
  <si>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</si>
  <si>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</si>
  <si>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</si>
  <si>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</si>
  <si>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</si>
  <si>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</si>
  <si>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</si>
  <si>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</si>
  <si>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</si>
  <si>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</si>
  <si>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</si>
  <si>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</si>
  <si>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</si>
  <si>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</si>
  <si>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</si>
  <si>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</si>
  <si>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</si>
  <si>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</si>
  <si>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</si>
  <si>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</si>
  <si>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</si>
  <si>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</si>
  <si>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</si>
  <si>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</si>
  <si>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</si>
  <si>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</si>
  <si>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</si>
  <si>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</si>
  <si>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</si>
  <si>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</si>
  <si>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</si>
  <si>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</si>
  <si>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</si>
  <si>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</si>
  <si>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</si>
  <si>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</si>
  <si>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</si>
  <si>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</si>
  <si>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</si>
  <si>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</si>
  <si>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</si>
  <si>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</si>
  <si>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</si>
  <si>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</si>
  <si>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</si>
  <si>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</si>
  <si>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</si>
  <si>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</si>
  <si>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</si>
  <si>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</si>
  <si>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</si>
  <si>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</si>
  <si>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</si>
  <si>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</si>
  <si>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</si>
  <si>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</si>
  <si>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</si>
  <si>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</si>
  <si>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</si>
  <si>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</si>
  <si>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</si>
  <si>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</si>
  <si>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</si>
  <si>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</si>
  <si>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</si>
  <si>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</si>
  <si>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</si>
  <si>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</si>
  <si>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</si>
  <si>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</si>
  <si>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</si>
  <si>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</si>
  <si>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</si>
  <si>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</si>
  <si>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</si>
  <si>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</si>
  <si>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</si>
  <si>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</si>
  <si>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</si>
  <si>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</si>
  <si>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</si>
  <si>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</si>
  <si>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</si>
  <si>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</si>
  <si>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</si>
  <si>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</si>
  <si>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</si>
  <si>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</si>
  <si>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</si>
  <si>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</si>
  <si>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</si>
  <si>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</si>
  <si>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</si>
  <si>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</si>
  <si>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</si>
  <si>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</si>
  <si>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</si>
  <si>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</si>
  <si>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</si>
  <si>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</si>
  <si>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</si>
  <si>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</si>
  <si>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</si>
  <si>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</si>
  <si>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</si>
  <si>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</si>
  <si>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</si>
  <si>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</si>
  <si>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</si>
  <si>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</si>
  <si>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</si>
  <si>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</si>
  <si>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</si>
  <si>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</si>
  <si>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</si>
  <si>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</si>
  <si>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</si>
  <si>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</si>
  <si>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</si>
  <si>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</si>
  <si>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</si>
  <si>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</si>
  <si>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</si>
  <si>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</si>
  <si>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</si>
  <si>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</si>
  <si>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</si>
  <si>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</si>
  <si>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</si>
  <si>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</si>
  <si>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</si>
  <si>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</si>
  <si>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</si>
  <si>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</si>
  <si>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</si>
  <si>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</si>
  <si>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</si>
  <si>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</si>
  <si>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</si>
  <si>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</si>
  <si>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</si>
  <si>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</si>
  <si>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</si>
  <si>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</si>
  <si>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</si>
  <si>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</si>
  <si>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</si>
  <si>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</si>
  <si>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</si>
  <si>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</si>
  <si>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</si>
  <si>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</si>
  <si>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</si>
  <si>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</si>
  <si>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</si>
  <si>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</si>
  <si>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</si>
  <si>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</si>
  <si>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</si>
  <si>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</si>
  <si>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</si>
  <si>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</si>
  <si>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</si>
  <si>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</si>
  <si>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</si>
  <si>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</si>
  <si>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</si>
  <si>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</si>
  <si>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</si>
  <si>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</si>
  <si>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</si>
  <si>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</si>
  <si>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</si>
  <si>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</si>
  <si>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</si>
  <si>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</si>
  <si>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</si>
  <si>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</si>
  <si>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</si>
  <si>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</si>
  <si>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</si>
  <si>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</si>
  <si>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</si>
  <si>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</si>
  <si>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</si>
  <si>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</si>
  <si>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</si>
  <si>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</si>
  <si>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</si>
  <si>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</si>
  <si>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</si>
  <si>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</si>
  <si>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</si>
  <si>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</si>
  <si>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</si>
  <si>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</si>
  <si>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</si>
  <si>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</si>
  <si>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</si>
  <si>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</si>
  <si>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</si>
  <si>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</si>
  <si>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</si>
  <si>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</si>
  <si>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</si>
  <si>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</si>
  <si>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</si>
  <si>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</si>
  <si>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</si>
  <si>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</si>
  <si>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</si>
  <si>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</si>
  <si>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</si>
  <si>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</si>
  <si>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</si>
  <si>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</si>
  <si>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</si>
  <si>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</si>
  <si>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</si>
  <si>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</si>
  <si>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</si>
  <si>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</si>
  <si>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</si>
  <si>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</si>
  <si>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</si>
  <si>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</si>
  <si>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</si>
  <si>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</si>
  <si>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</si>
  <si>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</si>
  <si>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</si>
  <si>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</si>
  <si>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</si>
  <si>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</si>
  <si>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</si>
  <si>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</si>
  <si>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</si>
  <si>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</si>
  <si>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</si>
  <si>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</si>
  <si>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</si>
  <si>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</si>
  <si>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</si>
  <si>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</si>
  <si>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</si>
  <si>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</si>
  <si>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</si>
  <si>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</si>
  <si>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</si>
  <si>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</si>
  <si>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</si>
  <si>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</si>
  <si>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</si>
  <si>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</si>
  <si>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</si>
  <si>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</si>
  <si>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</si>
  <si>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</si>
  <si>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</si>
  <si>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</si>
  <si>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</si>
  <si>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</si>
  <si>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</si>
  <si>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</si>
  <si>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</si>
  <si>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</si>
  <si>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</si>
  <si>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</si>
  <si>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</si>
  <si>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</si>
  <si>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</si>
  <si>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</si>
  <si>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</si>
  <si>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</si>
  <si>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</si>
  <si>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</si>
  <si>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</si>
  <si>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</si>
  <si>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</si>
  <si>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</si>
  <si>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</si>
  <si>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</si>
  <si>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</si>
  <si>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</si>
  <si>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</si>
  <si>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</si>
  <si>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</si>
  <si>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</si>
  <si>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</si>
  <si>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</si>
  <si>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</si>
  <si>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</si>
  <si>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</si>
  <si>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</si>
  <si>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</si>
  <si>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</si>
  <si>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</si>
  <si>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</si>
  <si>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</si>
  <si>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</si>
  <si>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</si>
  <si>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Papa Agosto</t>
  </si>
  <si>
    <t>Multa (46€ restantes)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</si>
  <si>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</si>
  <si>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</si>
  <si>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</si>
  <si>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</si>
  <si>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</si>
  <si>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</si>
  <si>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</si>
  <si>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</si>
  <si>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</si>
  <si>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</si>
  <si>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</si>
  <si>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</si>
  <si>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</si>
  <si>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</si>
  <si>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</si>
  <si>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</si>
  <si>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</si>
  <si>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</si>
  <si>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</si>
  <si>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</si>
  <si>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</si>
  <si>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</si>
  <si>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</si>
  <si>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</si>
  <si>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</si>
  <si>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</si>
  <si>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</si>
  <si>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</si>
  <si>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</si>
  <si>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</si>
  <si>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2 - Genval</t>
  </si>
  <si>
    <t>1 - Delhaize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</si>
</sst>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6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abSelected="1" topLeftCell="A49" zoomScaleNormal="100" workbookViewId="0">
      <pane xSplit="1" topLeftCell="X1" activePane="topRight" state="frozen"/>
      <selection pane="topRight" activeCell="AE55" sqref="AE55:AH55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85546875" customWidth="1"/>
    <col min="37" max="37" width="10.140625" customWidth="1"/>
    <col min="38" max="38" width="11.140625" customWidth="1"/>
    <col min="39" max="39" width="10.28515625" customWidth="1"/>
    <col min="40" max="40" width="9.28515625" bestFit="1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50" t="s">
        <v>0</v>
      </c>
      <c r="D4" s="251"/>
      <c r="E4" s="251"/>
      <c r="F4" s="252"/>
      <c r="G4" s="250" t="s">
        <v>1</v>
      </c>
      <c r="H4" s="251"/>
      <c r="I4" s="251"/>
      <c r="J4" s="252"/>
      <c r="K4" s="250" t="s">
        <v>2</v>
      </c>
      <c r="L4" s="251"/>
      <c r="M4" s="251"/>
      <c r="N4" s="252"/>
      <c r="O4" s="250" t="s">
        <v>3</v>
      </c>
      <c r="P4" s="251"/>
      <c r="Q4" s="251"/>
      <c r="R4" s="252"/>
      <c r="S4" s="250" t="s">
        <v>99</v>
      </c>
      <c r="T4" s="251"/>
      <c r="U4" s="251"/>
      <c r="V4" s="252"/>
      <c r="W4" s="250" t="s">
        <v>95</v>
      </c>
      <c r="X4" s="251"/>
      <c r="Y4" s="251"/>
      <c r="Z4" s="252"/>
      <c r="AA4" s="250" t="s">
        <v>103</v>
      </c>
      <c r="AB4" s="251"/>
      <c r="AC4" s="251"/>
      <c r="AD4" s="252"/>
      <c r="AE4" s="250" t="s">
        <v>104</v>
      </c>
      <c r="AF4" s="251"/>
      <c r="AG4" s="251"/>
      <c r="AH4" s="252"/>
      <c r="AI4" s="250" t="s">
        <v>107</v>
      </c>
      <c r="AJ4" s="251"/>
      <c r="AK4" s="251"/>
      <c r="AL4" s="252"/>
      <c r="AM4" s="250" t="s">
        <v>109</v>
      </c>
      <c r="AN4" s="251"/>
      <c r="AO4" s="251"/>
      <c r="AP4" s="252"/>
      <c r="AQ4" s="250" t="s">
        <v>113</v>
      </c>
      <c r="AR4" s="251"/>
      <c r="AS4" s="251"/>
      <c r="AT4" s="252"/>
      <c r="AU4" s="250" t="s">
        <v>118</v>
      </c>
      <c r="AV4" s="251"/>
      <c r="AW4" s="251"/>
      <c r="AX4" s="252"/>
      <c r="AY4" s="1"/>
      <c r="AZ4" s="1"/>
      <c r="BA4" s="1"/>
      <c r="BB4" s="1"/>
    </row>
    <row r="5" spans="1:54" ht="16.5" thickBot="1">
      <c r="A5" s="6" t="s">
        <v>5</v>
      </c>
      <c r="B5" s="78"/>
      <c r="C5" s="262">
        <f>'01'!K19</f>
        <v>17336.68</v>
      </c>
      <c r="D5" s="260"/>
      <c r="E5" s="260"/>
      <c r="F5" s="261"/>
      <c r="G5" s="262">
        <f>'02'!K19</f>
        <v>20217</v>
      </c>
      <c r="H5" s="260"/>
      <c r="I5" s="260"/>
      <c r="J5" s="261"/>
      <c r="K5" s="259">
        <f>'03'!K19</f>
        <v>21214.57</v>
      </c>
      <c r="L5" s="260"/>
      <c r="M5" s="260"/>
      <c r="N5" s="261"/>
      <c r="O5" s="259">
        <f>'04'!K19</f>
        <v>20719.909999999996</v>
      </c>
      <c r="P5" s="260"/>
      <c r="Q5" s="260"/>
      <c r="R5" s="261"/>
      <c r="S5" s="259">
        <f>'05'!K19</f>
        <v>22905.86</v>
      </c>
      <c r="T5" s="260"/>
      <c r="U5" s="260"/>
      <c r="V5" s="261"/>
      <c r="W5" s="259">
        <f>'06'!K19</f>
        <v>23622.14</v>
      </c>
      <c r="X5" s="260"/>
      <c r="Y5" s="260"/>
      <c r="Z5" s="261"/>
      <c r="AA5" s="259">
        <f>'07'!K19</f>
        <v>24911.559999999998</v>
      </c>
      <c r="AB5" s="260"/>
      <c r="AC5" s="260"/>
      <c r="AD5" s="261"/>
      <c r="AE5" s="259">
        <f>'08'!K19</f>
        <v>24488.75</v>
      </c>
      <c r="AF5" s="260"/>
      <c r="AG5" s="260"/>
      <c r="AH5" s="261"/>
      <c r="AI5" s="259">
        <f>'09'!K19</f>
        <v>14551.890000000001</v>
      </c>
      <c r="AJ5" s="260"/>
      <c r="AK5" s="260"/>
      <c r="AL5" s="261"/>
      <c r="AM5" s="259">
        <f>'10'!K19</f>
        <v>13551.890000000001</v>
      </c>
      <c r="AN5" s="260"/>
      <c r="AO5" s="260"/>
      <c r="AP5" s="261"/>
      <c r="AQ5" s="259">
        <f>'11'!K19</f>
        <v>13551.890000000001</v>
      </c>
      <c r="AR5" s="260"/>
      <c r="AS5" s="260"/>
      <c r="AT5" s="261"/>
      <c r="AU5" s="259">
        <f>'12'!K19</f>
        <v>13551.890000000001</v>
      </c>
      <c r="AV5" s="260"/>
      <c r="AW5" s="260"/>
      <c r="AX5" s="261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53" t="s">
        <v>7</v>
      </c>
      <c r="D7" s="254"/>
      <c r="E7" s="254"/>
      <c r="F7" s="255"/>
      <c r="G7" s="253" t="s">
        <v>7</v>
      </c>
      <c r="H7" s="254"/>
      <c r="I7" s="254"/>
      <c r="J7" s="255"/>
      <c r="K7" s="253" t="s">
        <v>7</v>
      </c>
      <c r="L7" s="254"/>
      <c r="M7" s="254"/>
      <c r="N7" s="255"/>
      <c r="O7" s="253" t="s">
        <v>7</v>
      </c>
      <c r="P7" s="254"/>
      <c r="Q7" s="254"/>
      <c r="R7" s="255"/>
      <c r="S7" s="253" t="s">
        <v>7</v>
      </c>
      <c r="T7" s="254"/>
      <c r="U7" s="254"/>
      <c r="V7" s="255"/>
      <c r="W7" s="253" t="s">
        <v>7</v>
      </c>
      <c r="X7" s="254"/>
      <c r="Y7" s="254"/>
      <c r="Z7" s="255"/>
      <c r="AA7" s="253" t="s">
        <v>7</v>
      </c>
      <c r="AB7" s="254"/>
      <c r="AC7" s="254"/>
      <c r="AD7" s="255"/>
      <c r="AE7" s="253" t="s">
        <v>7</v>
      </c>
      <c r="AF7" s="254"/>
      <c r="AG7" s="254"/>
      <c r="AH7" s="255"/>
      <c r="AI7" s="253" t="s">
        <v>7</v>
      </c>
      <c r="AJ7" s="254"/>
      <c r="AK7" s="254"/>
      <c r="AL7" s="255"/>
      <c r="AM7" s="253" t="s">
        <v>7</v>
      </c>
      <c r="AN7" s="254"/>
      <c r="AO7" s="254"/>
      <c r="AP7" s="255"/>
      <c r="AQ7" s="253" t="s">
        <v>7</v>
      </c>
      <c r="AR7" s="254"/>
      <c r="AS7" s="254"/>
      <c r="AT7" s="255"/>
      <c r="AU7" s="253" t="s">
        <v>7</v>
      </c>
      <c r="AV7" s="254"/>
      <c r="AW7" s="254"/>
      <c r="AX7" s="255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56">
        <v>2317.46</v>
      </c>
      <c r="D8" s="257"/>
      <c r="E8" s="257"/>
      <c r="F8" s="258"/>
      <c r="G8" s="256">
        <f>2317.46+1638.24</f>
        <v>3955.7</v>
      </c>
      <c r="H8" s="257"/>
      <c r="I8" s="257"/>
      <c r="J8" s="258"/>
      <c r="K8" s="256">
        <v>2320.84</v>
      </c>
      <c r="L8" s="257"/>
      <c r="M8" s="257"/>
      <c r="N8" s="258"/>
      <c r="O8" s="256">
        <v>2325.9</v>
      </c>
      <c r="P8" s="257"/>
      <c r="Q8" s="257"/>
      <c r="R8" s="258"/>
      <c r="S8" s="256">
        <v>2321.1799999999998</v>
      </c>
      <c r="T8" s="257"/>
      <c r="U8" s="257"/>
      <c r="V8" s="258"/>
      <c r="W8" s="256">
        <v>3973.79</v>
      </c>
      <c r="X8" s="257"/>
      <c r="Y8" s="257"/>
      <c r="Z8" s="258"/>
      <c r="AA8" s="256">
        <v>2328.91</v>
      </c>
      <c r="AB8" s="257"/>
      <c r="AC8" s="257"/>
      <c r="AD8" s="258"/>
      <c r="AE8" s="256"/>
      <c r="AF8" s="257"/>
      <c r="AG8" s="257"/>
      <c r="AH8" s="258"/>
      <c r="AI8" s="256"/>
      <c r="AJ8" s="257"/>
      <c r="AK8" s="257"/>
      <c r="AL8" s="258"/>
      <c r="AM8" s="256"/>
      <c r="AN8" s="257"/>
      <c r="AO8" s="257"/>
      <c r="AP8" s="258"/>
      <c r="AQ8" s="256"/>
      <c r="AR8" s="257"/>
      <c r="AS8" s="257"/>
      <c r="AT8" s="258"/>
      <c r="AU8" s="256"/>
      <c r="AV8" s="257"/>
      <c r="AW8" s="257"/>
      <c r="AX8" s="258"/>
      <c r="AY8" s="12">
        <f>SUM(C8:AU8)</f>
        <v>19543.78</v>
      </c>
      <c r="AZ8" s="1"/>
      <c r="BA8" s="1"/>
      <c r="BB8" s="1"/>
    </row>
    <row r="9" spans="1:54" ht="15.75">
      <c r="A9" s="13" t="s">
        <v>125</v>
      </c>
      <c r="B9" s="54">
        <v>4981.99</v>
      </c>
      <c r="C9" s="244">
        <f>72.66+314.12</f>
        <v>386.78</v>
      </c>
      <c r="D9" s="245"/>
      <c r="E9" s="245"/>
      <c r="F9" s="246"/>
      <c r="G9" s="244">
        <f>176.46</f>
        <v>176.46</v>
      </c>
      <c r="H9" s="245"/>
      <c r="I9" s="245"/>
      <c r="J9" s="246"/>
      <c r="K9" s="244">
        <f>259.63+176.46</f>
        <v>436.09000000000003</v>
      </c>
      <c r="L9" s="245"/>
      <c r="M9" s="245"/>
      <c r="N9" s="246"/>
      <c r="O9" s="244">
        <f>249.22+197.22+325.64</f>
        <v>772.07999999999993</v>
      </c>
      <c r="P9" s="245"/>
      <c r="Q9" s="245"/>
      <c r="R9" s="246"/>
      <c r="S9" s="244">
        <f>155.7+267.29</f>
        <v>422.99</v>
      </c>
      <c r="T9" s="245"/>
      <c r="U9" s="245"/>
      <c r="V9" s="246"/>
      <c r="W9" s="244">
        <f>197.22</f>
        <v>197.22</v>
      </c>
      <c r="X9" s="245"/>
      <c r="Y9" s="245"/>
      <c r="Z9" s="246"/>
      <c r="AA9" s="244">
        <f>786.42+134.94+83.04</f>
        <v>1004.3999999999999</v>
      </c>
      <c r="AB9" s="245"/>
      <c r="AC9" s="245"/>
      <c r="AD9" s="246"/>
      <c r="AE9" s="244">
        <f>269.88</f>
        <v>269.88</v>
      </c>
      <c r="AF9" s="245"/>
      <c r="AG9" s="245"/>
      <c r="AH9" s="246"/>
      <c r="AI9" s="244"/>
      <c r="AJ9" s="245"/>
      <c r="AK9" s="245"/>
      <c r="AL9" s="246"/>
      <c r="AM9" s="244"/>
      <c r="AN9" s="245"/>
      <c r="AO9" s="245"/>
      <c r="AP9" s="246"/>
      <c r="AQ9" s="244"/>
      <c r="AR9" s="245"/>
      <c r="AS9" s="245"/>
      <c r="AT9" s="246"/>
      <c r="AU9" s="244"/>
      <c r="AV9" s="245"/>
      <c r="AW9" s="245"/>
      <c r="AX9" s="246"/>
      <c r="AY9" s="14">
        <f t="shared" ref="AY9:AY15" si="0">SUM(C9:AX9)</f>
        <v>3665.8999999999996</v>
      </c>
      <c r="AZ9" s="1"/>
      <c r="BA9" s="1"/>
      <c r="BB9" s="1"/>
    </row>
    <row r="10" spans="1:54" ht="15.75">
      <c r="A10" s="15" t="s">
        <v>126</v>
      </c>
      <c r="B10" s="55">
        <v>723.38</v>
      </c>
      <c r="C10" s="247">
        <v>90.43</v>
      </c>
      <c r="D10" s="248"/>
      <c r="E10" s="248"/>
      <c r="F10" s="249"/>
      <c r="G10" s="247">
        <f>1117.39-956.06</f>
        <v>161.33000000000015</v>
      </c>
      <c r="H10" s="248"/>
      <c r="I10" s="248"/>
      <c r="J10" s="249"/>
      <c r="K10" s="247">
        <v>285.58</v>
      </c>
      <c r="L10" s="248"/>
      <c r="M10" s="248"/>
      <c r="N10" s="249"/>
      <c r="O10" s="247">
        <f>275.29+42.8</f>
        <v>318.09000000000003</v>
      </c>
      <c r="P10" s="248"/>
      <c r="Q10" s="248"/>
      <c r="R10" s="249"/>
      <c r="S10" s="247">
        <f>421.56</f>
        <v>421.56</v>
      </c>
      <c r="T10" s="248"/>
      <c r="U10" s="248"/>
      <c r="V10" s="249"/>
      <c r="W10" s="247">
        <v>341.74</v>
      </c>
      <c r="X10" s="248"/>
      <c r="Y10" s="248"/>
      <c r="Z10" s="249"/>
      <c r="AA10" s="247">
        <v>234.71</v>
      </c>
      <c r="AB10" s="248"/>
      <c r="AC10" s="248"/>
      <c r="AD10" s="249"/>
      <c r="AE10" s="247"/>
      <c r="AF10" s="248"/>
      <c r="AG10" s="248"/>
      <c r="AH10" s="249"/>
      <c r="AI10" s="247"/>
      <c r="AJ10" s="248"/>
      <c r="AK10" s="248"/>
      <c r="AL10" s="249"/>
      <c r="AM10" s="247"/>
      <c r="AN10" s="248"/>
      <c r="AO10" s="248"/>
      <c r="AP10" s="249"/>
      <c r="AQ10" s="247"/>
      <c r="AR10" s="248"/>
      <c r="AS10" s="248"/>
      <c r="AT10" s="249"/>
      <c r="AU10" s="247"/>
      <c r="AV10" s="248"/>
      <c r="AW10" s="248"/>
      <c r="AX10" s="249"/>
      <c r="AY10" s="16">
        <f t="shared" si="0"/>
        <v>1853.4400000000003</v>
      </c>
      <c r="AZ10" s="1"/>
      <c r="BA10" s="1"/>
      <c r="BB10" s="1"/>
    </row>
    <row r="11" spans="1:54" ht="15.75">
      <c r="A11" s="13" t="s">
        <v>127</v>
      </c>
      <c r="B11" s="54">
        <v>180.64</v>
      </c>
      <c r="C11" s="244">
        <f>1.01+0.04+2831.41+0.05</f>
        <v>2832.51</v>
      </c>
      <c r="D11" s="245"/>
      <c r="E11" s="245"/>
      <c r="F11" s="246"/>
      <c r="G11" s="244"/>
      <c r="H11" s="245"/>
      <c r="I11" s="245"/>
      <c r="J11" s="246"/>
      <c r="K11" s="244"/>
      <c r="L11" s="245"/>
      <c r="M11" s="245"/>
      <c r="N11" s="246"/>
      <c r="O11" s="244">
        <v>0.03</v>
      </c>
      <c r="P11" s="245"/>
      <c r="Q11" s="245"/>
      <c r="R11" s="246"/>
      <c r="S11" s="244">
        <f>38.64</f>
        <v>38.64</v>
      </c>
      <c r="T11" s="245"/>
      <c r="U11" s="245"/>
      <c r="V11" s="246"/>
      <c r="W11" s="244"/>
      <c r="X11" s="245"/>
      <c r="Y11" s="245"/>
      <c r="Z11" s="246"/>
      <c r="AA11" s="244">
        <f>0.02</f>
        <v>0.02</v>
      </c>
      <c r="AB11" s="245"/>
      <c r="AC11" s="245"/>
      <c r="AD11" s="246"/>
      <c r="AE11" s="244"/>
      <c r="AF11" s="245"/>
      <c r="AG11" s="245"/>
      <c r="AH11" s="246"/>
      <c r="AI11" s="244"/>
      <c r="AJ11" s="245"/>
      <c r="AK11" s="245"/>
      <c r="AL11" s="246"/>
      <c r="AM11" s="244"/>
      <c r="AN11" s="245"/>
      <c r="AO11" s="245"/>
      <c r="AP11" s="246"/>
      <c r="AQ11" s="244"/>
      <c r="AR11" s="245"/>
      <c r="AS11" s="245"/>
      <c r="AT11" s="246"/>
      <c r="AU11" s="244"/>
      <c r="AV11" s="245"/>
      <c r="AW11" s="245"/>
      <c r="AX11" s="246"/>
      <c r="AY11" s="14">
        <f t="shared" si="0"/>
        <v>2871.2000000000003</v>
      </c>
      <c r="AZ11" s="1"/>
      <c r="BA11" s="1"/>
      <c r="BB11" s="1"/>
    </row>
    <row r="12" spans="1:54" ht="15.75">
      <c r="A12" s="15" t="s">
        <v>128</v>
      </c>
      <c r="B12" s="55">
        <v>626.6</v>
      </c>
      <c r="C12" s="247">
        <f>700+50+449</f>
        <v>1199</v>
      </c>
      <c r="D12" s="248"/>
      <c r="E12" s="248"/>
      <c r="F12" s="249"/>
      <c r="G12" s="247">
        <v>447.43</v>
      </c>
      <c r="H12" s="248"/>
      <c r="I12" s="248"/>
      <c r="J12" s="249"/>
      <c r="K12" s="247"/>
      <c r="L12" s="248"/>
      <c r="M12" s="248"/>
      <c r="N12" s="249"/>
      <c r="O12" s="247">
        <f>80.1</f>
        <v>80.099999999999994</v>
      </c>
      <c r="P12" s="248"/>
      <c r="Q12" s="248"/>
      <c r="R12" s="249"/>
      <c r="S12" s="247"/>
      <c r="T12" s="248"/>
      <c r="U12" s="248"/>
      <c r="V12" s="249"/>
      <c r="W12" s="247">
        <f>200</f>
        <v>200</v>
      </c>
      <c r="X12" s="248"/>
      <c r="Y12" s="248"/>
      <c r="Z12" s="249"/>
      <c r="AA12" s="247">
        <f>106.3</f>
        <v>106.3</v>
      </c>
      <c r="AB12" s="248"/>
      <c r="AC12" s="248"/>
      <c r="AD12" s="249"/>
      <c r="AE12" s="247"/>
      <c r="AF12" s="248"/>
      <c r="AG12" s="248"/>
      <c r="AH12" s="249"/>
      <c r="AI12" s="247"/>
      <c r="AJ12" s="248"/>
      <c r="AK12" s="248"/>
      <c r="AL12" s="249"/>
      <c r="AM12" s="247"/>
      <c r="AN12" s="248"/>
      <c r="AO12" s="248"/>
      <c r="AP12" s="249"/>
      <c r="AQ12" s="247"/>
      <c r="AR12" s="248"/>
      <c r="AS12" s="248"/>
      <c r="AT12" s="249"/>
      <c r="AU12" s="247"/>
      <c r="AV12" s="248"/>
      <c r="AW12" s="248"/>
      <c r="AX12" s="249"/>
      <c r="AY12" s="16">
        <f t="shared" si="0"/>
        <v>2032.83</v>
      </c>
      <c r="AZ12" s="1"/>
      <c r="BA12" s="1"/>
      <c r="BB12" s="1"/>
    </row>
    <row r="13" spans="1:54" ht="15.75">
      <c r="A13" s="13" t="s">
        <v>129</v>
      </c>
      <c r="B13" s="56">
        <v>3448.3199999999993</v>
      </c>
      <c r="C13" s="244">
        <f>93.93</f>
        <v>93.93</v>
      </c>
      <c r="D13" s="245"/>
      <c r="E13" s="245"/>
      <c r="F13" s="246"/>
      <c r="G13" s="244">
        <f>93.93</f>
        <v>93.93</v>
      </c>
      <c r="H13" s="245"/>
      <c r="I13" s="245"/>
      <c r="J13" s="246"/>
      <c r="K13" s="244">
        <f>93.93</f>
        <v>93.93</v>
      </c>
      <c r="L13" s="245"/>
      <c r="M13" s="245"/>
      <c r="N13" s="246"/>
      <c r="O13" s="244">
        <f>93.93+2290.23</f>
        <v>2384.16</v>
      </c>
      <c r="P13" s="245"/>
      <c r="Q13" s="245"/>
      <c r="R13" s="246"/>
      <c r="S13" s="244">
        <f>93.93</f>
        <v>93.93</v>
      </c>
      <c r="T13" s="245"/>
      <c r="U13" s="245"/>
      <c r="V13" s="246"/>
      <c r="W13" s="244">
        <f>93.93</f>
        <v>93.93</v>
      </c>
      <c r="X13" s="245"/>
      <c r="Y13" s="245"/>
      <c r="Z13" s="246"/>
      <c r="AA13" s="244">
        <f>93.93</f>
        <v>93.93</v>
      </c>
      <c r="AB13" s="245"/>
      <c r="AC13" s="245"/>
      <c r="AD13" s="246"/>
      <c r="AE13" s="244"/>
      <c r="AF13" s="245"/>
      <c r="AG13" s="245"/>
      <c r="AH13" s="246"/>
      <c r="AI13" s="244"/>
      <c r="AJ13" s="245"/>
      <c r="AK13" s="245"/>
      <c r="AL13" s="246"/>
      <c r="AM13" s="244"/>
      <c r="AN13" s="245"/>
      <c r="AO13" s="245"/>
      <c r="AP13" s="246"/>
      <c r="AQ13" s="244"/>
      <c r="AR13" s="245"/>
      <c r="AS13" s="245"/>
      <c r="AT13" s="246"/>
      <c r="AU13" s="244"/>
      <c r="AV13" s="245"/>
      <c r="AW13" s="245"/>
      <c r="AX13" s="246"/>
      <c r="AY13" s="17">
        <f t="shared" si="0"/>
        <v>2947.7399999999993</v>
      </c>
      <c r="AZ13" s="1"/>
      <c r="BA13" s="1"/>
      <c r="BB13" s="1"/>
    </row>
    <row r="14" spans="1:54" ht="15.75">
      <c r="A14" s="15" t="s">
        <v>130</v>
      </c>
      <c r="B14" s="55">
        <v>795.41</v>
      </c>
      <c r="C14" s="247"/>
      <c r="D14" s="248"/>
      <c r="E14" s="248"/>
      <c r="F14" s="249"/>
      <c r="G14" s="247">
        <f>27.27+13.86+8.75+34.09</f>
        <v>83.97</v>
      </c>
      <c r="H14" s="248"/>
      <c r="I14" s="248"/>
      <c r="J14" s="249"/>
      <c r="K14" s="247"/>
      <c r="L14" s="248"/>
      <c r="M14" s="248"/>
      <c r="N14" s="249"/>
      <c r="O14" s="247">
        <f>25+27.27+16.9+26.12</f>
        <v>95.289999999999992</v>
      </c>
      <c r="P14" s="248"/>
      <c r="Q14" s="248"/>
      <c r="R14" s="249"/>
      <c r="S14" s="247">
        <f>22.09+27.27</f>
        <v>49.36</v>
      </c>
      <c r="T14" s="248"/>
      <c r="U14" s="248"/>
      <c r="V14" s="249"/>
      <c r="W14" s="247">
        <f>8.75+27.27+27.27</f>
        <v>63.289999999999992</v>
      </c>
      <c r="X14" s="248"/>
      <c r="Y14" s="248"/>
      <c r="Z14" s="249"/>
      <c r="AA14" s="247"/>
      <c r="AB14" s="248"/>
      <c r="AC14" s="248"/>
      <c r="AD14" s="249"/>
      <c r="AE14" s="247"/>
      <c r="AF14" s="248"/>
      <c r="AG14" s="248"/>
      <c r="AH14" s="249"/>
      <c r="AI14" s="247"/>
      <c r="AJ14" s="248"/>
      <c r="AK14" s="248"/>
      <c r="AL14" s="249"/>
      <c r="AM14" s="247"/>
      <c r="AN14" s="248"/>
      <c r="AO14" s="248"/>
      <c r="AP14" s="249"/>
      <c r="AQ14" s="247"/>
      <c r="AR14" s="248"/>
      <c r="AS14" s="248"/>
      <c r="AT14" s="249"/>
      <c r="AU14" s="247"/>
      <c r="AV14" s="248"/>
      <c r="AW14" s="248"/>
      <c r="AX14" s="249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131</v>
      </c>
      <c r="B15" s="54">
        <v>2461.34</v>
      </c>
      <c r="C15" s="244">
        <v>648.49</v>
      </c>
      <c r="D15" s="245"/>
      <c r="E15" s="245"/>
      <c r="F15" s="246"/>
      <c r="G15" s="244">
        <v>550</v>
      </c>
      <c r="H15" s="245"/>
      <c r="I15" s="245"/>
      <c r="J15" s="246"/>
      <c r="K15" s="244">
        <v>690</v>
      </c>
      <c r="L15" s="245"/>
      <c r="M15" s="245"/>
      <c r="N15" s="246"/>
      <c r="O15" s="244">
        <f>550</f>
        <v>550</v>
      </c>
      <c r="P15" s="245"/>
      <c r="Q15" s="245"/>
      <c r="R15" s="246"/>
      <c r="S15" s="244">
        <v>650.01</v>
      </c>
      <c r="T15" s="245"/>
      <c r="U15" s="245"/>
      <c r="V15" s="246"/>
      <c r="W15" s="244">
        <v>568.34</v>
      </c>
      <c r="X15" s="245"/>
      <c r="Y15" s="245"/>
      <c r="Z15" s="246"/>
      <c r="AA15" s="244">
        <v>632.86</v>
      </c>
      <c r="AB15" s="245"/>
      <c r="AC15" s="245"/>
      <c r="AD15" s="246"/>
      <c r="AE15" s="244">
        <v>550</v>
      </c>
      <c r="AF15" s="245"/>
      <c r="AG15" s="245"/>
      <c r="AH15" s="246"/>
      <c r="AI15" s="244"/>
      <c r="AJ15" s="245"/>
      <c r="AK15" s="245"/>
      <c r="AL15" s="246"/>
      <c r="AM15" s="244"/>
      <c r="AN15" s="245"/>
      <c r="AO15" s="245"/>
      <c r="AP15" s="246"/>
      <c r="AQ15" s="244"/>
      <c r="AR15" s="245"/>
      <c r="AS15" s="245"/>
      <c r="AT15" s="246"/>
      <c r="AU15" s="244"/>
      <c r="AV15" s="245"/>
      <c r="AW15" s="245"/>
      <c r="AX15" s="246"/>
      <c r="AY15" s="14">
        <f t="shared" si="0"/>
        <v>4839.7</v>
      </c>
      <c r="AZ15" s="1"/>
      <c r="BA15" s="1"/>
      <c r="BB15" s="1"/>
    </row>
    <row r="16" spans="1:54" ht="16.5" thickBot="1">
      <c r="A16" s="15" t="s">
        <v>132</v>
      </c>
      <c r="B16" s="120">
        <v>15626.78</v>
      </c>
      <c r="C16" s="241">
        <f>28.78+200.62+1566.27</f>
        <v>1795.67</v>
      </c>
      <c r="D16" s="242"/>
      <c r="E16" s="242"/>
      <c r="F16" s="243"/>
      <c r="G16" s="241">
        <f>47.52</f>
        <v>47.52</v>
      </c>
      <c r="H16" s="242"/>
      <c r="I16" s="242"/>
      <c r="J16" s="243"/>
      <c r="K16" s="241"/>
      <c r="L16" s="242"/>
      <c r="M16" s="242"/>
      <c r="N16" s="243"/>
      <c r="O16" s="241"/>
      <c r="P16" s="242"/>
      <c r="Q16" s="242"/>
      <c r="R16" s="243"/>
      <c r="S16" s="241"/>
      <c r="T16" s="242"/>
      <c r="U16" s="242"/>
      <c r="V16" s="243"/>
      <c r="W16" s="241"/>
      <c r="X16" s="242"/>
      <c r="Y16" s="242"/>
      <c r="Z16" s="243"/>
      <c r="AA16" s="241">
        <v>26.77</v>
      </c>
      <c r="AB16" s="242"/>
      <c r="AC16" s="242"/>
      <c r="AD16" s="243"/>
      <c r="AE16" s="241"/>
      <c r="AF16" s="242"/>
      <c r="AG16" s="242"/>
      <c r="AH16" s="243"/>
      <c r="AI16" s="241"/>
      <c r="AJ16" s="242"/>
      <c r="AK16" s="242"/>
      <c r="AL16" s="243"/>
      <c r="AM16" s="241"/>
      <c r="AN16" s="242"/>
      <c r="AO16" s="242"/>
      <c r="AP16" s="243"/>
      <c r="AQ16" s="241"/>
      <c r="AR16" s="242"/>
      <c r="AS16" s="242"/>
      <c r="AT16" s="243"/>
      <c r="AU16" s="241"/>
      <c r="AV16" s="242"/>
      <c r="AW16" s="242"/>
      <c r="AX16" s="243"/>
      <c r="AY16" s="121">
        <f>SUM(C16:AX16)</f>
        <v>1869.96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7">
        <f>SUM(C8:C16)</f>
        <v>9364.27</v>
      </c>
      <c r="D17" s="238"/>
      <c r="E17" s="238"/>
      <c r="F17" s="239"/>
      <c r="G17" s="237">
        <f>SUM(G8:G16)</f>
        <v>5516.3400000000011</v>
      </c>
      <c r="H17" s="238"/>
      <c r="I17" s="238"/>
      <c r="J17" s="239"/>
      <c r="K17" s="237">
        <f>SUM(K8:K16)</f>
        <v>3826.44</v>
      </c>
      <c r="L17" s="238"/>
      <c r="M17" s="238"/>
      <c r="N17" s="239"/>
      <c r="O17" s="237">
        <f>SUM(O8:O16)</f>
        <v>6525.6500000000005</v>
      </c>
      <c r="P17" s="238"/>
      <c r="Q17" s="238"/>
      <c r="R17" s="239"/>
      <c r="S17" s="237">
        <f>SUM(S8:S16)</f>
        <v>3997.67</v>
      </c>
      <c r="T17" s="238"/>
      <c r="U17" s="238"/>
      <c r="V17" s="239"/>
      <c r="W17" s="237">
        <f>SUM(W8:W16)</f>
        <v>5438.31</v>
      </c>
      <c r="X17" s="238"/>
      <c r="Y17" s="238"/>
      <c r="Z17" s="239"/>
      <c r="AA17" s="237">
        <f>SUM(AA8:AA16)</f>
        <v>4427.8999999999996</v>
      </c>
      <c r="AB17" s="238"/>
      <c r="AC17" s="238"/>
      <c r="AD17" s="239"/>
      <c r="AE17" s="237">
        <f>SUM(AE8:AE16)</f>
        <v>819.88</v>
      </c>
      <c r="AF17" s="238"/>
      <c r="AG17" s="238"/>
      <c r="AH17" s="239"/>
      <c r="AI17" s="237">
        <f>SUM(AI8:AI16)</f>
        <v>0</v>
      </c>
      <c r="AJ17" s="238"/>
      <c r="AK17" s="238"/>
      <c r="AL17" s="239"/>
      <c r="AM17" s="237">
        <f>SUM(AM8:AM16)</f>
        <v>0</v>
      </c>
      <c r="AN17" s="238"/>
      <c r="AO17" s="238"/>
      <c r="AP17" s="239"/>
      <c r="AQ17" s="237">
        <f>SUM(AQ8:AQ16)</f>
        <v>0</v>
      </c>
      <c r="AR17" s="238"/>
      <c r="AS17" s="238"/>
      <c r="AT17" s="239"/>
      <c r="AU17" s="237">
        <f>SUM(AU8:AU16)</f>
        <v>0</v>
      </c>
      <c r="AV17" s="238"/>
      <c r="AW17" s="238"/>
      <c r="AX17" s="239"/>
      <c r="AY17" s="18">
        <f>SUM(AY8:AY16)</f>
        <v>39916.46</v>
      </c>
      <c r="AZ17" s="2">
        <f ca="1">AY17/BB$17</f>
        <v>4989.5574999999999</v>
      </c>
      <c r="BA17" s="1" t="s">
        <v>117</v>
      </c>
      <c r="BB17" s="1">
        <f ca="1">MONTH(TODAY())</f>
        <v>8</v>
      </c>
      <c r="BC17" s="123"/>
    </row>
    <row r="18" spans="1:55" ht="32.25" customHeight="1" thickTop="1" thickBot="1">
      <c r="A18" s="19"/>
      <c r="B18" s="19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  <c r="AS18" s="240"/>
      <c r="AT18" s="240"/>
      <c r="AU18" s="240" t="s">
        <v>481</v>
      </c>
      <c r="AV18" s="240"/>
      <c r="AW18" s="240"/>
      <c r="AX18" s="240"/>
      <c r="AY18" s="192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503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103</v>
      </c>
      <c r="AB20" s="58">
        <f>'07'!B20</f>
        <v>1043.3</v>
      </c>
      <c r="AC20" s="58">
        <f>SUM('07'!D20:F20)</f>
        <v>1375.54</v>
      </c>
      <c r="AD20" s="83">
        <f t="shared" ref="AD20:AD45" si="7">Z20+AB20-AC20</f>
        <v>366.88999999999987</v>
      </c>
      <c r="AE20" s="26" t="s">
        <v>104</v>
      </c>
      <c r="AF20" s="58">
        <f>'08'!B20</f>
        <v>269</v>
      </c>
      <c r="AG20" s="58">
        <f>SUM('08'!D20:F20)</f>
        <v>0</v>
      </c>
      <c r="AH20" s="83">
        <f t="shared" ref="AH20:AH45" si="8">AD20+AF20-AG20</f>
        <v>635.88999999999987</v>
      </c>
      <c r="AI20" s="26" t="s">
        <v>108</v>
      </c>
      <c r="AJ20" s="58">
        <f>'09'!B20</f>
        <v>534</v>
      </c>
      <c r="AK20" s="58">
        <f>SUM('09'!D20:F20)</f>
        <v>0</v>
      </c>
      <c r="AL20" s="83">
        <f t="shared" ref="AL20:AL45" si="9">AH20+AJ20-AK20</f>
        <v>1169.8899999999999</v>
      </c>
      <c r="AM20" s="26" t="s">
        <v>109</v>
      </c>
      <c r="AN20" s="58">
        <f>'10'!B20</f>
        <v>269</v>
      </c>
      <c r="AO20" s="58">
        <f>SUM('10'!D20:F20)</f>
        <v>0</v>
      </c>
      <c r="AP20" s="83">
        <f t="shared" ref="AP20:AP45" si="10">AL20+AN20-AO20</f>
        <v>1438.8899999999999</v>
      </c>
      <c r="AQ20" s="26" t="s">
        <v>114</v>
      </c>
      <c r="AR20" s="58">
        <f>'11'!B20</f>
        <v>269</v>
      </c>
      <c r="AS20" s="58">
        <f>SUM('11'!D20:F20)</f>
        <v>0</v>
      </c>
      <c r="AT20" s="83">
        <f t="shared" ref="AT20:AT45" si="11">AP20+AR20-AS20</f>
        <v>1707.8899999999999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2">AT20+AV20-AW20</f>
        <v>1976.8899999999999</v>
      </c>
      <c r="AY20" s="40">
        <f t="shared" ref="AY20:AY27" si="13">E20+I20+M20+Q20+U20+Y20+AC20+AG20+AK20+AO20+AS20+AW20</f>
        <v>5492.2699999999995</v>
      </c>
      <c r="AZ20" s="41">
        <f t="shared" ref="AZ20:AZ45" si="14">AY20/AY$46</f>
        <v>0.17012580389163778</v>
      </c>
      <c r="BA20" s="42">
        <f>_xlfn.RANK.EQ(AZ20,$AZ$20:$AZ$45,)</f>
        <v>2</v>
      </c>
      <c r="BB20" s="42">
        <f t="shared" ref="BB20:BB45" ca="1" si="15">AY20/BB$17</f>
        <v>686.53374999999994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7"/>
        <v>630.01999999999987</v>
      </c>
      <c r="AE21" s="27" t="s">
        <v>104</v>
      </c>
      <c r="AF21" s="62">
        <f>'08'!B40</f>
        <v>1128</v>
      </c>
      <c r="AG21" s="63">
        <f>SUM('08'!D40:F40)</f>
        <v>0</v>
      </c>
      <c r="AH21" s="84">
        <f t="shared" si="8"/>
        <v>1758.02</v>
      </c>
      <c r="AI21" s="27" t="s">
        <v>108</v>
      </c>
      <c r="AJ21" s="62">
        <f>'09'!B40</f>
        <v>1128</v>
      </c>
      <c r="AK21" s="63">
        <f>SUM('09'!D40:F40)</f>
        <v>0</v>
      </c>
      <c r="AL21" s="84">
        <f t="shared" si="9"/>
        <v>2886.02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0"/>
        <v>4014.02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1"/>
        <v>5142.0200000000004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2"/>
        <v>6270.02</v>
      </c>
      <c r="AY21" s="45">
        <f t="shared" si="13"/>
        <v>7692.9000000000005</v>
      </c>
      <c r="AZ21" s="41">
        <f t="shared" si="14"/>
        <v>0.23829141625557021</v>
      </c>
      <c r="BA21" s="42">
        <f t="shared" ref="BA21:BA45" si="16">_xlfn.RANK.EQ(AZ21,$AZ$20:$AZ$45,)</f>
        <v>1</v>
      </c>
      <c r="BB21" s="42">
        <f t="shared" ca="1" si="15"/>
        <v>961.61250000000007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103</v>
      </c>
      <c r="AB22" s="59">
        <f>'07'!B60</f>
        <v>530</v>
      </c>
      <c r="AC22" s="59">
        <f>SUM('07'!D60:F60)</f>
        <v>389.21999999999997</v>
      </c>
      <c r="AD22" s="85">
        <f t="shared" si="7"/>
        <v>11.730000000000075</v>
      </c>
      <c r="AE22" s="26" t="s">
        <v>104</v>
      </c>
      <c r="AF22" s="59">
        <f>'08'!B60</f>
        <v>500</v>
      </c>
      <c r="AG22" s="59">
        <f>SUM('08'!D60:F60)</f>
        <v>73.599999999999994</v>
      </c>
      <c r="AH22" s="85">
        <f t="shared" si="8"/>
        <v>438.13000000000011</v>
      </c>
      <c r="AI22" s="26" t="s">
        <v>108</v>
      </c>
      <c r="AJ22" s="59">
        <f>'09'!B60</f>
        <v>460</v>
      </c>
      <c r="AK22" s="59">
        <f>SUM('09'!D60:F60)</f>
        <v>0</v>
      </c>
      <c r="AL22" s="85">
        <f t="shared" si="9"/>
        <v>898.13000000000011</v>
      </c>
      <c r="AM22" s="26" t="s">
        <v>109</v>
      </c>
      <c r="AN22" s="59">
        <f>'10'!B60</f>
        <v>510</v>
      </c>
      <c r="AO22" s="59">
        <f>SUM('10'!D60:F60)</f>
        <v>0</v>
      </c>
      <c r="AP22" s="85">
        <f t="shared" si="10"/>
        <v>1408.13</v>
      </c>
      <c r="AQ22" s="26" t="s">
        <v>114</v>
      </c>
      <c r="AR22" s="59">
        <f>'11'!B60</f>
        <v>510</v>
      </c>
      <c r="AS22" s="59">
        <f>SUM('11'!D60:F60)</f>
        <v>0</v>
      </c>
      <c r="AT22" s="85">
        <f t="shared" si="11"/>
        <v>1918.13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2"/>
        <v>2428.13</v>
      </c>
      <c r="AY22" s="43">
        <f t="shared" si="13"/>
        <v>3171.33</v>
      </c>
      <c r="AZ22" s="41">
        <f t="shared" si="14"/>
        <v>9.8233529243039339E-2</v>
      </c>
      <c r="BA22" s="42">
        <f t="shared" si="16"/>
        <v>3</v>
      </c>
      <c r="BB22" s="42">
        <f t="shared" ca="1" si="15"/>
        <v>396.41624999999999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7"/>
        <v>-56.539999999999992</v>
      </c>
      <c r="AE23" s="27" t="s">
        <v>104</v>
      </c>
      <c r="AF23" s="62">
        <f>'08'!B80</f>
        <v>256.3</v>
      </c>
      <c r="AG23" s="63">
        <f>SUM('08'!D80:F80)</f>
        <v>4</v>
      </c>
      <c r="AH23" s="84">
        <f t="shared" si="8"/>
        <v>195.76000000000002</v>
      </c>
      <c r="AI23" s="27" t="s">
        <v>108</v>
      </c>
      <c r="AJ23" s="62">
        <f>'09'!B80</f>
        <v>150</v>
      </c>
      <c r="AK23" s="63">
        <f>SUM('09'!D80:F80)</f>
        <v>0</v>
      </c>
      <c r="AL23" s="84">
        <f t="shared" si="9"/>
        <v>345.76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0"/>
        <v>495.76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1"/>
        <v>645.76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2"/>
        <v>795.76</v>
      </c>
      <c r="AY23" s="45">
        <f t="shared" si="13"/>
        <v>1397.34</v>
      </c>
      <c r="AZ23" s="41">
        <f t="shared" si="14"/>
        <v>4.3283303772382119E-2</v>
      </c>
      <c r="BA23" s="42">
        <f t="shared" si="16"/>
        <v>7</v>
      </c>
      <c r="BB23" s="42">
        <f t="shared" ca="1" si="15"/>
        <v>174.66749999999999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103</v>
      </c>
      <c r="AB24" s="59">
        <f>'07'!B100</f>
        <v>150</v>
      </c>
      <c r="AC24" s="59">
        <f>SUM('07'!D100:F100)</f>
        <v>159.55000000000001</v>
      </c>
      <c r="AD24" s="85">
        <f t="shared" si="7"/>
        <v>38.070000000000022</v>
      </c>
      <c r="AE24" s="26" t="s">
        <v>104</v>
      </c>
      <c r="AF24" s="59">
        <f>'08'!B100</f>
        <v>150</v>
      </c>
      <c r="AG24" s="59">
        <f>SUM('08'!D100:F100)</f>
        <v>0</v>
      </c>
      <c r="AH24" s="85">
        <f t="shared" si="8"/>
        <v>188.07000000000002</v>
      </c>
      <c r="AI24" s="26" t="s">
        <v>108</v>
      </c>
      <c r="AJ24" s="59">
        <f>'09'!B100</f>
        <v>150</v>
      </c>
      <c r="AK24" s="59">
        <f>SUM('09'!D100:F100)</f>
        <v>0</v>
      </c>
      <c r="AL24" s="85">
        <f t="shared" si="9"/>
        <v>338.07000000000005</v>
      </c>
      <c r="AM24" s="26" t="s">
        <v>109</v>
      </c>
      <c r="AN24" s="59">
        <f>'10'!B100</f>
        <v>150</v>
      </c>
      <c r="AO24" s="59">
        <f>SUM('10'!D100:F100)</f>
        <v>0</v>
      </c>
      <c r="AP24" s="85">
        <f t="shared" si="10"/>
        <v>488.07000000000005</v>
      </c>
      <c r="AQ24" s="26" t="s">
        <v>114</v>
      </c>
      <c r="AR24" s="59">
        <f>'11'!B100</f>
        <v>150</v>
      </c>
      <c r="AS24" s="59">
        <f>SUM('11'!D100:F100)</f>
        <v>0</v>
      </c>
      <c r="AT24" s="85">
        <f t="shared" si="11"/>
        <v>638.07000000000005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2"/>
        <v>788.07</v>
      </c>
      <c r="AY24" s="43">
        <f t="shared" si="13"/>
        <v>1076.49</v>
      </c>
      <c r="AZ24" s="41">
        <f t="shared" si="14"/>
        <v>3.3344814918295926E-2</v>
      </c>
      <c r="BA24" s="42">
        <f t="shared" si="16"/>
        <v>9</v>
      </c>
      <c r="BB24" s="42">
        <f t="shared" ca="1" si="15"/>
        <v>134.56125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104</v>
      </c>
      <c r="AF25" s="62">
        <f>'08'!B120</f>
        <v>400</v>
      </c>
      <c r="AG25" s="63">
        <f>SUM('08'!D120:F120)</f>
        <v>258.47000000000003</v>
      </c>
      <c r="AH25" s="84">
        <f t="shared" si="8"/>
        <v>3714.6099999999988</v>
      </c>
      <c r="AI25" s="27" t="s">
        <v>108</v>
      </c>
      <c r="AJ25" s="62">
        <f>'09'!B120</f>
        <v>400</v>
      </c>
      <c r="AK25" s="63">
        <f>SUM('09'!D120:F120)</f>
        <v>0</v>
      </c>
      <c r="AL25" s="84">
        <f t="shared" si="9"/>
        <v>4114.6099999999988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0"/>
        <v>4514.6099999999988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1"/>
        <v>4914.6099999999988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2"/>
        <v>5314.6099999999988</v>
      </c>
      <c r="AY25" s="45">
        <f t="shared" si="13"/>
        <v>2560.2100000000009</v>
      </c>
      <c r="AZ25" s="41">
        <f t="shared" si="14"/>
        <v>7.9303782294280908E-2</v>
      </c>
      <c r="BA25" s="42">
        <f t="shared" si="16"/>
        <v>5</v>
      </c>
      <c r="BB25" s="42">
        <f t="shared" ca="1" si="15"/>
        <v>320.02625000000012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103</v>
      </c>
      <c r="AB26" s="59">
        <f>'07'!B140</f>
        <v>48</v>
      </c>
      <c r="AC26" s="59">
        <f>SUM('07'!D140:F140)</f>
        <v>45.49</v>
      </c>
      <c r="AD26" s="85">
        <f t="shared" si="7"/>
        <v>31.999999999999979</v>
      </c>
      <c r="AE26" s="26" t="s">
        <v>104</v>
      </c>
      <c r="AF26" s="59">
        <f>'08'!B140</f>
        <v>48</v>
      </c>
      <c r="AG26" s="59">
        <f>SUM('08'!D140:F140)</f>
        <v>0</v>
      </c>
      <c r="AH26" s="85">
        <f t="shared" si="8"/>
        <v>79.999999999999972</v>
      </c>
      <c r="AI26" s="26" t="s">
        <v>108</v>
      </c>
      <c r="AJ26" s="59">
        <f>'09'!B140</f>
        <v>48</v>
      </c>
      <c r="AK26" s="59">
        <f>SUM('09'!D140:F140)</f>
        <v>0</v>
      </c>
      <c r="AL26" s="85">
        <f t="shared" si="9"/>
        <v>127.99999999999997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0"/>
        <v>175.99999999999997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1"/>
        <v>223.99999999999997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2"/>
        <v>272</v>
      </c>
      <c r="AY26" s="43">
        <f t="shared" si="13"/>
        <v>329.47</v>
      </c>
      <c r="AZ26" s="41">
        <f t="shared" si="14"/>
        <v>1.0205497655464482E-2</v>
      </c>
      <c r="BA26" s="42">
        <f t="shared" si="16"/>
        <v>15</v>
      </c>
      <c r="BB26" s="42">
        <f t="shared" ca="1" si="15"/>
        <v>41.183750000000003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104</v>
      </c>
      <c r="AF27" s="62">
        <f>'08'!B160</f>
        <v>50</v>
      </c>
      <c r="AG27" s="62">
        <f>SUM('08'!D160:F160)</f>
        <v>0</v>
      </c>
      <c r="AH27" s="86">
        <f t="shared" si="8"/>
        <v>308.36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9"/>
        <v>358.36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0"/>
        <v>408.36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1"/>
        <v>458.36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2"/>
        <v>508.36</v>
      </c>
      <c r="AY27" s="45">
        <f t="shared" si="13"/>
        <v>247.03</v>
      </c>
      <c r="AZ27" s="41">
        <f t="shared" si="14"/>
        <v>7.6518775179208751E-3</v>
      </c>
      <c r="BA27" s="42">
        <f t="shared" si="16"/>
        <v>18</v>
      </c>
      <c r="BB27" s="42">
        <f t="shared" ca="1" si="15"/>
        <v>30.87875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104</v>
      </c>
      <c r="AF28" s="59">
        <f>'08'!B180</f>
        <v>200</v>
      </c>
      <c r="AG28" s="59">
        <f>SUM('08'!D180:F180)</f>
        <v>0</v>
      </c>
      <c r="AH28" s="87">
        <f t="shared" si="8"/>
        <v>684.66000000000008</v>
      </c>
      <c r="AI28" s="26" t="s">
        <v>108</v>
      </c>
      <c r="AJ28" s="59">
        <f>'09'!B180</f>
        <v>200</v>
      </c>
      <c r="AK28" s="59">
        <f>SUM('09'!D180:F180)</f>
        <v>0</v>
      </c>
      <c r="AL28" s="87">
        <f t="shared" si="9"/>
        <v>884.66000000000008</v>
      </c>
      <c r="AM28" s="26" t="s">
        <v>109</v>
      </c>
      <c r="AN28" s="59">
        <f>'10'!B180</f>
        <v>200</v>
      </c>
      <c r="AO28" s="59">
        <f>SUM('10'!D180:F180)</f>
        <v>0</v>
      </c>
      <c r="AP28" s="87">
        <f t="shared" si="10"/>
        <v>1084.6600000000001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1"/>
        <v>1284.6600000000001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2"/>
        <v>1484.66</v>
      </c>
      <c r="AY28" s="40">
        <f t="shared" ref="AY28:AY45" si="17">E28+I28+M28+Q28+U28+Y28+AC28+AG28+AK28+AO28+AS28+AW28</f>
        <v>2155.23</v>
      </c>
      <c r="AZ28" s="41">
        <f t="shared" si="14"/>
        <v>6.6759324709341414E-2</v>
      </c>
      <c r="BA28" s="42">
        <f t="shared" si="16"/>
        <v>6</v>
      </c>
      <c r="BB28" s="42">
        <f t="shared" ca="1" si="15"/>
        <v>269.40375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103</v>
      </c>
      <c r="AB29" s="62">
        <f>'07'!B200</f>
        <v>60</v>
      </c>
      <c r="AC29" s="63">
        <f>SUM('07'!D200:F200)</f>
        <v>120.06999999999998</v>
      </c>
      <c r="AD29" s="88">
        <f t="shared" si="7"/>
        <v>-144.04999999999995</v>
      </c>
      <c r="AE29" s="27" t="s">
        <v>104</v>
      </c>
      <c r="AF29" s="62">
        <f>'08'!B200</f>
        <v>214.05</v>
      </c>
      <c r="AG29" s="63">
        <f>SUM('08'!D200:F200)</f>
        <v>0</v>
      </c>
      <c r="AH29" s="88">
        <f t="shared" si="8"/>
        <v>70.000000000000057</v>
      </c>
      <c r="AI29" s="27" t="s">
        <v>108</v>
      </c>
      <c r="AJ29" s="62">
        <f>'09'!B200</f>
        <v>70</v>
      </c>
      <c r="AK29" s="63">
        <f>SUM('09'!D200:F200)</f>
        <v>0</v>
      </c>
      <c r="AL29" s="88">
        <f t="shared" si="9"/>
        <v>140.00000000000006</v>
      </c>
      <c r="AM29" s="27" t="s">
        <v>109</v>
      </c>
      <c r="AN29" s="62">
        <f>'10'!B200</f>
        <v>60</v>
      </c>
      <c r="AO29" s="63">
        <f>SUM('10'!D200:F200)</f>
        <v>0</v>
      </c>
      <c r="AP29" s="88">
        <f t="shared" si="10"/>
        <v>200.00000000000006</v>
      </c>
      <c r="AQ29" s="27" t="s">
        <v>114</v>
      </c>
      <c r="AR29" s="62">
        <f>'11'!B200</f>
        <v>60</v>
      </c>
      <c r="AS29" s="63">
        <f>SUM('11'!D200:F200)</f>
        <v>0</v>
      </c>
      <c r="AT29" s="88">
        <f t="shared" si="11"/>
        <v>260.00000000000006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2"/>
        <v>320.00000000000006</v>
      </c>
      <c r="AY29" s="45">
        <f t="shared" si="17"/>
        <v>750.32999999999993</v>
      </c>
      <c r="AZ29" s="41">
        <f t="shared" si="14"/>
        <v>2.3241846164520786E-2</v>
      </c>
      <c r="BA29" s="42">
        <f t="shared" si="16"/>
        <v>11</v>
      </c>
      <c r="BB29" s="42">
        <f t="shared" ca="1" si="15"/>
        <v>93.791249999999991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7"/>
        <v>40.040000000000006</v>
      </c>
      <c r="AE30" s="26" t="s">
        <v>104</v>
      </c>
      <c r="AF30" s="59">
        <f>'08'!B220</f>
        <v>35</v>
      </c>
      <c r="AG30" s="59">
        <f>SUM('08'!D220:F220)</f>
        <v>0</v>
      </c>
      <c r="AH30" s="89">
        <f t="shared" si="8"/>
        <v>75.040000000000006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9"/>
        <v>110.04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0"/>
        <v>145.04000000000002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1"/>
        <v>180.04000000000002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2"/>
        <v>215.04000000000002</v>
      </c>
      <c r="AY30" s="43">
        <f t="shared" si="17"/>
        <v>248.83</v>
      </c>
      <c r="AZ30" s="41">
        <f t="shared" si="14"/>
        <v>7.7076334161205176E-3</v>
      </c>
      <c r="BA30" s="42">
        <f t="shared" si="16"/>
        <v>17</v>
      </c>
      <c r="BB30" s="42">
        <f t="shared" ca="1" si="15"/>
        <v>31.103750000000002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103</v>
      </c>
      <c r="AB31" s="62">
        <f>'07'!B240</f>
        <v>90</v>
      </c>
      <c r="AC31" s="63">
        <f>SUM('07'!D240:F240)</f>
        <v>20</v>
      </c>
      <c r="AD31" s="88">
        <f t="shared" si="7"/>
        <v>72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8"/>
        <v>97</v>
      </c>
      <c r="AI31" s="27" t="s">
        <v>108</v>
      </c>
      <c r="AJ31" s="62">
        <f>'09'!B240</f>
        <v>25</v>
      </c>
      <c r="AK31" s="63">
        <f>SUM('09'!D240:F240)</f>
        <v>0</v>
      </c>
      <c r="AL31" s="88">
        <f t="shared" si="9"/>
        <v>122</v>
      </c>
      <c r="AM31" s="27" t="s">
        <v>109</v>
      </c>
      <c r="AN31" s="62">
        <f>'10'!B240</f>
        <v>25</v>
      </c>
      <c r="AO31" s="63">
        <f>SUM('10'!D240:F240)</f>
        <v>0</v>
      </c>
      <c r="AP31" s="88">
        <f t="shared" si="10"/>
        <v>147</v>
      </c>
      <c r="AQ31" s="27" t="s">
        <v>114</v>
      </c>
      <c r="AR31" s="62">
        <f>'11'!B240</f>
        <v>25</v>
      </c>
      <c r="AS31" s="63">
        <f>SUM('11'!D240:F240)</f>
        <v>0</v>
      </c>
      <c r="AT31" s="88">
        <f t="shared" si="11"/>
        <v>172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2"/>
        <v>197</v>
      </c>
      <c r="AY31" s="45">
        <f t="shared" si="17"/>
        <v>635</v>
      </c>
      <c r="AZ31" s="41">
        <f t="shared" si="14"/>
        <v>1.9669441864873724E-2</v>
      </c>
      <c r="BA31" s="42">
        <f t="shared" si="16"/>
        <v>12</v>
      </c>
      <c r="BB31" s="42">
        <f t="shared" ca="1" si="15"/>
        <v>79.375</v>
      </c>
    </row>
    <row r="32" spans="1:55" ht="15.75">
      <c r="A32" s="46" t="s">
        <v>207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103</v>
      </c>
      <c r="AB32" s="59">
        <f>'07'!B260</f>
        <v>80</v>
      </c>
      <c r="AC32" s="59">
        <f>SUM('07'!D260:F260)</f>
        <v>502.48</v>
      </c>
      <c r="AD32" s="89">
        <f t="shared" si="7"/>
        <v>-566.59</v>
      </c>
      <c r="AE32" s="26" t="s">
        <v>104</v>
      </c>
      <c r="AF32" s="59">
        <f>'08'!B260</f>
        <v>616.59</v>
      </c>
      <c r="AG32" s="59">
        <f>SUM('08'!D260:F260)</f>
        <v>0</v>
      </c>
      <c r="AH32" s="89">
        <f t="shared" si="8"/>
        <v>50</v>
      </c>
      <c r="AI32" s="26" t="s">
        <v>108</v>
      </c>
      <c r="AJ32" s="59">
        <f>'09'!B260</f>
        <v>50</v>
      </c>
      <c r="AK32" s="59">
        <f>SUM('09'!D260:F260)</f>
        <v>0</v>
      </c>
      <c r="AL32" s="89">
        <f t="shared" si="9"/>
        <v>100</v>
      </c>
      <c r="AM32" s="26" t="s">
        <v>109</v>
      </c>
      <c r="AN32" s="59">
        <f>'10'!B260</f>
        <v>80</v>
      </c>
      <c r="AO32" s="59">
        <f>SUM('10'!D260:F260)</f>
        <v>0</v>
      </c>
      <c r="AP32" s="89">
        <f t="shared" si="10"/>
        <v>180</v>
      </c>
      <c r="AQ32" s="26" t="s">
        <v>114</v>
      </c>
      <c r="AR32" s="59">
        <f>'11'!B260</f>
        <v>80</v>
      </c>
      <c r="AS32" s="59">
        <f>SUM('11'!D260:F260)</f>
        <v>0</v>
      </c>
      <c r="AT32" s="89">
        <f t="shared" si="11"/>
        <v>260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2"/>
        <v>340</v>
      </c>
      <c r="AY32" s="43">
        <f t="shared" si="17"/>
        <v>1046.5900000000001</v>
      </c>
      <c r="AZ32" s="41">
        <f t="shared" si="14"/>
        <v>3.2418647498201877E-2</v>
      </c>
      <c r="BA32" s="42">
        <f t="shared" si="16"/>
        <v>10</v>
      </c>
      <c r="BB32" s="42">
        <f t="shared" ca="1" si="15"/>
        <v>130.82375000000002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8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9"/>
        <v>220</v>
      </c>
      <c r="AM33" s="27" t="s">
        <v>109</v>
      </c>
      <c r="AN33" s="62">
        <f>'10'!B280</f>
        <v>60</v>
      </c>
      <c r="AO33" s="63">
        <f>SUM('10'!D280:F280)</f>
        <v>0</v>
      </c>
      <c r="AP33" s="88">
        <f t="shared" si="10"/>
        <v>280</v>
      </c>
      <c r="AQ33" s="27" t="s">
        <v>114</v>
      </c>
      <c r="AR33" s="62">
        <f>'11'!B280</f>
        <v>60</v>
      </c>
      <c r="AS33" s="63">
        <f>SUM('11'!D280:F280)</f>
        <v>0</v>
      </c>
      <c r="AT33" s="88">
        <f t="shared" si="11"/>
        <v>340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2"/>
        <v>400</v>
      </c>
      <c r="AY33" s="45">
        <f t="shared" si="17"/>
        <v>31.54</v>
      </c>
      <c r="AZ33" s="41">
        <f t="shared" si="14"/>
        <v>9.7696723845372793E-4</v>
      </c>
      <c r="BA33" s="42">
        <f t="shared" si="16"/>
        <v>21</v>
      </c>
      <c r="BB33" s="42">
        <f t="shared" ca="1" si="15"/>
        <v>3.9424999999999999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103</v>
      </c>
      <c r="AB34" s="59">
        <f>'07'!B300</f>
        <v>320</v>
      </c>
      <c r="AC34" s="59">
        <f>SUM('07'!D300:F300)</f>
        <v>75.539999999999992</v>
      </c>
      <c r="AD34" s="89">
        <f t="shared" si="7"/>
        <v>333.42999999999995</v>
      </c>
      <c r="AE34" s="26" t="s">
        <v>104</v>
      </c>
      <c r="AF34" s="59">
        <f>'08'!B300</f>
        <v>120</v>
      </c>
      <c r="AG34" s="59">
        <f>SUM('08'!D300:F300)</f>
        <v>0</v>
      </c>
      <c r="AH34" s="89">
        <f t="shared" si="8"/>
        <v>453.42999999999995</v>
      </c>
      <c r="AI34" s="26" t="s">
        <v>108</v>
      </c>
      <c r="AJ34" s="59">
        <f>'09'!B300</f>
        <v>120</v>
      </c>
      <c r="AK34" s="59">
        <f>SUM('09'!D300:F300)</f>
        <v>0</v>
      </c>
      <c r="AL34" s="89">
        <f t="shared" si="9"/>
        <v>573.42999999999995</v>
      </c>
      <c r="AM34" s="26" t="s">
        <v>109</v>
      </c>
      <c r="AN34" s="59">
        <f>'10'!B300</f>
        <v>120</v>
      </c>
      <c r="AO34" s="59">
        <f>SUM('10'!D300:F300)</f>
        <v>0</v>
      </c>
      <c r="AP34" s="89">
        <f t="shared" si="10"/>
        <v>693.43</v>
      </c>
      <c r="AQ34" s="26" t="s">
        <v>114</v>
      </c>
      <c r="AR34" s="59">
        <f>'11'!B300</f>
        <v>120</v>
      </c>
      <c r="AS34" s="59">
        <f>SUM('11'!D300:F300)</f>
        <v>0</v>
      </c>
      <c r="AT34" s="89">
        <f t="shared" si="11"/>
        <v>813.43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2"/>
        <v>933.43</v>
      </c>
      <c r="AY34" s="43">
        <f>E34+I34+M34+Q34+U34+Y34+AC34+AG34+AK34+AO34+AS34+AW34+(E36+I36+M36)</f>
        <v>2587.75</v>
      </c>
      <c r="AZ34" s="41">
        <f t="shared" si="14"/>
        <v>8.0156847536735396E-2</v>
      </c>
      <c r="BA34" s="42">
        <f t="shared" si="16"/>
        <v>4</v>
      </c>
      <c r="BB34" s="42">
        <f t="shared" ca="1" si="15"/>
        <v>323.46875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7"/>
        <v>1391.0000000000002</v>
      </c>
      <c r="AE35" s="27" t="s">
        <v>104</v>
      </c>
      <c r="AF35" s="62">
        <f>'08'!B320</f>
        <v>100</v>
      </c>
      <c r="AG35" s="62">
        <f>SUM('08'!D320:F320)</f>
        <v>0</v>
      </c>
      <c r="AH35" s="86">
        <f t="shared" si="8"/>
        <v>1491.0000000000002</v>
      </c>
      <c r="AI35" s="27" t="s">
        <v>108</v>
      </c>
      <c r="AJ35" s="62">
        <f>'09'!B320</f>
        <v>100</v>
      </c>
      <c r="AK35" s="62">
        <f>SUM('09'!D320:F320)</f>
        <v>0</v>
      </c>
      <c r="AL35" s="86">
        <f t="shared" si="9"/>
        <v>1591.0000000000002</v>
      </c>
      <c r="AM35" s="27" t="s">
        <v>109</v>
      </c>
      <c r="AN35" s="62">
        <f>'10'!B320</f>
        <v>100</v>
      </c>
      <c r="AO35" s="62">
        <f>SUM('10'!D320:F320)</f>
        <v>0</v>
      </c>
      <c r="AP35" s="86">
        <f t="shared" si="10"/>
        <v>1691.0000000000002</v>
      </c>
      <c r="AQ35" s="27" t="s">
        <v>114</v>
      </c>
      <c r="AR35" s="62">
        <f>'11'!B320</f>
        <v>100</v>
      </c>
      <c r="AS35" s="62">
        <f>SUM('11'!D320:F320)</f>
        <v>0</v>
      </c>
      <c r="AT35" s="86">
        <f t="shared" si="11"/>
        <v>1791.0000000000002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2"/>
        <v>1891.0000000000002</v>
      </c>
      <c r="AY35" s="45">
        <f t="shared" si="17"/>
        <v>1388.1000000000001</v>
      </c>
      <c r="AZ35" s="41">
        <f t="shared" si="14"/>
        <v>4.2997090161623966E-2</v>
      </c>
      <c r="BA35" s="42">
        <f t="shared" si="16"/>
        <v>8</v>
      </c>
      <c r="BB35" s="42">
        <f t="shared" ca="1" si="15"/>
        <v>173.51250000000002</v>
      </c>
    </row>
    <row r="36" spans="1:54" ht="15.75">
      <c r="A36" s="47" t="s">
        <v>390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7"/>
        <v>-241.70999999999998</v>
      </c>
      <c r="AE36" s="26" t="s">
        <v>104</v>
      </c>
      <c r="AF36" s="64">
        <f>'08'!B340</f>
        <v>331.73</v>
      </c>
      <c r="AG36" s="64">
        <f>SUM('08'!D340:F340)</f>
        <v>0</v>
      </c>
      <c r="AH36" s="85">
        <f t="shared" si="8"/>
        <v>90.020000000000039</v>
      </c>
      <c r="AI36" s="26" t="s">
        <v>108</v>
      </c>
      <c r="AJ36" s="64">
        <f>'09'!B340</f>
        <v>90</v>
      </c>
      <c r="AK36" s="64">
        <f>SUM('09'!D340:F340)</f>
        <v>0</v>
      </c>
      <c r="AL36" s="85">
        <f t="shared" si="9"/>
        <v>180.02000000000004</v>
      </c>
      <c r="AM36" s="26" t="s">
        <v>109</v>
      </c>
      <c r="AN36" s="64">
        <f>'10'!B340</f>
        <v>70.02</v>
      </c>
      <c r="AO36" s="64">
        <f>SUM('10'!D340:F340)</f>
        <v>0</v>
      </c>
      <c r="AP36" s="85">
        <f t="shared" si="10"/>
        <v>250.04000000000002</v>
      </c>
      <c r="AQ36" s="26" t="s">
        <v>114</v>
      </c>
      <c r="AR36" s="64">
        <f>'11'!B340</f>
        <v>70.02</v>
      </c>
      <c r="AS36" s="64">
        <f>SUM('11'!D340:F340)</f>
        <v>0</v>
      </c>
      <c r="AT36" s="85">
        <f t="shared" si="11"/>
        <v>320.06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2"/>
        <v>390.08</v>
      </c>
      <c r="AY36" s="40">
        <f>Q36+U36+Y36+AC36+AG36+AK36+AO36+AS36+AW36</f>
        <v>265.71000000000004</v>
      </c>
      <c r="AZ36" s="41">
        <f t="shared" si="14"/>
        <v>8.2304998392371612E-3</v>
      </c>
      <c r="BA36" s="42">
        <f t="shared" si="16"/>
        <v>16</v>
      </c>
      <c r="BB36" s="42">
        <f t="shared" ca="1" si="15"/>
        <v>33.213750000000005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7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8"/>
        <v>216.38</v>
      </c>
      <c r="AI37" s="27" t="s">
        <v>108</v>
      </c>
      <c r="AJ37" s="60">
        <f>'09'!B360</f>
        <v>50</v>
      </c>
      <c r="AK37" s="60">
        <f>SUM('09'!D360:F360)</f>
        <v>0</v>
      </c>
      <c r="AL37" s="84">
        <f t="shared" si="9"/>
        <v>266.38</v>
      </c>
      <c r="AM37" s="27" t="s">
        <v>109</v>
      </c>
      <c r="AN37" s="60">
        <f>'10'!B360</f>
        <v>50</v>
      </c>
      <c r="AO37" s="60">
        <f>SUM('10'!D360:F360)</f>
        <v>0</v>
      </c>
      <c r="AP37" s="84">
        <f t="shared" si="10"/>
        <v>316.38</v>
      </c>
      <c r="AQ37" s="27" t="s">
        <v>114</v>
      </c>
      <c r="AR37" s="60">
        <f>'11'!B360</f>
        <v>50</v>
      </c>
      <c r="AS37" s="60">
        <f>SUM('11'!D360:F360)</f>
        <v>0</v>
      </c>
      <c r="AT37" s="84">
        <f t="shared" si="11"/>
        <v>366.38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2"/>
        <v>416.38</v>
      </c>
      <c r="AY37" s="45">
        <f t="shared" si="17"/>
        <v>502.13</v>
      </c>
      <c r="AZ37" s="41">
        <f t="shared" si="14"/>
        <v>1.5553727312770146E-2</v>
      </c>
      <c r="BA37" s="42">
        <f t="shared" si="16"/>
        <v>14</v>
      </c>
      <c r="BB37" s="42">
        <f t="shared" ca="1" si="15"/>
        <v>62.766249999999999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103</v>
      </c>
      <c r="AB38" s="61">
        <f>'07'!B380</f>
        <v>103</v>
      </c>
      <c r="AC38" s="61">
        <f>SUM('07'!D380:F380)</f>
        <v>90.669999999999987</v>
      </c>
      <c r="AD38" s="85">
        <f t="shared" si="7"/>
        <v>-27.119999999999976</v>
      </c>
      <c r="AE38" s="26" t="s">
        <v>104</v>
      </c>
      <c r="AF38" s="61">
        <f>'08'!B380</f>
        <v>96.77</v>
      </c>
      <c r="AG38" s="61">
        <f>SUM('08'!D380:F380)</f>
        <v>4</v>
      </c>
      <c r="AH38" s="85">
        <f t="shared" si="8"/>
        <v>65.65000000000002</v>
      </c>
      <c r="AI38" s="26" t="s">
        <v>108</v>
      </c>
      <c r="AJ38" s="61">
        <f>'09'!B380</f>
        <v>70</v>
      </c>
      <c r="AK38" s="61">
        <f>SUM('09'!D380:F380)</f>
        <v>0</v>
      </c>
      <c r="AL38" s="85">
        <f t="shared" si="9"/>
        <v>135.65000000000003</v>
      </c>
      <c r="AM38" s="26" t="s">
        <v>109</v>
      </c>
      <c r="AN38" s="61">
        <f>'10'!B380</f>
        <v>60</v>
      </c>
      <c r="AO38" s="61">
        <f>SUM('10'!D380:F380)</f>
        <v>0</v>
      </c>
      <c r="AP38" s="85">
        <f t="shared" si="10"/>
        <v>195.65000000000003</v>
      </c>
      <c r="AQ38" s="26" t="s">
        <v>114</v>
      </c>
      <c r="AR38" s="61">
        <f>'11'!B380</f>
        <v>60</v>
      </c>
      <c r="AS38" s="61">
        <f>SUM('11'!D380:F380)</f>
        <v>0</v>
      </c>
      <c r="AT38" s="85">
        <f t="shared" si="11"/>
        <v>255.65000000000003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2"/>
        <v>315.65000000000003</v>
      </c>
      <c r="AY38" s="43">
        <f t="shared" si="17"/>
        <v>515.14</v>
      </c>
      <c r="AZ38" s="41">
        <f t="shared" si="14"/>
        <v>1.5956718554757558E-2</v>
      </c>
      <c r="BA38" s="42">
        <f t="shared" si="16"/>
        <v>13</v>
      </c>
      <c r="BB38" s="42">
        <f t="shared" ca="1" si="15"/>
        <v>64.392499999999998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9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0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1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2"/>
        <v>1160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109</v>
      </c>
      <c r="AN40" s="61">
        <f>'10'!B420</f>
        <v>0</v>
      </c>
      <c r="AO40" s="61">
        <f>SUM('10'!D420:F420)</f>
        <v>0</v>
      </c>
      <c r="AP40" s="85">
        <f t="shared" si="10"/>
        <v>718.89000000000044</v>
      </c>
      <c r="AQ40" s="26" t="s">
        <v>114</v>
      </c>
      <c r="AR40" s="61">
        <f>'11'!B420</f>
        <v>0</v>
      </c>
      <c r="AS40" s="61">
        <f>SUM('11'!D420:F420)</f>
        <v>0</v>
      </c>
      <c r="AT40" s="85">
        <f t="shared" si="11"/>
        <v>718.89000000000044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2"/>
        <v>718.89000000000044</v>
      </c>
      <c r="AY40" s="43">
        <f t="shared" si="17"/>
        <v>118.89</v>
      </c>
      <c r="AZ40" s="41">
        <f t="shared" si="14"/>
        <v>3.6826770760863574E-3</v>
      </c>
      <c r="BA40" s="42">
        <f t="shared" si="16"/>
        <v>19</v>
      </c>
      <c r="BB40" s="42">
        <f t="shared" ca="1" si="15"/>
        <v>14.86125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103</v>
      </c>
      <c r="AB41" s="60">
        <f>'07'!B440</f>
        <v>-190.40000000000055</v>
      </c>
      <c r="AC41" s="60">
        <f>SUM('07'!D440:F440)</f>
        <v>0</v>
      </c>
      <c r="AD41" s="84">
        <f t="shared" si="7"/>
        <v>9289.1699999999983</v>
      </c>
      <c r="AE41" s="27" t="s">
        <v>104</v>
      </c>
      <c r="AF41" s="60">
        <f>'08'!B440</f>
        <v>-4155.5599999999995</v>
      </c>
      <c r="AG41" s="60">
        <f>SUM('08'!D440:F440)</f>
        <v>0</v>
      </c>
      <c r="AH41" s="84">
        <f t="shared" si="8"/>
        <v>5133.6099999999988</v>
      </c>
      <c r="AI41" s="27" t="s">
        <v>108</v>
      </c>
      <c r="AJ41" s="60">
        <f>'09'!B440</f>
        <v>819.88</v>
      </c>
      <c r="AK41" s="60">
        <f>SUM('09'!D440:F440)</f>
        <v>0</v>
      </c>
      <c r="AL41" s="84">
        <f t="shared" si="9"/>
        <v>5953.4899999999989</v>
      </c>
      <c r="AM41" s="27" t="s">
        <v>109</v>
      </c>
      <c r="AN41" s="60">
        <f>'10'!B440</f>
        <v>819.88</v>
      </c>
      <c r="AO41" s="60">
        <f>SUM('10'!D440:F440)</f>
        <v>0</v>
      </c>
      <c r="AP41" s="84">
        <f t="shared" si="10"/>
        <v>6773.369999999999</v>
      </c>
      <c r="AQ41" s="27" t="s">
        <v>114</v>
      </c>
      <c r="AR41" s="60">
        <f>'11'!B440</f>
        <v>819.88</v>
      </c>
      <c r="AS41" s="60">
        <f>SUM('11'!D440:F440)</f>
        <v>0</v>
      </c>
      <c r="AT41" s="84">
        <f t="shared" si="11"/>
        <v>7593.2499999999991</v>
      </c>
      <c r="AU41" s="27" t="s">
        <v>118</v>
      </c>
      <c r="AV41" s="60">
        <f>'12'!B440</f>
        <v>819.88</v>
      </c>
      <c r="AW41" s="60">
        <f>SUM('12'!D440:F440)</f>
        <v>0</v>
      </c>
      <c r="AX41" s="84">
        <f t="shared" si="12"/>
        <v>8413.1299999999992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266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471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108</v>
      </c>
      <c r="AJ43" s="62">
        <f>'09'!B480</f>
        <v>50</v>
      </c>
      <c r="AK43" s="62">
        <f>SUM('09'!D480:F480)</f>
        <v>0</v>
      </c>
      <c r="AL43" s="84">
        <f t="shared" si="9"/>
        <v>365</v>
      </c>
      <c r="AM43" s="27" t="s">
        <v>109</v>
      </c>
      <c r="AN43" s="62">
        <f>'10'!B480</f>
        <v>315</v>
      </c>
      <c r="AO43" s="62">
        <f>SUM('10'!D480:F480)</f>
        <v>0</v>
      </c>
      <c r="AP43" s="84">
        <f t="shared" si="10"/>
        <v>680</v>
      </c>
      <c r="AQ43" s="27" t="s">
        <v>114</v>
      </c>
      <c r="AR43" s="62">
        <f>'11'!B480</f>
        <v>315</v>
      </c>
      <c r="AS43" s="62">
        <f>SUM('11'!D480:F480)</f>
        <v>0</v>
      </c>
      <c r="AT43" s="84">
        <f t="shared" si="11"/>
        <v>995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2"/>
        <v>1310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1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2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3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4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5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6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7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8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9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0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1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1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2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3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4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5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6"/>
        <v>104.72000000000003</v>
      </c>
      <c r="AA45" s="100" t="s">
        <v>103</v>
      </c>
      <c r="AB45" s="101">
        <f>'07'!B520</f>
        <v>0</v>
      </c>
      <c r="AC45" s="102">
        <f>SUM('07'!D520:F520)</f>
        <v>67.8</v>
      </c>
      <c r="AD45" s="103">
        <f t="shared" si="7"/>
        <v>36.92000000000003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8"/>
        <v>46.92000000000003</v>
      </c>
      <c r="AI45" s="100" t="s">
        <v>108</v>
      </c>
      <c r="AJ45" s="101">
        <f>'09'!B520</f>
        <v>0</v>
      </c>
      <c r="AK45" s="102">
        <f>SUM('09'!D520:F520)</f>
        <v>0</v>
      </c>
      <c r="AL45" s="103">
        <f t="shared" si="9"/>
        <v>46.92000000000003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0"/>
        <v>46.92000000000003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1"/>
        <v>46.92000000000003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2"/>
        <v>46.92000000000003</v>
      </c>
      <c r="AY45" s="104">
        <f t="shared" si="17"/>
        <v>71.3</v>
      </c>
      <c r="AZ45" s="41">
        <f t="shared" si="14"/>
        <v>2.2085530786858211E-3</v>
      </c>
      <c r="BA45" s="42">
        <f t="shared" si="16"/>
        <v>20</v>
      </c>
      <c r="BB45" s="42">
        <f t="shared" ca="1" si="15"/>
        <v>8.9124999999999996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4427.8999999999996</v>
      </c>
      <c r="AC46" s="115">
        <f>SUM(AC20:AC45)</f>
        <v>4850.7100000000009</v>
      </c>
      <c r="AD46" s="116">
        <f>SUM(AD20:AD45)</f>
        <v>24488.749999999996</v>
      </c>
      <c r="AE46" s="114"/>
      <c r="AF46" s="115">
        <f>SUM(AF20:AF45)</f>
        <v>819.88000000000102</v>
      </c>
      <c r="AG46" s="115">
        <f>SUM(AG20:AG45)</f>
        <v>340.07000000000005</v>
      </c>
      <c r="AH46" s="116">
        <f>SUM(AH20:AH45)</f>
        <v>24968.559999999994</v>
      </c>
      <c r="AI46" s="114"/>
      <c r="AJ46" s="115">
        <f>SUM(AJ20:AJ45)</f>
        <v>4669.88</v>
      </c>
      <c r="AK46" s="115">
        <f>SUM(AK20:AK45)</f>
        <v>0</v>
      </c>
      <c r="AL46" s="116">
        <f>SUM(AL20:AL45)</f>
        <v>29638.44</v>
      </c>
      <c r="AM46" s="114"/>
      <c r="AN46" s="115">
        <f>SUM(AN20:AN45)</f>
        <v>4719.8999999999996</v>
      </c>
      <c r="AO46" s="115">
        <f>SUM(AO20:AO45)-AO40</f>
        <v>0</v>
      </c>
      <c r="AP46" s="116">
        <f>SUM(AP20:AP45)</f>
        <v>34358.340000000004</v>
      </c>
      <c r="AQ46" s="114"/>
      <c r="AR46" s="115">
        <f>SUM(AR20:AR45)</f>
        <v>4719.8999999999996</v>
      </c>
      <c r="AS46" s="115">
        <f>SUM(AS20:AS45)-AS40</f>
        <v>0</v>
      </c>
      <c r="AT46" s="116">
        <f>SUM(AT20:AT45)</f>
        <v>39078.240000000005</v>
      </c>
      <c r="AU46" s="114"/>
      <c r="AV46" s="115">
        <f>SUM(AV20:AV45)</f>
        <v>4719.8999999999996</v>
      </c>
      <c r="AW46" s="115">
        <f>SUM(AW20:AW45)-AW40</f>
        <v>0</v>
      </c>
      <c r="AX46" s="116">
        <f>SUM(AX20:AX45)</f>
        <v>43798.140000000007</v>
      </c>
      <c r="AY46" s="28">
        <f>SUM(AY20:AY45)</f>
        <v>32283.579999999998</v>
      </c>
      <c r="AZ46" s="1"/>
      <c r="BA46" s="1"/>
      <c r="BB46" s="29">
        <f ca="1">SUM(BB20:BB45)</f>
        <v>4035.4474999999998</v>
      </c>
    </row>
    <row r="47" spans="1:54" s="81" customFormat="1" ht="12.75">
      <c r="A47" s="80" t="s">
        <v>317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-422.81000000000131</v>
      </c>
      <c r="AD47" s="82"/>
      <c r="AE47" s="82">
        <f>AE5-AD46</f>
        <v>0</v>
      </c>
      <c r="AF47" s="82">
        <f>AE17-AF46</f>
        <v>-1.0231815394945443E-12</v>
      </c>
      <c r="AG47" s="82">
        <f>AE17-AG46</f>
        <v>479.80999999999995</v>
      </c>
      <c r="AH47" s="82"/>
      <c r="AI47" s="82">
        <f>AI5-AH46</f>
        <v>-10416.669999999993</v>
      </c>
      <c r="AJ47" s="82">
        <f>AI17-AJ46</f>
        <v>-4669.88</v>
      </c>
      <c r="AK47" s="82">
        <f>AI17-AK46</f>
        <v>0</v>
      </c>
      <c r="AL47" s="82"/>
      <c r="AM47" s="82">
        <f>AM5-AL46</f>
        <v>-16086.549999999997</v>
      </c>
      <c r="AN47" s="82">
        <f>AM17-AN46</f>
        <v>-4719.8999999999996</v>
      </c>
      <c r="AO47" s="82">
        <f>AM17-AO46</f>
        <v>0</v>
      </c>
      <c r="AP47" s="82"/>
      <c r="AQ47" s="82">
        <f>AQ5-AP46</f>
        <v>-20806.450000000004</v>
      </c>
      <c r="AR47" s="82">
        <f>AQ17-AR46</f>
        <v>-4719.8999999999996</v>
      </c>
      <c r="AS47" s="82">
        <f>AQ17-AS46</f>
        <v>0</v>
      </c>
      <c r="AT47" s="82"/>
      <c r="AU47" s="82">
        <f>AU5-AT46</f>
        <v>-25526.350000000006</v>
      </c>
      <c r="AV47" s="82">
        <f>AU17-AV46</f>
        <v>-4719.8999999999996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205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254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417.21999999999997</v>
      </c>
      <c r="AG50" s="122">
        <f>AG22+28</f>
        <v>101.6</v>
      </c>
      <c r="AK50" s="122">
        <f>AK22+28</f>
        <v>28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12" t="s">
        <v>199</v>
      </c>
      <c r="D52" s="213"/>
      <c r="E52" s="213"/>
      <c r="F52" s="214"/>
      <c r="G52" s="212" t="s">
        <v>199</v>
      </c>
      <c r="H52" s="213"/>
      <c r="I52" s="213"/>
      <c r="J52" s="214"/>
      <c r="K52" s="212" t="s">
        <v>199</v>
      </c>
      <c r="L52" s="213"/>
      <c r="M52" s="213"/>
      <c r="N52" s="214"/>
      <c r="O52" s="212" t="s">
        <v>199</v>
      </c>
      <c r="P52" s="213"/>
      <c r="Q52" s="213"/>
      <c r="R52" s="214"/>
      <c r="S52" s="212" t="s">
        <v>199</v>
      </c>
      <c r="T52" s="213"/>
      <c r="U52" s="213"/>
      <c r="V52" s="214"/>
      <c r="W52" s="212" t="s">
        <v>199</v>
      </c>
      <c r="X52" s="213"/>
      <c r="Y52" s="213"/>
      <c r="Z52" s="214"/>
      <c r="AA52" s="212" t="s">
        <v>199</v>
      </c>
      <c r="AB52" s="213"/>
      <c r="AC52" s="213"/>
      <c r="AD52" s="214"/>
      <c r="AE52" s="212" t="s">
        <v>199</v>
      </c>
      <c r="AF52" s="213"/>
      <c r="AG52" s="213"/>
      <c r="AH52" s="214"/>
      <c r="AI52" s="212" t="s">
        <v>199</v>
      </c>
      <c r="AJ52" s="213"/>
      <c r="AK52" s="213"/>
      <c r="AL52" s="214"/>
      <c r="AM52" s="212" t="s">
        <v>199</v>
      </c>
      <c r="AN52" s="213"/>
      <c r="AO52" s="213"/>
      <c r="AP52" s="214"/>
      <c r="AQ52" s="212" t="s">
        <v>199</v>
      </c>
      <c r="AR52" s="213"/>
      <c r="AS52" s="213"/>
      <c r="AT52" s="214"/>
      <c r="AU52" s="212" t="s">
        <v>199</v>
      </c>
      <c r="AV52" s="213"/>
      <c r="AW52" s="213"/>
      <c r="AX52" s="214"/>
    </row>
    <row r="53" spans="1:51" ht="15.75" thickBot="1">
      <c r="C53" s="183" t="s">
        <v>200</v>
      </c>
      <c r="D53" s="215" t="s">
        <v>33</v>
      </c>
      <c r="E53" s="216"/>
      <c r="F53" s="184" t="s">
        <v>134</v>
      </c>
      <c r="G53" s="183" t="s">
        <v>200</v>
      </c>
      <c r="H53" s="215" t="s">
        <v>33</v>
      </c>
      <c r="I53" s="216"/>
      <c r="J53" s="184" t="s">
        <v>134</v>
      </c>
      <c r="K53" s="183" t="s">
        <v>200</v>
      </c>
      <c r="L53" s="215" t="s">
        <v>33</v>
      </c>
      <c r="M53" s="216"/>
      <c r="N53" s="184" t="s">
        <v>134</v>
      </c>
      <c r="O53" s="183" t="s">
        <v>200</v>
      </c>
      <c r="P53" s="215" t="s">
        <v>33</v>
      </c>
      <c r="Q53" s="216"/>
      <c r="R53" s="184" t="s">
        <v>134</v>
      </c>
      <c r="S53" s="183" t="s">
        <v>200</v>
      </c>
      <c r="T53" s="215" t="s">
        <v>33</v>
      </c>
      <c r="U53" s="216"/>
      <c r="V53" s="184" t="s">
        <v>134</v>
      </c>
      <c r="W53" s="183" t="s">
        <v>200</v>
      </c>
      <c r="X53" s="215" t="s">
        <v>33</v>
      </c>
      <c r="Y53" s="216"/>
      <c r="Z53" s="184" t="s">
        <v>134</v>
      </c>
      <c r="AA53" s="183" t="s">
        <v>200</v>
      </c>
      <c r="AB53" s="215" t="s">
        <v>33</v>
      </c>
      <c r="AC53" s="216"/>
      <c r="AD53" s="184" t="s">
        <v>134</v>
      </c>
      <c r="AE53" s="183" t="s">
        <v>200</v>
      </c>
      <c r="AF53" s="215" t="s">
        <v>33</v>
      </c>
      <c r="AG53" s="216"/>
      <c r="AH53" s="184" t="s">
        <v>134</v>
      </c>
      <c r="AI53" s="183" t="s">
        <v>200</v>
      </c>
      <c r="AJ53" s="215" t="s">
        <v>33</v>
      </c>
      <c r="AK53" s="216"/>
      <c r="AL53" s="184" t="s">
        <v>134</v>
      </c>
      <c r="AM53" s="183" t="s">
        <v>200</v>
      </c>
      <c r="AN53" s="215" t="s">
        <v>33</v>
      </c>
      <c r="AO53" s="216"/>
      <c r="AP53" s="184" t="s">
        <v>134</v>
      </c>
      <c r="AQ53" s="183" t="s">
        <v>200</v>
      </c>
      <c r="AR53" s="215" t="s">
        <v>33</v>
      </c>
      <c r="AS53" s="216"/>
      <c r="AT53" s="184" t="s">
        <v>134</v>
      </c>
      <c r="AU53" s="183" t="s">
        <v>200</v>
      </c>
      <c r="AV53" s="215" t="s">
        <v>33</v>
      </c>
      <c r="AW53" s="216"/>
      <c r="AX53" s="184" t="s">
        <v>134</v>
      </c>
    </row>
    <row r="54" spans="1:51">
      <c r="C54" s="185">
        <v>43112</v>
      </c>
      <c r="D54" s="217" t="s">
        <v>201</v>
      </c>
      <c r="E54" s="218"/>
      <c r="F54" s="188">
        <v>10</v>
      </c>
      <c r="G54" s="185">
        <v>43137</v>
      </c>
      <c r="H54" s="217" t="s">
        <v>222</v>
      </c>
      <c r="I54" s="218"/>
      <c r="J54" s="190">
        <v>10</v>
      </c>
      <c r="K54" s="185">
        <v>43166</v>
      </c>
      <c r="L54" s="233" t="s">
        <v>290</v>
      </c>
      <c r="M54" s="234"/>
      <c r="N54" s="190"/>
      <c r="O54" s="185">
        <v>43195</v>
      </c>
      <c r="P54" s="233" t="s">
        <v>222</v>
      </c>
      <c r="Q54" s="234"/>
      <c r="R54" s="196">
        <v>10</v>
      </c>
      <c r="S54" s="185">
        <v>43224</v>
      </c>
      <c r="T54" s="233" t="s">
        <v>290</v>
      </c>
      <c r="U54" s="234"/>
      <c r="V54" s="197"/>
      <c r="W54" s="186">
        <v>43264</v>
      </c>
      <c r="X54" s="229" t="s">
        <v>201</v>
      </c>
      <c r="Y54" s="230"/>
      <c r="Z54" s="198">
        <v>15</v>
      </c>
      <c r="AA54" s="185"/>
      <c r="AB54" s="225" t="s">
        <v>373</v>
      </c>
      <c r="AC54" s="226"/>
      <c r="AD54" s="190">
        <f>1452-580.8</f>
        <v>871.2</v>
      </c>
      <c r="AE54" s="185"/>
      <c r="AF54" s="223"/>
      <c r="AG54" s="224"/>
      <c r="AH54" s="190"/>
      <c r="AI54" s="185"/>
      <c r="AJ54" s="223"/>
      <c r="AK54" s="224"/>
      <c r="AL54" s="190"/>
      <c r="AM54" s="185"/>
      <c r="AN54" s="223"/>
      <c r="AO54" s="224"/>
      <c r="AP54" s="190"/>
      <c r="AQ54" s="185"/>
      <c r="AR54" s="217"/>
      <c r="AS54" s="218"/>
      <c r="AT54" s="190"/>
      <c r="AU54" s="185"/>
      <c r="AV54" s="217"/>
      <c r="AW54" s="218"/>
      <c r="AX54" s="190"/>
    </row>
    <row r="55" spans="1:51">
      <c r="C55" s="186"/>
      <c r="D55" s="208"/>
      <c r="E55" s="209"/>
      <c r="F55" s="188"/>
      <c r="G55" s="186">
        <v>43146</v>
      </c>
      <c r="H55" s="208" t="s">
        <v>275</v>
      </c>
      <c r="I55" s="209"/>
      <c r="J55" s="190">
        <v>10</v>
      </c>
      <c r="K55" s="186">
        <v>43168</v>
      </c>
      <c r="L55" s="235" t="s">
        <v>275</v>
      </c>
      <c r="M55" s="236"/>
      <c r="N55" s="190">
        <v>15</v>
      </c>
      <c r="O55" s="186">
        <v>43209</v>
      </c>
      <c r="P55" s="229" t="s">
        <v>201</v>
      </c>
      <c r="Q55" s="230"/>
      <c r="R55" s="196">
        <v>15</v>
      </c>
      <c r="S55" s="186">
        <v>43238</v>
      </c>
      <c r="T55" s="229" t="s">
        <v>362</v>
      </c>
      <c r="U55" s="230"/>
      <c r="V55" s="190"/>
      <c r="W55" s="186">
        <v>43253</v>
      </c>
      <c r="X55" s="229" t="s">
        <v>222</v>
      </c>
      <c r="Y55" s="230"/>
      <c r="Z55" s="190">
        <v>10</v>
      </c>
      <c r="AA55" s="186"/>
      <c r="AB55" s="208" t="s">
        <v>374</v>
      </c>
      <c r="AC55" s="209"/>
      <c r="AD55" s="190">
        <f>200-43.62+(76.38*6)</f>
        <v>614.66</v>
      </c>
      <c r="AE55" s="186">
        <v>43318</v>
      </c>
      <c r="AF55" s="208" t="s">
        <v>201</v>
      </c>
      <c r="AG55" s="209"/>
      <c r="AH55" s="190">
        <v>15</v>
      </c>
      <c r="AI55" s="186"/>
      <c r="AJ55" s="219"/>
      <c r="AK55" s="220"/>
      <c r="AL55" s="190"/>
      <c r="AM55" s="186"/>
      <c r="AN55" s="219"/>
      <c r="AO55" s="220"/>
      <c r="AP55" s="190"/>
      <c r="AQ55" s="186"/>
      <c r="AR55" s="208"/>
      <c r="AS55" s="209"/>
      <c r="AT55" s="190"/>
      <c r="AU55" s="186"/>
      <c r="AV55" s="208"/>
      <c r="AW55" s="209"/>
      <c r="AX55" s="190"/>
    </row>
    <row r="56" spans="1:51">
      <c r="C56" s="186">
        <v>43117</v>
      </c>
      <c r="D56" s="208" t="s">
        <v>202</v>
      </c>
      <c r="E56" s="209"/>
      <c r="F56" s="188"/>
      <c r="G56" s="186">
        <v>43147</v>
      </c>
      <c r="H56" s="208" t="s">
        <v>286</v>
      </c>
      <c r="I56" s="209"/>
      <c r="J56" s="190"/>
      <c r="K56" s="186">
        <v>43189</v>
      </c>
      <c r="L56" s="208" t="s">
        <v>295</v>
      </c>
      <c r="M56" s="209"/>
      <c r="N56" s="190"/>
      <c r="O56" s="186">
        <v>43193</v>
      </c>
      <c r="P56" s="229" t="s">
        <v>331</v>
      </c>
      <c r="Q56" s="230"/>
      <c r="R56" s="196">
        <v>258.52</v>
      </c>
      <c r="S56" s="186">
        <v>43249</v>
      </c>
      <c r="T56" s="208" t="s">
        <v>377</v>
      </c>
      <c r="U56" s="209"/>
      <c r="V56" s="190"/>
      <c r="W56" s="186">
        <v>43249</v>
      </c>
      <c r="X56" s="208" t="s">
        <v>382</v>
      </c>
      <c r="Y56" s="209"/>
      <c r="Z56" s="190"/>
      <c r="AA56" s="186"/>
      <c r="AB56" s="208" t="s">
        <v>375</v>
      </c>
      <c r="AC56" s="209"/>
      <c r="AD56" s="190">
        <f>AD54-AD55</f>
        <v>256.54000000000008</v>
      </c>
      <c r="AE56" s="186">
        <v>43341</v>
      </c>
      <c r="AF56" s="225" t="s">
        <v>290</v>
      </c>
      <c r="AG56" s="226"/>
      <c r="AH56" s="190"/>
      <c r="AI56" s="186"/>
      <c r="AJ56" s="219"/>
      <c r="AK56" s="220"/>
      <c r="AL56" s="190"/>
      <c r="AM56" s="186"/>
      <c r="AN56" s="219"/>
      <c r="AO56" s="220"/>
      <c r="AP56" s="190"/>
      <c r="AQ56" s="186"/>
      <c r="AR56" s="208"/>
      <c r="AS56" s="209"/>
      <c r="AT56" s="190"/>
      <c r="AU56" s="186"/>
      <c r="AV56" s="208"/>
      <c r="AW56" s="209"/>
      <c r="AX56" s="190"/>
    </row>
    <row r="57" spans="1:51">
      <c r="C57" s="186"/>
      <c r="D57" s="208" t="s">
        <v>203</v>
      </c>
      <c r="E57" s="209"/>
      <c r="F57" s="188"/>
      <c r="G57" s="186"/>
      <c r="H57" s="208" t="s">
        <v>287</v>
      </c>
      <c r="I57" s="209"/>
      <c r="J57" s="190"/>
      <c r="K57" s="186"/>
      <c r="L57" s="208" t="s">
        <v>296</v>
      </c>
      <c r="M57" s="209"/>
      <c r="N57" s="190"/>
      <c r="O57" s="186"/>
      <c r="P57" s="229" t="s">
        <v>302</v>
      </c>
      <c r="Q57" s="230"/>
      <c r="R57" s="190">
        <v>2290.23</v>
      </c>
      <c r="S57" s="186"/>
      <c r="T57" s="208" t="s">
        <v>378</v>
      </c>
      <c r="U57" s="209"/>
      <c r="V57" s="190"/>
      <c r="W57" s="186"/>
      <c r="X57" s="208" t="s">
        <v>383</v>
      </c>
      <c r="Y57" s="209"/>
      <c r="Z57" s="190"/>
      <c r="AA57" s="186">
        <v>43282</v>
      </c>
      <c r="AB57" s="229" t="s">
        <v>290</v>
      </c>
      <c r="AC57" s="230"/>
      <c r="AD57" s="190"/>
      <c r="AE57" s="186">
        <v>43189</v>
      </c>
      <c r="AF57" s="208" t="s">
        <v>386</v>
      </c>
      <c r="AG57" s="209"/>
      <c r="AH57" s="190"/>
      <c r="AI57" s="186"/>
      <c r="AJ57" s="219"/>
      <c r="AK57" s="220"/>
      <c r="AL57" s="190"/>
      <c r="AM57" s="186"/>
      <c r="AN57" s="219"/>
      <c r="AO57" s="220"/>
      <c r="AP57" s="190"/>
      <c r="AQ57" s="186"/>
      <c r="AR57" s="208"/>
      <c r="AS57" s="209"/>
      <c r="AT57" s="190"/>
      <c r="AU57" s="186"/>
      <c r="AV57" s="208"/>
      <c r="AW57" s="209"/>
      <c r="AX57" s="190"/>
    </row>
    <row r="58" spans="1:51">
      <c r="C58" s="186"/>
      <c r="D58" s="208" t="s">
        <v>204</v>
      </c>
      <c r="E58" s="209"/>
      <c r="F58" s="188"/>
      <c r="G58" s="186"/>
      <c r="H58" s="208" t="s">
        <v>288</v>
      </c>
      <c r="I58" s="209"/>
      <c r="J58" s="190"/>
      <c r="K58" s="186"/>
      <c r="L58" s="208" t="s">
        <v>297</v>
      </c>
      <c r="M58" s="209"/>
      <c r="N58" s="190"/>
      <c r="O58" s="186"/>
      <c r="P58" s="208"/>
      <c r="Q58" s="209"/>
      <c r="R58" s="190"/>
      <c r="S58" s="186"/>
      <c r="T58" s="208" t="s">
        <v>379</v>
      </c>
      <c r="U58" s="209"/>
      <c r="V58" s="190"/>
      <c r="W58" s="186"/>
      <c r="X58" s="208" t="s">
        <v>384</v>
      </c>
      <c r="Y58" s="209"/>
      <c r="Z58" s="190"/>
      <c r="AA58" s="186"/>
      <c r="AB58" s="229" t="s">
        <v>362</v>
      </c>
      <c r="AC58" s="230"/>
      <c r="AD58" s="190"/>
      <c r="AE58" s="186"/>
      <c r="AF58" s="208" t="s">
        <v>387</v>
      </c>
      <c r="AG58" s="209"/>
      <c r="AH58" s="190"/>
      <c r="AI58" s="186"/>
      <c r="AJ58" s="219"/>
      <c r="AK58" s="220"/>
      <c r="AL58" s="190"/>
      <c r="AM58" s="186"/>
      <c r="AN58" s="219"/>
      <c r="AO58" s="220"/>
      <c r="AP58" s="190"/>
      <c r="AQ58" s="186"/>
      <c r="AR58" s="208"/>
      <c r="AS58" s="209"/>
      <c r="AT58" s="190"/>
      <c r="AU58" s="186"/>
      <c r="AV58" s="208"/>
      <c r="AW58" s="209"/>
      <c r="AX58" s="190"/>
    </row>
    <row r="59" spans="1:51">
      <c r="C59" s="186"/>
      <c r="D59" s="208"/>
      <c r="E59" s="209"/>
      <c r="F59" s="188"/>
      <c r="G59" s="186"/>
      <c r="H59" s="208"/>
      <c r="I59" s="209"/>
      <c r="J59" s="190"/>
      <c r="K59" s="186"/>
      <c r="L59" s="208"/>
      <c r="M59" s="209"/>
      <c r="N59" s="190"/>
      <c r="O59" s="186"/>
      <c r="P59" s="208"/>
      <c r="Q59" s="209"/>
      <c r="R59" s="190"/>
      <c r="S59" s="186">
        <v>43236</v>
      </c>
      <c r="T59" s="231" t="s">
        <v>381</v>
      </c>
      <c r="U59" s="232"/>
      <c r="V59" s="190"/>
      <c r="W59" s="186">
        <v>43263</v>
      </c>
      <c r="X59" s="231" t="s">
        <v>381</v>
      </c>
      <c r="Y59" s="232"/>
      <c r="Z59" s="190"/>
      <c r="AA59" s="186"/>
      <c r="AB59" s="231" t="s">
        <v>456</v>
      </c>
      <c r="AC59" s="232"/>
      <c r="AD59" s="190">
        <f>(50*7)-'01'!D13-'03'!E13</f>
        <v>285.02</v>
      </c>
      <c r="AE59" s="186"/>
      <c r="AF59" s="208" t="s">
        <v>388</v>
      </c>
      <c r="AG59" s="209"/>
      <c r="AH59" s="190"/>
      <c r="AI59" s="186"/>
      <c r="AJ59" s="219"/>
      <c r="AK59" s="220"/>
      <c r="AL59" s="190"/>
      <c r="AM59" s="186"/>
      <c r="AN59" s="219"/>
      <c r="AO59" s="220"/>
      <c r="AP59" s="190"/>
      <c r="AQ59" s="186"/>
      <c r="AR59" s="208"/>
      <c r="AS59" s="209"/>
      <c r="AT59" s="190"/>
      <c r="AU59" s="186">
        <v>43189</v>
      </c>
      <c r="AV59" s="208" t="s">
        <v>443</v>
      </c>
      <c r="AW59" s="209"/>
      <c r="AX59" s="190"/>
    </row>
    <row r="60" spans="1:51">
      <c r="C60" s="186"/>
      <c r="D60" s="208"/>
      <c r="E60" s="209"/>
      <c r="F60" s="188"/>
      <c r="G60" s="186"/>
      <c r="H60" s="208"/>
      <c r="I60" s="209"/>
      <c r="J60" s="190"/>
      <c r="K60" s="186"/>
      <c r="L60" s="208"/>
      <c r="M60" s="209"/>
      <c r="N60" s="190"/>
      <c r="O60" s="186"/>
      <c r="P60" s="208"/>
      <c r="Q60" s="209"/>
      <c r="R60" s="190"/>
      <c r="S60" s="186"/>
      <c r="T60" s="231"/>
      <c r="U60" s="232"/>
      <c r="V60" s="190"/>
      <c r="W60" s="186"/>
      <c r="X60" s="219" t="s">
        <v>311</v>
      </c>
      <c r="Y60" s="220"/>
      <c r="Z60" s="190">
        <f>622.46*2</f>
        <v>1244.92</v>
      </c>
      <c r="AA60" s="186"/>
      <c r="AB60" s="219"/>
      <c r="AC60" s="220"/>
      <c r="AD60" s="190"/>
      <c r="AE60" s="186"/>
      <c r="AF60" s="219"/>
      <c r="AG60" s="220"/>
      <c r="AH60" s="190"/>
      <c r="AI60" s="186"/>
      <c r="AJ60" s="219"/>
      <c r="AK60" s="220"/>
      <c r="AL60" s="190"/>
      <c r="AM60" s="186"/>
      <c r="AN60" s="219"/>
      <c r="AO60" s="220"/>
      <c r="AP60" s="190"/>
      <c r="AQ60" s="186"/>
      <c r="AR60" s="208"/>
      <c r="AS60" s="209"/>
      <c r="AT60" s="190"/>
      <c r="AU60" s="186"/>
      <c r="AV60" s="208" t="s">
        <v>296</v>
      </c>
      <c r="AW60" s="209"/>
      <c r="AX60" s="190"/>
    </row>
    <row r="61" spans="1:51">
      <c r="C61" s="186"/>
      <c r="D61" s="208"/>
      <c r="E61" s="209"/>
      <c r="F61" s="188"/>
      <c r="G61" s="186"/>
      <c r="H61" s="208"/>
      <c r="I61" s="209"/>
      <c r="J61" s="190"/>
      <c r="K61" s="186"/>
      <c r="L61" s="208"/>
      <c r="M61" s="209"/>
      <c r="N61" s="190"/>
      <c r="O61" s="186"/>
      <c r="P61" s="208"/>
      <c r="Q61" s="209"/>
      <c r="R61" s="190"/>
      <c r="S61" s="186"/>
      <c r="T61" s="231"/>
      <c r="U61" s="232"/>
      <c r="V61" s="190"/>
      <c r="W61" s="186"/>
      <c r="X61" s="219"/>
      <c r="Y61" s="220"/>
      <c r="Z61" s="190"/>
      <c r="AA61" s="186"/>
      <c r="AB61" s="219"/>
      <c r="AC61" s="220"/>
      <c r="AD61" s="190"/>
      <c r="AE61" s="186"/>
      <c r="AF61" s="219"/>
      <c r="AG61" s="220"/>
      <c r="AH61" s="190"/>
      <c r="AI61" s="186"/>
      <c r="AJ61" s="219"/>
      <c r="AK61" s="220"/>
      <c r="AL61" s="190"/>
      <c r="AM61" s="186"/>
      <c r="AN61" s="219"/>
      <c r="AO61" s="220"/>
      <c r="AP61" s="190"/>
      <c r="AQ61" s="186"/>
      <c r="AR61" s="208"/>
      <c r="AS61" s="209"/>
      <c r="AT61" s="190"/>
      <c r="AU61" s="186"/>
      <c r="AV61" s="208" t="s">
        <v>444</v>
      </c>
      <c r="AW61" s="209"/>
      <c r="AX61" s="190"/>
    </row>
    <row r="62" spans="1:51">
      <c r="C62" s="186"/>
      <c r="D62" s="208"/>
      <c r="E62" s="209"/>
      <c r="F62" s="188"/>
      <c r="G62" s="186"/>
      <c r="H62" s="208"/>
      <c r="I62" s="209"/>
      <c r="J62" s="190"/>
      <c r="K62" s="186"/>
      <c r="L62" s="208"/>
      <c r="M62" s="209"/>
      <c r="N62" s="190"/>
      <c r="O62" s="186"/>
      <c r="P62" s="208"/>
      <c r="Q62" s="209"/>
      <c r="R62" s="190"/>
      <c r="S62" s="186"/>
      <c r="T62" s="231"/>
      <c r="U62" s="232"/>
      <c r="V62" s="190"/>
      <c r="W62" s="186"/>
      <c r="X62" s="219"/>
      <c r="Y62" s="220"/>
      <c r="Z62" s="190"/>
      <c r="AA62" s="186"/>
      <c r="AB62" s="219"/>
      <c r="AC62" s="220"/>
      <c r="AD62" s="190"/>
      <c r="AE62" s="186"/>
      <c r="AF62" s="219"/>
      <c r="AG62" s="220"/>
      <c r="AH62" s="190"/>
      <c r="AI62" s="186"/>
      <c r="AJ62" s="219"/>
      <c r="AK62" s="220"/>
      <c r="AL62" s="190"/>
      <c r="AM62" s="186"/>
      <c r="AN62" s="219"/>
      <c r="AO62" s="220"/>
      <c r="AP62" s="190"/>
      <c r="AQ62" s="186"/>
      <c r="AR62" s="208"/>
      <c r="AS62" s="209"/>
      <c r="AT62" s="190"/>
      <c r="AU62" s="186"/>
      <c r="AV62" s="208"/>
      <c r="AW62" s="209"/>
      <c r="AX62" s="190"/>
    </row>
    <row r="63" spans="1:51">
      <c r="C63" s="186"/>
      <c r="D63" s="208"/>
      <c r="E63" s="209"/>
      <c r="F63" s="188"/>
      <c r="G63" s="186"/>
      <c r="H63" s="208"/>
      <c r="I63" s="209"/>
      <c r="J63" s="190"/>
      <c r="K63" s="186"/>
      <c r="L63" s="208"/>
      <c r="M63" s="209"/>
      <c r="N63" s="190"/>
      <c r="O63" s="186"/>
      <c r="P63" s="208"/>
      <c r="Q63" s="209"/>
      <c r="R63" s="190"/>
      <c r="S63" s="186"/>
      <c r="T63" s="231"/>
      <c r="U63" s="232"/>
      <c r="V63" s="190"/>
      <c r="W63" s="186"/>
      <c r="X63" s="219"/>
      <c r="Y63" s="220"/>
      <c r="Z63" s="190"/>
      <c r="AA63" s="186"/>
      <c r="AB63" s="219"/>
      <c r="AC63" s="220"/>
      <c r="AD63" s="190"/>
      <c r="AE63" s="186"/>
      <c r="AF63" s="219"/>
      <c r="AG63" s="220"/>
      <c r="AH63" s="190"/>
      <c r="AI63" s="186"/>
      <c r="AJ63" s="219"/>
      <c r="AK63" s="220"/>
      <c r="AL63" s="190"/>
      <c r="AM63" s="186"/>
      <c r="AN63" s="219"/>
      <c r="AO63" s="220"/>
      <c r="AP63" s="190"/>
      <c r="AQ63" s="186"/>
      <c r="AR63" s="208"/>
      <c r="AS63" s="209"/>
      <c r="AT63" s="190"/>
      <c r="AU63" s="186"/>
      <c r="AV63" s="208"/>
      <c r="AW63" s="209"/>
      <c r="AX63" s="190"/>
    </row>
    <row r="64" spans="1:51">
      <c r="C64" s="186"/>
      <c r="D64" s="208"/>
      <c r="E64" s="209"/>
      <c r="F64" s="188"/>
      <c r="G64" s="186"/>
      <c r="H64" s="208"/>
      <c r="I64" s="209"/>
      <c r="J64" s="190"/>
      <c r="K64" s="186"/>
      <c r="L64" s="208"/>
      <c r="M64" s="209"/>
      <c r="N64" s="190"/>
      <c r="O64" s="186"/>
      <c r="P64" s="208"/>
      <c r="Q64" s="209"/>
      <c r="R64" s="190"/>
      <c r="S64" s="186"/>
      <c r="T64" s="231"/>
      <c r="U64" s="232"/>
      <c r="V64" s="190"/>
      <c r="W64" s="186"/>
      <c r="X64" s="219"/>
      <c r="Y64" s="220"/>
      <c r="Z64" s="190"/>
      <c r="AA64" s="186"/>
      <c r="AB64" s="219"/>
      <c r="AC64" s="220"/>
      <c r="AD64" s="190"/>
      <c r="AE64" s="186"/>
      <c r="AF64" s="219"/>
      <c r="AG64" s="220"/>
      <c r="AH64" s="190"/>
      <c r="AI64" s="186"/>
      <c r="AJ64" s="219"/>
      <c r="AK64" s="220"/>
      <c r="AL64" s="190"/>
      <c r="AM64" s="186"/>
      <c r="AN64" s="219"/>
      <c r="AO64" s="220"/>
      <c r="AP64" s="190"/>
      <c r="AQ64" s="186"/>
      <c r="AR64" s="208"/>
      <c r="AS64" s="209"/>
      <c r="AT64" s="190"/>
      <c r="AU64" s="186"/>
      <c r="AV64" s="208"/>
      <c r="AW64" s="209"/>
      <c r="AX64" s="190"/>
    </row>
    <row r="65" spans="3:50">
      <c r="C65" s="186"/>
      <c r="D65" s="208"/>
      <c r="E65" s="209"/>
      <c r="F65" s="188"/>
      <c r="G65" s="186"/>
      <c r="H65" s="208"/>
      <c r="I65" s="209"/>
      <c r="J65" s="190"/>
      <c r="K65" s="186"/>
      <c r="L65" s="208"/>
      <c r="M65" s="209"/>
      <c r="N65" s="190"/>
      <c r="O65" s="186"/>
      <c r="P65" s="208"/>
      <c r="Q65" s="209"/>
      <c r="R65" s="190"/>
      <c r="S65" s="186"/>
      <c r="T65" s="231"/>
      <c r="U65" s="232"/>
      <c r="V65" s="190"/>
      <c r="W65" s="186"/>
      <c r="X65" s="219"/>
      <c r="Y65" s="220"/>
      <c r="Z65" s="190"/>
      <c r="AA65" s="186"/>
      <c r="AB65" s="219"/>
      <c r="AC65" s="220"/>
      <c r="AD65" s="190"/>
      <c r="AE65" s="186"/>
      <c r="AF65" s="219"/>
      <c r="AG65" s="220"/>
      <c r="AH65" s="190"/>
      <c r="AI65" s="186"/>
      <c r="AJ65" s="219"/>
      <c r="AK65" s="220"/>
      <c r="AL65" s="190"/>
      <c r="AM65" s="186"/>
      <c r="AN65" s="219"/>
      <c r="AO65" s="220"/>
      <c r="AP65" s="190"/>
      <c r="AQ65" s="186"/>
      <c r="AR65" s="208"/>
      <c r="AS65" s="209"/>
      <c r="AT65" s="190"/>
      <c r="AU65" s="186"/>
      <c r="AV65" s="208"/>
      <c r="AW65" s="209"/>
      <c r="AX65" s="190"/>
    </row>
    <row r="66" spans="3:50">
      <c r="C66" s="186"/>
      <c r="D66" s="208"/>
      <c r="E66" s="209"/>
      <c r="F66" s="188"/>
      <c r="G66" s="186"/>
      <c r="H66" s="208"/>
      <c r="I66" s="209"/>
      <c r="J66" s="190"/>
      <c r="K66" s="186"/>
      <c r="L66" s="208"/>
      <c r="M66" s="209"/>
      <c r="N66" s="190"/>
      <c r="O66" s="186"/>
      <c r="P66" s="208"/>
      <c r="Q66" s="209"/>
      <c r="R66" s="190"/>
      <c r="S66" s="186"/>
      <c r="T66" s="219"/>
      <c r="U66" s="220"/>
      <c r="V66" s="190"/>
      <c r="W66" s="186"/>
      <c r="X66" s="219"/>
      <c r="Y66" s="220"/>
      <c r="Z66" s="190"/>
      <c r="AA66" s="186"/>
      <c r="AB66" s="219"/>
      <c r="AC66" s="220"/>
      <c r="AD66" s="190"/>
      <c r="AE66" s="186"/>
      <c r="AF66" s="219"/>
      <c r="AG66" s="220"/>
      <c r="AH66" s="190"/>
      <c r="AI66" s="186"/>
      <c r="AJ66" s="219"/>
      <c r="AK66" s="220"/>
      <c r="AL66" s="190"/>
      <c r="AM66" s="186"/>
      <c r="AN66" s="219"/>
      <c r="AO66" s="220"/>
      <c r="AP66" s="190"/>
      <c r="AQ66" s="186"/>
      <c r="AR66" s="208"/>
      <c r="AS66" s="209"/>
      <c r="AT66" s="190"/>
      <c r="AU66" s="186"/>
      <c r="AV66" s="208"/>
      <c r="AW66" s="209"/>
      <c r="AX66" s="190"/>
    </row>
    <row r="67" spans="3:50">
      <c r="C67" s="186"/>
      <c r="D67" s="208"/>
      <c r="E67" s="209"/>
      <c r="F67" s="188"/>
      <c r="G67" s="186"/>
      <c r="H67" s="208"/>
      <c r="I67" s="209"/>
      <c r="J67" s="190"/>
      <c r="K67" s="186"/>
      <c r="L67" s="208"/>
      <c r="M67" s="209"/>
      <c r="N67" s="190"/>
      <c r="O67" s="186"/>
      <c r="P67" s="208"/>
      <c r="Q67" s="209"/>
      <c r="R67" s="190"/>
      <c r="S67" s="186"/>
      <c r="T67" s="219"/>
      <c r="U67" s="220"/>
      <c r="V67" s="190"/>
      <c r="W67" s="186"/>
      <c r="X67" s="219"/>
      <c r="Y67" s="220"/>
      <c r="Z67" s="190"/>
      <c r="AA67" s="186"/>
      <c r="AB67" s="219"/>
      <c r="AC67" s="220"/>
      <c r="AD67" s="190"/>
      <c r="AE67" s="186"/>
      <c r="AF67" s="219"/>
      <c r="AG67" s="220"/>
      <c r="AH67" s="190"/>
      <c r="AI67" s="186"/>
      <c r="AJ67" s="219"/>
      <c r="AK67" s="220"/>
      <c r="AL67" s="190"/>
      <c r="AM67" s="186"/>
      <c r="AN67" s="219"/>
      <c r="AO67" s="220"/>
      <c r="AP67" s="190"/>
      <c r="AQ67" s="186"/>
      <c r="AR67" s="208"/>
      <c r="AS67" s="209"/>
      <c r="AT67" s="190"/>
      <c r="AU67" s="186"/>
      <c r="AV67" s="208"/>
      <c r="AW67" s="209"/>
      <c r="AX67" s="190"/>
    </row>
    <row r="68" spans="3:50">
      <c r="C68" s="186"/>
      <c r="D68" s="208"/>
      <c r="E68" s="209"/>
      <c r="F68" s="188"/>
      <c r="G68" s="186"/>
      <c r="H68" s="208"/>
      <c r="I68" s="209"/>
      <c r="J68" s="190"/>
      <c r="K68" s="186"/>
      <c r="L68" s="208"/>
      <c r="M68" s="209"/>
      <c r="N68" s="190"/>
      <c r="O68" s="186"/>
      <c r="P68" s="208"/>
      <c r="Q68" s="209"/>
      <c r="R68" s="190"/>
      <c r="S68" s="186"/>
      <c r="T68" s="219"/>
      <c r="U68" s="220"/>
      <c r="V68" s="190"/>
      <c r="W68" s="186"/>
      <c r="X68" s="219"/>
      <c r="Y68" s="220"/>
      <c r="Z68" s="190"/>
      <c r="AA68" s="186"/>
      <c r="AB68" s="219"/>
      <c r="AC68" s="220"/>
      <c r="AD68" s="190"/>
      <c r="AE68" s="186"/>
      <c r="AF68" s="219"/>
      <c r="AG68" s="220"/>
      <c r="AH68" s="190"/>
      <c r="AI68" s="186"/>
      <c r="AJ68" s="219"/>
      <c r="AK68" s="220"/>
      <c r="AL68" s="190"/>
      <c r="AM68" s="186"/>
      <c r="AN68" s="219"/>
      <c r="AO68" s="220"/>
      <c r="AP68" s="190"/>
      <c r="AQ68" s="186"/>
      <c r="AR68" s="208"/>
      <c r="AS68" s="209"/>
      <c r="AT68" s="190"/>
      <c r="AU68" s="186"/>
      <c r="AV68" s="208"/>
      <c r="AW68" s="209"/>
      <c r="AX68" s="190"/>
    </row>
    <row r="69" spans="3:50">
      <c r="C69" s="186"/>
      <c r="D69" s="208"/>
      <c r="E69" s="209"/>
      <c r="F69" s="188"/>
      <c r="G69" s="186"/>
      <c r="H69" s="208"/>
      <c r="I69" s="209"/>
      <c r="J69" s="190"/>
      <c r="K69" s="186"/>
      <c r="L69" s="208"/>
      <c r="M69" s="209"/>
      <c r="N69" s="190"/>
      <c r="O69" s="186"/>
      <c r="P69" s="208"/>
      <c r="Q69" s="209"/>
      <c r="R69" s="190"/>
      <c r="S69" s="186"/>
      <c r="T69" s="219"/>
      <c r="U69" s="220"/>
      <c r="V69" s="190"/>
      <c r="W69" s="186"/>
      <c r="X69" s="219"/>
      <c r="Y69" s="220"/>
      <c r="Z69" s="190"/>
      <c r="AA69" s="186"/>
      <c r="AB69" s="219"/>
      <c r="AC69" s="220"/>
      <c r="AD69" s="190"/>
      <c r="AE69" s="186"/>
      <c r="AF69" s="219"/>
      <c r="AG69" s="220"/>
      <c r="AH69" s="190"/>
      <c r="AI69" s="186"/>
      <c r="AJ69" s="219"/>
      <c r="AK69" s="220"/>
      <c r="AL69" s="190"/>
      <c r="AM69" s="186"/>
      <c r="AN69" s="219"/>
      <c r="AO69" s="220"/>
      <c r="AP69" s="190"/>
      <c r="AQ69" s="186"/>
      <c r="AR69" s="208"/>
      <c r="AS69" s="209"/>
      <c r="AT69" s="190"/>
      <c r="AU69" s="186"/>
      <c r="AV69" s="208"/>
      <c r="AW69" s="209"/>
      <c r="AX69" s="190"/>
    </row>
    <row r="70" spans="3:50">
      <c r="C70" s="186"/>
      <c r="D70" s="208"/>
      <c r="E70" s="209"/>
      <c r="F70" s="188"/>
      <c r="G70" s="186"/>
      <c r="H70" s="208"/>
      <c r="I70" s="209"/>
      <c r="J70" s="190"/>
      <c r="K70" s="186"/>
      <c r="L70" s="208"/>
      <c r="M70" s="209"/>
      <c r="N70" s="190"/>
      <c r="O70" s="186"/>
      <c r="P70" s="208"/>
      <c r="Q70" s="209"/>
      <c r="R70" s="190"/>
      <c r="S70" s="186"/>
      <c r="T70" s="219"/>
      <c r="U70" s="220"/>
      <c r="V70" s="190"/>
      <c r="W70" s="186"/>
      <c r="X70" s="208" t="s">
        <v>434</v>
      </c>
      <c r="Y70" s="209"/>
      <c r="Z70" s="190">
        <f>3289.11+270.87</f>
        <v>3559.98</v>
      </c>
      <c r="AA70" s="186"/>
      <c r="AB70" s="219"/>
      <c r="AC70" s="220"/>
      <c r="AD70" s="190"/>
      <c r="AE70" s="186"/>
      <c r="AF70" s="219"/>
      <c r="AG70" s="220"/>
      <c r="AH70" s="190"/>
      <c r="AI70" s="186"/>
      <c r="AJ70" s="219"/>
      <c r="AK70" s="220"/>
      <c r="AL70" s="190"/>
      <c r="AM70" s="186"/>
      <c r="AN70" s="219"/>
      <c r="AO70" s="220"/>
      <c r="AP70" s="190"/>
      <c r="AQ70" s="186"/>
      <c r="AR70" s="208"/>
      <c r="AS70" s="209"/>
      <c r="AT70" s="190"/>
      <c r="AU70" s="186"/>
      <c r="AV70" s="208"/>
      <c r="AW70" s="209"/>
      <c r="AX70" s="190"/>
    </row>
    <row r="71" spans="3:50" ht="15.75" thickBot="1">
      <c r="C71" s="187"/>
      <c r="D71" s="210"/>
      <c r="E71" s="211"/>
      <c r="F71" s="189"/>
      <c r="G71" s="187"/>
      <c r="H71" s="210"/>
      <c r="I71" s="211"/>
      <c r="J71" s="191"/>
      <c r="K71" s="187"/>
      <c r="L71" s="210"/>
      <c r="M71" s="211"/>
      <c r="N71" s="191"/>
      <c r="O71" s="187"/>
      <c r="P71" s="210"/>
      <c r="Q71" s="211"/>
      <c r="R71" s="191"/>
      <c r="S71" s="187"/>
      <c r="T71" s="221"/>
      <c r="U71" s="222"/>
      <c r="V71" s="191"/>
      <c r="W71" s="187"/>
      <c r="X71" s="227" t="s">
        <v>435</v>
      </c>
      <c r="Y71" s="228"/>
      <c r="Z71" s="191">
        <f>Z70-1484.91-429.89</f>
        <v>1645.1799999999998</v>
      </c>
      <c r="AA71" s="187"/>
      <c r="AB71" s="221"/>
      <c r="AC71" s="222"/>
      <c r="AD71" s="191">
        <f>550-161.56</f>
        <v>388.44</v>
      </c>
      <c r="AE71" s="187"/>
      <c r="AF71" s="221"/>
      <c r="AG71" s="222"/>
      <c r="AH71" s="191"/>
      <c r="AI71" s="187"/>
      <c r="AJ71" s="221"/>
      <c r="AK71" s="222"/>
      <c r="AL71" s="191"/>
      <c r="AM71" s="187"/>
      <c r="AN71" s="221"/>
      <c r="AO71" s="222"/>
      <c r="AP71" s="191"/>
      <c r="AQ71" s="187"/>
      <c r="AR71" s="210"/>
      <c r="AS71" s="211"/>
      <c r="AT71" s="191"/>
      <c r="AU71" s="187"/>
      <c r="AV71" s="210"/>
      <c r="AW71" s="211"/>
      <c r="AX71" s="191"/>
    </row>
    <row r="72" spans="3:50">
      <c r="Z72">
        <f>Z71/Z70</f>
        <v>0.46213180972926809</v>
      </c>
    </row>
    <row r="75" spans="3:50">
      <c r="Z75" s="205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259" workbookViewId="0">
      <selection activeCell="B262" sqref="B262:G26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124" t="s">
        <v>70</v>
      </c>
      <c r="J4" s="199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3"/>
      <c r="L5" s="274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3"/>
      <c r="L6" s="264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3"/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3">
        <v>7000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3">
        <v>659.77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3"/>
      <c r="L11" s="264"/>
      <c r="M11" s="1"/>
      <c r="N11" s="1"/>
      <c r="R11" s="3"/>
    </row>
    <row r="12" spans="1:22" ht="15.75">
      <c r="A12" s="1"/>
      <c r="B12" s="68">
        <v>25</v>
      </c>
      <c r="C12" s="34" t="s">
        <v>209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63">
        <v>5092.08</v>
      </c>
      <c r="L12" s="264"/>
      <c r="M12" s="182"/>
      <c r="N12" s="1"/>
      <c r="R12" s="3"/>
    </row>
    <row r="13" spans="1:22" ht="15.75">
      <c r="A13" s="1"/>
      <c r="B13" s="68">
        <v>7</v>
      </c>
      <c r="C13" s="34" t="s">
        <v>355</v>
      </c>
      <c r="D13" s="70"/>
      <c r="E13" s="71"/>
      <c r="F13" s="71"/>
      <c r="G13" s="34"/>
      <c r="H13" s="1"/>
      <c r="I13" s="202"/>
      <c r="J13" s="201"/>
      <c r="K13" s="263"/>
      <c r="L13" s="264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63"/>
      <c r="L14" s="26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14551.890000000001</v>
      </c>
      <c r="L19" s="280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3"/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3"/>
      <c r="L26" s="26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432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460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493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492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494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819.88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819.88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50</v>
      </c>
      <c r="C466" s="34" t="s">
        <v>489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FC5B0964-7FEA-458E-9AFB-5D5A3C10E6B7}"/>
    <hyperlink ref="I22" location="Trimestre!C39:F40" display="TELÉFONO" xr:uid="{656BD463-C1E8-482D-963B-CFB7CFE33044}"/>
    <hyperlink ref="I22:L23" location="'2018'!AE7:AH7" display="INGRESOS" xr:uid="{35EFA685-F56D-464A-B972-46E765AF25C7}"/>
    <hyperlink ref="B2" location="Trimestre!C25:F26" display="HIPOTECA" xr:uid="{7E4A9351-3E8F-4B87-9FD7-62DDDF327FC9}"/>
    <hyperlink ref="B2:G3" location="'2018'!AE20:AH20" display="'2018'!AE20:AH20" xr:uid="{2FA89386-CAB9-4E9F-BFD9-47E065E279CF}"/>
    <hyperlink ref="B22" location="Trimestre!C25:F26" display="HIPOTECA" xr:uid="{BE8A9024-5167-4B97-B41A-18750D465879}"/>
    <hyperlink ref="B22:G23" location="'2018'!AE21:AH21" display="'2018'!AE21:AH21" xr:uid="{9E6BD56A-FF5E-4E27-B4C9-EBF0817F3B4A}"/>
    <hyperlink ref="B42" location="Trimestre!C25:F26" display="HIPOTECA" xr:uid="{40AD8207-6D0D-44C4-8005-8264733E7C75}"/>
    <hyperlink ref="B42:G43" location="'2018'!AE22:AH22" display="'2018'!AE22:AH22" xr:uid="{F17E3926-4BB5-4845-8FC1-AC9D1DAD784F}"/>
    <hyperlink ref="B62" location="Trimestre!C25:F26" display="HIPOTECA" xr:uid="{BEE754E8-A307-4E76-A6DB-C2CF217BA308}"/>
    <hyperlink ref="B62:G63" location="'2018'!AE23:AH23" display="'2018'!AE23:AH23" xr:uid="{CE31C316-9AF2-41CE-AC57-A6FDC69792CC}"/>
    <hyperlink ref="B82" location="Trimestre!C25:F26" display="HIPOTECA" xr:uid="{B3D93AAB-D958-4488-A932-13A6D942D49A}"/>
    <hyperlink ref="B82:G83" location="'2018'!AE24:AH24" display="'2018'!AE24:AH24" xr:uid="{79B660C6-3269-42E6-8B70-0717734D4CBB}"/>
    <hyperlink ref="B102" location="Trimestre!C25:F26" display="HIPOTECA" xr:uid="{78D792EB-5B06-438F-935C-66FC45325549}"/>
    <hyperlink ref="B102:G103" location="'2018'!AE25:AH25" display="'2018'!AE25:AH25" xr:uid="{827DD2CE-5777-45E9-822A-059BB90816ED}"/>
    <hyperlink ref="B122" location="Trimestre!C25:F26" display="HIPOTECA" xr:uid="{649D795C-F48A-4D05-A947-B49C7300FEB5}"/>
    <hyperlink ref="B122:G123" location="'2018'!AE26:AH26" display="'2018'!AE26:AH26" xr:uid="{C5551F14-9847-48FD-A31A-14423483D014}"/>
    <hyperlink ref="B142" location="Trimestre!C25:F26" display="HIPOTECA" xr:uid="{0D37F5B9-4F12-4EA9-96FD-9D1386173057}"/>
    <hyperlink ref="B142:G143" location="'2018'!AE27:AH27" display="'2018'!AE27:AH27" xr:uid="{B085334B-8266-442F-BBDC-50B1527D1007}"/>
    <hyperlink ref="B162" location="Trimestre!C25:F26" display="HIPOTECA" xr:uid="{3590F8E0-8AD0-4195-9160-008FEEAD4DD1}"/>
    <hyperlink ref="B162:G163" location="'2018'!AE28:AH28" display="'2018'!AE28:AH28" xr:uid="{606CAAAE-61A3-4278-AA41-3DE28B5F6431}"/>
    <hyperlink ref="B182" location="Trimestre!C25:F26" display="HIPOTECA" xr:uid="{3553106B-2024-4E1E-AEAB-825B16610CD0}"/>
    <hyperlink ref="B182:G183" location="'2018'!AE29:AH29" display="'2018'!AE29:AH29" xr:uid="{AADC4BA1-59DD-452C-B19B-BD7774409033}"/>
    <hyperlink ref="B202" location="Trimestre!C25:F26" display="HIPOTECA" xr:uid="{2D360639-9D8D-4AD5-9B12-00194BDA18A6}"/>
    <hyperlink ref="B202:G203" location="'2018'!AE30:AH30" display="'2018'!AE30:AH30" xr:uid="{1A4656E3-8FD6-4798-B7A0-01B66B41E5D6}"/>
    <hyperlink ref="B222" location="Trimestre!C25:F26" display="HIPOTECA" xr:uid="{AD1F2D25-2867-407C-9E17-4ED9519A9E72}"/>
    <hyperlink ref="B222:G223" location="'2018'!AE31:AH31" display="'2018'!AE31:AH31" xr:uid="{030C96EF-01DE-4F39-A5D0-79D851FD4DE8}"/>
    <hyperlink ref="B242" location="Trimestre!C25:F26" display="HIPOTECA" xr:uid="{39829DB2-8079-48A4-9F61-D60AAA266EB2}"/>
    <hyperlink ref="B242:G243" location="'2018'!AE32:AH32" display="'2018'!AE32:AH32" xr:uid="{AA8BFB88-AD4E-4906-B595-A42061C27650}"/>
    <hyperlink ref="B262" location="Trimestre!C25:F26" display="HIPOTECA" xr:uid="{DD913804-8E87-490A-AAAE-66A982B5EA18}"/>
    <hyperlink ref="B262:G263" location="'2018'!AE33:AH33" display="'2018'!AE33:AH33" xr:uid="{C7D0A884-4964-4575-BF65-2691A8B04521}"/>
    <hyperlink ref="B282" location="Trimestre!C25:F26" display="HIPOTECA" xr:uid="{6C61BC3A-DA3D-44AD-B390-DFAD7FCEEE24}"/>
    <hyperlink ref="B282:G283" location="'2018'!AE34:AH34" display="'2018'!AE34:AH34" xr:uid="{62CAC46F-4070-4F11-A9BD-CB6AC3CD9AE5}"/>
    <hyperlink ref="B302" location="Trimestre!C25:F26" display="HIPOTECA" xr:uid="{301E2D0C-E5E8-47A6-A412-3F56F5E05C33}"/>
    <hyperlink ref="B302:G303" location="'2018'!AE35:AH35" display="'2018'!AE35:AH35" xr:uid="{CFFA7A41-2E61-4E24-8148-D97BE599C742}"/>
    <hyperlink ref="B322" location="Trimestre!C25:F26" display="HIPOTECA" xr:uid="{71FF7315-ABD5-425F-A725-9743C5E09EDD}"/>
    <hyperlink ref="B322:G323" location="'2018'!AE36:AH36" display="'2018'!AE36:AH36" xr:uid="{3B7670DE-5263-4919-84A7-84328EE67D9C}"/>
    <hyperlink ref="B342" location="Trimestre!C25:F26" display="HIPOTECA" xr:uid="{F1EC3D59-D230-45C9-A495-8ACB527957A3}"/>
    <hyperlink ref="B342:G343" location="'2018'!AE37:AH37" display="'2018'!AE37:AH37" xr:uid="{8CAFBEE2-C14A-4DE4-9F87-BF6EE4A2B237}"/>
    <hyperlink ref="B362" location="Trimestre!C25:F26" display="HIPOTECA" xr:uid="{12DAE94E-4A01-4634-A1B6-31E07BA620A5}"/>
    <hyperlink ref="B362:G363" location="'2018'!AE38:AH38" display="'2018'!AE38:AH38" xr:uid="{A6473A3E-0BA7-48A6-8EEF-B2A9F68753A1}"/>
    <hyperlink ref="B382" location="Trimestre!C25:F26" display="HIPOTECA" xr:uid="{1AF42AAD-6DB5-44E8-BA04-2E64EFFBB487}"/>
    <hyperlink ref="B382:G383" location="'2018'!AE39:AH39" display="'2018'!AE39:AH39" xr:uid="{B881ECF9-3499-4FF1-BEEA-C7FFBD000FCE}"/>
    <hyperlink ref="B402" location="Trimestre!C25:F26" display="HIPOTECA" xr:uid="{E32719FB-B749-450C-8E03-4FB620C6286D}"/>
    <hyperlink ref="B402:G403" location="'2018'!AE40:AH40" display="'2018'!AE40:AH40" xr:uid="{A94C8C8A-7D6D-4CF3-90E4-411CC60E6DAF}"/>
    <hyperlink ref="B422" location="Trimestre!C25:F26" display="HIPOTECA" xr:uid="{F7DDEFE5-ECB1-4E2B-97B2-C1AB3E2C6D15}"/>
    <hyperlink ref="B422:G423" location="'2018'!AE41:AH41" display="'2018'!AE41:AH41" xr:uid="{F2A86542-E088-4873-A303-60FD4B3E3455}"/>
    <hyperlink ref="B442" location="Trimestre!C25:F26" display="HIPOTECA" xr:uid="{F6707AAD-87BA-4E1B-A606-2A276F54615E}"/>
    <hyperlink ref="B442:G443" location="'2018'!AE42:AH42" display="'2018'!AE42:AH42" xr:uid="{4EBB9924-0F2D-4473-BCD7-7647BA070A29}"/>
    <hyperlink ref="B462" location="Trimestre!C25:F26" display="HIPOTECA" xr:uid="{4F319BFA-6C41-4591-A246-C83273F45AEF}"/>
    <hyperlink ref="B462:G463" location="'2018'!AE43:AH43" display="'2018'!AE43:AH43" xr:uid="{0A0463BF-480B-47BF-929B-703AD9530BC0}"/>
    <hyperlink ref="B482" location="Trimestre!C25:F26" display="HIPOTECA" xr:uid="{D250B971-2570-4E7B-AA59-792573EBFD28}"/>
    <hyperlink ref="B482:G483" location="'2018'!AE44:AH44" display="'2018'!AE44:AH44" xr:uid="{CA8DC5D6-B925-4D53-A435-0134811BA033}"/>
    <hyperlink ref="B502" location="Trimestre!C25:F26" display="HIPOTECA" xr:uid="{44E6DDB3-4099-47FC-A848-578D95965A57}"/>
    <hyperlink ref="B502:G503" location="'2018'!AE45:AH45" display="'2018'!AE45:AH45" xr:uid="{FF134BFB-74C5-40FB-A02C-5D1EBFD44CB6}"/>
    <hyperlink ref="I2:L3" location="'2018'!AE4:AH4" display="SALDO REAL" xr:uid="{314AC498-9671-4C65-A98A-C604224E57B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6" workbookViewId="0">
      <selection activeCell="G32" sqref="G31:G32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124" t="s">
        <v>70</v>
      </c>
      <c r="J4" s="199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3"/>
      <c r="L5" s="274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3"/>
      <c r="L6" s="264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3"/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3">
        <v>6000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3">
        <v>659.77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3"/>
      <c r="L11" s="264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63">
        <v>5092.08</v>
      </c>
      <c r="L12" s="264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3"/>
      <c r="L14" s="264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13551.890000000001</v>
      </c>
      <c r="L19" s="280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3"/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3"/>
      <c r="L26" s="26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479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819.88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819.88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198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E7:AH7" display="INGRESOS" xr:uid="{00000000-0004-0000-0A00-000002000000}"/>
    <hyperlink ref="B2" location="Trimestre!C25:F26" display="HIPOTECA" xr:uid="{00000000-0004-0000-0A00-000003000000}"/>
    <hyperlink ref="B2:G3" location="'2018'!AE20:AH20" display="'2018'!AE20:AH20" xr:uid="{00000000-0004-0000-0A00-000004000000}"/>
    <hyperlink ref="B22" location="Trimestre!C25:F26" display="HIPOTECA" xr:uid="{00000000-0004-0000-0A00-000005000000}"/>
    <hyperlink ref="B22:G23" location="'2018'!AE21:AH21" display="'2018'!AE21:AH21" xr:uid="{00000000-0004-0000-0A00-000006000000}"/>
    <hyperlink ref="B42" location="Trimestre!C25:F26" display="HIPOTECA" xr:uid="{00000000-0004-0000-0A00-000007000000}"/>
    <hyperlink ref="B42:G43" location="'2018'!AE22:AH22" display="'2018'!AE22:AH22" xr:uid="{00000000-0004-0000-0A00-000008000000}"/>
    <hyperlink ref="B62" location="Trimestre!C25:F26" display="HIPOTECA" xr:uid="{00000000-0004-0000-0A00-000009000000}"/>
    <hyperlink ref="B62:G63" location="'2018'!AE23:AH23" display="'2018'!AE23:AH23" xr:uid="{00000000-0004-0000-0A00-00000A000000}"/>
    <hyperlink ref="B82" location="Trimestre!C25:F26" display="HIPOTECA" xr:uid="{00000000-0004-0000-0A00-00000B000000}"/>
    <hyperlink ref="B82:G83" location="'2018'!AE24:AH24" display="'2018'!AE24:AH24" xr:uid="{00000000-0004-0000-0A00-00000C000000}"/>
    <hyperlink ref="B102" location="Trimestre!C25:F26" display="HIPOTECA" xr:uid="{00000000-0004-0000-0A00-00000D000000}"/>
    <hyperlink ref="B102:G103" location="'2018'!AE25:AH25" display="'2018'!AE25:AH25" xr:uid="{00000000-0004-0000-0A00-00000E000000}"/>
    <hyperlink ref="B122" location="Trimestre!C25:F26" display="HIPOTECA" xr:uid="{00000000-0004-0000-0A00-00000F000000}"/>
    <hyperlink ref="B122:G123" location="'2018'!AE26:AH26" display="'2018'!AE26:AH26" xr:uid="{00000000-0004-0000-0A00-000010000000}"/>
    <hyperlink ref="B142" location="Trimestre!C25:F26" display="HIPOTECA" xr:uid="{00000000-0004-0000-0A00-000011000000}"/>
    <hyperlink ref="B142:G143" location="'2018'!AE27:AH27" display="'2018'!AE27:AH27" xr:uid="{00000000-0004-0000-0A00-000012000000}"/>
    <hyperlink ref="B162" location="Trimestre!C25:F26" display="HIPOTECA" xr:uid="{00000000-0004-0000-0A00-000013000000}"/>
    <hyperlink ref="B162:G163" location="'2018'!AE28:AH28" display="'2018'!AE28:AH28" xr:uid="{00000000-0004-0000-0A00-000014000000}"/>
    <hyperlink ref="B182" location="Trimestre!C25:F26" display="HIPOTECA" xr:uid="{00000000-0004-0000-0A00-000015000000}"/>
    <hyperlink ref="B182:G183" location="'2018'!AE29:AH29" display="'2018'!AE29:AH29" xr:uid="{00000000-0004-0000-0A00-000016000000}"/>
    <hyperlink ref="B202" location="Trimestre!C25:F26" display="HIPOTECA" xr:uid="{00000000-0004-0000-0A00-000017000000}"/>
    <hyperlink ref="B202:G203" location="'2018'!AE30:AH30" display="'2018'!AE30:AH30" xr:uid="{00000000-0004-0000-0A00-000018000000}"/>
    <hyperlink ref="B222" location="Trimestre!C25:F26" display="HIPOTECA" xr:uid="{00000000-0004-0000-0A00-000019000000}"/>
    <hyperlink ref="B222:G223" location="'2018'!AE31:AH31" display="'2018'!AE31:AH31" xr:uid="{00000000-0004-0000-0A00-00001A000000}"/>
    <hyperlink ref="B242" location="Trimestre!C25:F26" display="HIPOTECA" xr:uid="{00000000-0004-0000-0A00-00001B000000}"/>
    <hyperlink ref="B242:G243" location="'2018'!AE32:AH32" display="'2018'!AE32:AH32" xr:uid="{00000000-0004-0000-0A00-00001C000000}"/>
    <hyperlink ref="B262" location="Trimestre!C25:F26" display="HIPOTECA" xr:uid="{00000000-0004-0000-0A00-00001D000000}"/>
    <hyperlink ref="B262:G263" location="'2018'!AE33:AH33" display="'2018'!AE33:AH33" xr:uid="{00000000-0004-0000-0A00-00001E000000}"/>
    <hyperlink ref="B282" location="Trimestre!C25:F26" display="HIPOTECA" xr:uid="{00000000-0004-0000-0A00-00001F000000}"/>
    <hyperlink ref="B282:G283" location="'2018'!AE34:AH34" display="'2018'!AE34:AH34" xr:uid="{00000000-0004-0000-0A00-000020000000}"/>
    <hyperlink ref="B302" location="Trimestre!C25:F26" display="HIPOTECA" xr:uid="{00000000-0004-0000-0A00-000021000000}"/>
    <hyperlink ref="B302:G303" location="'2018'!AE35:AH35" display="'2018'!AE35:AH35" xr:uid="{00000000-0004-0000-0A00-000022000000}"/>
    <hyperlink ref="B322" location="Trimestre!C25:F26" display="HIPOTECA" xr:uid="{00000000-0004-0000-0A00-000023000000}"/>
    <hyperlink ref="B322:G323" location="'2018'!AE36:AH36" display="'2018'!AE36:AH36" xr:uid="{00000000-0004-0000-0A00-000024000000}"/>
    <hyperlink ref="B342" location="Trimestre!C25:F26" display="HIPOTECA" xr:uid="{00000000-0004-0000-0A00-000025000000}"/>
    <hyperlink ref="B342:G343" location="'2018'!AE37:AH37" display="'2018'!AE37:AH37" xr:uid="{00000000-0004-0000-0A00-000026000000}"/>
    <hyperlink ref="B362" location="Trimestre!C25:F26" display="HIPOTECA" xr:uid="{00000000-0004-0000-0A00-000027000000}"/>
    <hyperlink ref="B362:G363" location="'2018'!AE38:AH38" display="'2018'!AE38:AH38" xr:uid="{00000000-0004-0000-0A00-000028000000}"/>
    <hyperlink ref="B382" location="Trimestre!C25:F26" display="HIPOTECA" xr:uid="{00000000-0004-0000-0A00-000029000000}"/>
    <hyperlink ref="B382:G383" location="'2018'!AE39:AH39" display="'2018'!AE39:AH39" xr:uid="{00000000-0004-0000-0A00-00002A000000}"/>
    <hyperlink ref="B402" location="Trimestre!C25:F26" display="HIPOTECA" xr:uid="{00000000-0004-0000-0A00-00002B000000}"/>
    <hyperlink ref="B402:G403" location="'2018'!AE40:AH40" display="'2018'!AE40:AH40" xr:uid="{00000000-0004-0000-0A00-00002C000000}"/>
    <hyperlink ref="B422" location="Trimestre!C25:F26" display="HIPOTECA" xr:uid="{00000000-0004-0000-0A00-00002D000000}"/>
    <hyperlink ref="B422:G423" location="'2018'!AE41:AH41" display="'2018'!AE41:AH41" xr:uid="{00000000-0004-0000-0A00-00002E000000}"/>
    <hyperlink ref="B442" location="Trimestre!C25:F26" display="HIPOTECA" xr:uid="{00000000-0004-0000-0A00-00002F000000}"/>
    <hyperlink ref="B442:G443" location="'2018'!AE42:AH42" display="'2018'!AE42:AH42" xr:uid="{00000000-0004-0000-0A00-000030000000}"/>
    <hyperlink ref="B462" location="Trimestre!C25:F26" display="HIPOTECA" xr:uid="{00000000-0004-0000-0A00-000031000000}"/>
    <hyperlink ref="B462:G463" location="'2018'!AE43:AH43" display="'2018'!AE43:AH43" xr:uid="{00000000-0004-0000-0A00-000032000000}"/>
    <hyperlink ref="B482" location="Trimestre!C25:F26" display="HIPOTECA" xr:uid="{00000000-0004-0000-0A00-000033000000}"/>
    <hyperlink ref="B482:G483" location="'2018'!AE44:AH44" display="'2018'!AE44:AH44" xr:uid="{00000000-0004-0000-0A00-000034000000}"/>
    <hyperlink ref="B502" location="Trimestre!C25:F26" display="HIPOTECA" xr:uid="{00000000-0004-0000-0A00-000035000000}"/>
    <hyperlink ref="B502:G503" location="'2018'!AE45:AH45" display="'2018'!AE45:AH45" xr:uid="{00000000-0004-0000-0A00-000036000000}"/>
    <hyperlink ref="I2:L3" location="'2018'!AE4:AH4" display="SALDO REAL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124" t="s">
        <v>70</v>
      </c>
      <c r="J4" s="199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3"/>
      <c r="L5" s="274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3"/>
      <c r="L6" s="264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3"/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3">
        <v>6000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3">
        <v>659.77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3"/>
      <c r="L11" s="264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63">
        <v>5092.08</v>
      </c>
      <c r="L12" s="264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3"/>
      <c r="L14" s="264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13551.890000000001</v>
      </c>
      <c r="L19" s="280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3"/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3"/>
      <c r="L26" s="26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479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819.88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819.88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198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E7:AH7" display="INGRESOS" xr:uid="{00000000-0004-0000-0B00-000002000000}"/>
    <hyperlink ref="B2" location="Trimestre!C25:F26" display="HIPOTECA" xr:uid="{00000000-0004-0000-0B00-000003000000}"/>
    <hyperlink ref="B2:G3" location="'2018'!AE20:AH20" display="'2018'!AE20:AH20" xr:uid="{00000000-0004-0000-0B00-000004000000}"/>
    <hyperlink ref="B22" location="Trimestre!C25:F26" display="HIPOTECA" xr:uid="{00000000-0004-0000-0B00-000005000000}"/>
    <hyperlink ref="B22:G23" location="'2018'!AE21:AH21" display="'2018'!AE21:AH21" xr:uid="{00000000-0004-0000-0B00-000006000000}"/>
    <hyperlink ref="B42" location="Trimestre!C25:F26" display="HIPOTECA" xr:uid="{00000000-0004-0000-0B00-000007000000}"/>
    <hyperlink ref="B42:G43" location="'2018'!AE22:AH22" display="'2018'!AE22:AH22" xr:uid="{00000000-0004-0000-0B00-000008000000}"/>
    <hyperlink ref="B62" location="Trimestre!C25:F26" display="HIPOTECA" xr:uid="{00000000-0004-0000-0B00-000009000000}"/>
    <hyperlink ref="B62:G63" location="'2018'!AE23:AH23" display="'2018'!AE23:AH23" xr:uid="{00000000-0004-0000-0B00-00000A000000}"/>
    <hyperlink ref="B82" location="Trimestre!C25:F26" display="HIPOTECA" xr:uid="{00000000-0004-0000-0B00-00000B000000}"/>
    <hyperlink ref="B82:G83" location="'2018'!AE24:AH24" display="'2018'!AE24:AH24" xr:uid="{00000000-0004-0000-0B00-00000C000000}"/>
    <hyperlink ref="B102" location="Trimestre!C25:F26" display="HIPOTECA" xr:uid="{00000000-0004-0000-0B00-00000D000000}"/>
    <hyperlink ref="B102:G103" location="'2018'!AE25:AH25" display="'2018'!AE25:AH25" xr:uid="{00000000-0004-0000-0B00-00000E000000}"/>
    <hyperlink ref="B122" location="Trimestre!C25:F26" display="HIPOTECA" xr:uid="{00000000-0004-0000-0B00-00000F000000}"/>
    <hyperlink ref="B122:G123" location="'2018'!AE26:AH26" display="'2018'!AE26:AH26" xr:uid="{00000000-0004-0000-0B00-000010000000}"/>
    <hyperlink ref="B142" location="Trimestre!C25:F26" display="HIPOTECA" xr:uid="{00000000-0004-0000-0B00-000011000000}"/>
    <hyperlink ref="B142:G143" location="'2018'!AE27:AH27" display="'2018'!AE27:AH27" xr:uid="{00000000-0004-0000-0B00-000012000000}"/>
    <hyperlink ref="B162" location="Trimestre!C25:F26" display="HIPOTECA" xr:uid="{00000000-0004-0000-0B00-000013000000}"/>
    <hyperlink ref="B162:G163" location="'2018'!AE28:AH28" display="'2018'!AE28:AH28" xr:uid="{00000000-0004-0000-0B00-000014000000}"/>
    <hyperlink ref="B182" location="Trimestre!C25:F26" display="HIPOTECA" xr:uid="{00000000-0004-0000-0B00-000015000000}"/>
    <hyperlink ref="B182:G183" location="'2018'!AE29:AH29" display="'2018'!AE29:AH29" xr:uid="{00000000-0004-0000-0B00-000016000000}"/>
    <hyperlink ref="B202" location="Trimestre!C25:F26" display="HIPOTECA" xr:uid="{00000000-0004-0000-0B00-000017000000}"/>
    <hyperlink ref="B202:G203" location="'2018'!AE30:AH30" display="'2018'!AE30:AH30" xr:uid="{00000000-0004-0000-0B00-000018000000}"/>
    <hyperlink ref="B222" location="Trimestre!C25:F26" display="HIPOTECA" xr:uid="{00000000-0004-0000-0B00-000019000000}"/>
    <hyperlink ref="B222:G223" location="'2018'!AE31:AH31" display="'2018'!AE31:AH31" xr:uid="{00000000-0004-0000-0B00-00001A000000}"/>
    <hyperlink ref="B242" location="Trimestre!C25:F26" display="HIPOTECA" xr:uid="{00000000-0004-0000-0B00-00001B000000}"/>
    <hyperlink ref="B242:G243" location="'2018'!AE32:AH32" display="'2018'!AE32:AH32" xr:uid="{00000000-0004-0000-0B00-00001C000000}"/>
    <hyperlink ref="B262" location="Trimestre!C25:F26" display="HIPOTECA" xr:uid="{00000000-0004-0000-0B00-00001D000000}"/>
    <hyperlink ref="B262:G263" location="'2018'!AE33:AH33" display="'2018'!AE33:AH33" xr:uid="{00000000-0004-0000-0B00-00001E000000}"/>
    <hyperlink ref="B282" location="Trimestre!C25:F26" display="HIPOTECA" xr:uid="{00000000-0004-0000-0B00-00001F000000}"/>
    <hyperlink ref="B282:G283" location="'2018'!AE34:AH34" display="'2018'!AE34:AH34" xr:uid="{00000000-0004-0000-0B00-000020000000}"/>
    <hyperlink ref="B302" location="Trimestre!C25:F26" display="HIPOTECA" xr:uid="{00000000-0004-0000-0B00-000021000000}"/>
    <hyperlink ref="B302:G303" location="'2018'!AE35:AH35" display="'2018'!AE35:AH35" xr:uid="{00000000-0004-0000-0B00-000022000000}"/>
    <hyperlink ref="B322" location="Trimestre!C25:F26" display="HIPOTECA" xr:uid="{00000000-0004-0000-0B00-000023000000}"/>
    <hyperlink ref="B322:G323" location="'2018'!AE36:AH36" display="'2018'!AE36:AH36" xr:uid="{00000000-0004-0000-0B00-000024000000}"/>
    <hyperlink ref="B342" location="Trimestre!C25:F26" display="HIPOTECA" xr:uid="{00000000-0004-0000-0B00-000025000000}"/>
    <hyperlink ref="B342:G343" location="'2018'!AE37:AH37" display="'2018'!AE37:AH37" xr:uid="{00000000-0004-0000-0B00-000026000000}"/>
    <hyperlink ref="B362" location="Trimestre!C25:F26" display="HIPOTECA" xr:uid="{00000000-0004-0000-0B00-000027000000}"/>
    <hyperlink ref="B362:G363" location="'2018'!AE38:AH38" display="'2018'!AE38:AH38" xr:uid="{00000000-0004-0000-0B00-000028000000}"/>
    <hyperlink ref="B382" location="Trimestre!C25:F26" display="HIPOTECA" xr:uid="{00000000-0004-0000-0B00-000029000000}"/>
    <hyperlink ref="B382:G383" location="'2018'!AE39:AH39" display="'2018'!AE39:AH39" xr:uid="{00000000-0004-0000-0B00-00002A000000}"/>
    <hyperlink ref="B402" location="Trimestre!C25:F26" display="HIPOTECA" xr:uid="{00000000-0004-0000-0B00-00002B000000}"/>
    <hyperlink ref="B402:G403" location="'2018'!AE40:AH40" display="'2018'!AE40:AH40" xr:uid="{00000000-0004-0000-0B00-00002C000000}"/>
    <hyperlink ref="B422" location="Trimestre!C25:F26" display="HIPOTECA" xr:uid="{00000000-0004-0000-0B00-00002D000000}"/>
    <hyperlink ref="B422:G423" location="'2018'!AE41:AH41" display="'2018'!AE41:AH41" xr:uid="{00000000-0004-0000-0B00-00002E000000}"/>
    <hyperlink ref="B442" location="Trimestre!C25:F26" display="HIPOTECA" xr:uid="{00000000-0004-0000-0B00-00002F000000}"/>
    <hyperlink ref="B442:G443" location="'2018'!AE42:AH42" display="'2018'!AE42:AH42" xr:uid="{00000000-0004-0000-0B00-000030000000}"/>
    <hyperlink ref="B462" location="Trimestre!C25:F26" display="HIPOTECA" xr:uid="{00000000-0004-0000-0B00-000031000000}"/>
    <hyperlink ref="B462:G463" location="'2018'!AE43:AH43" display="'2018'!AE43:AH43" xr:uid="{00000000-0004-0000-0B00-000032000000}"/>
    <hyperlink ref="B482" location="Trimestre!C25:F26" display="HIPOTECA" xr:uid="{00000000-0004-0000-0B00-000033000000}"/>
    <hyperlink ref="B482:G483" location="'2018'!AE44:AH44" display="'2018'!AE44:AH44" xr:uid="{00000000-0004-0000-0B00-000034000000}"/>
    <hyperlink ref="B502" location="Trimestre!C25:F26" display="HIPOTECA" xr:uid="{00000000-0004-0000-0B00-000035000000}"/>
    <hyperlink ref="B502:G503" location="'2018'!AE45:AH45" display="'2018'!AE45:AH45" xr:uid="{00000000-0004-0000-0B00-000036000000}"/>
    <hyperlink ref="I2:L3" location="'2018'!AE4:AH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124" t="s">
        <v>70</v>
      </c>
      <c r="J4" s="199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3"/>
      <c r="L5" s="274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3"/>
      <c r="L6" s="264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3"/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3">
        <v>6000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3">
        <v>659.77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3"/>
      <c r="L11" s="264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63">
        <v>5092.08</v>
      </c>
      <c r="L12" s="264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3"/>
      <c r="L14" s="264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13551.890000000001</v>
      </c>
      <c r="L19" s="280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3"/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3"/>
      <c r="L26" s="26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479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819.88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819.88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198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10" workbookViewId="0">
      <selection activeCell="G16" sqref="G1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E2" s="126"/>
    </row>
    <row r="3" spans="1:13" ht="12.75" customHeight="1">
      <c r="D3" s="128"/>
      <c r="E3" s="129"/>
    </row>
    <row r="4" spans="1:13" ht="12.75" customHeight="1">
      <c r="A4" t="s">
        <v>136</v>
      </c>
      <c r="B4">
        <v>134748.99</v>
      </c>
      <c r="E4" s="125"/>
    </row>
    <row r="5" spans="1:13" ht="12.75" customHeight="1">
      <c r="A5" t="s">
        <v>137</v>
      </c>
      <c r="B5" s="130">
        <f ca="1">(12*(2048 - YEAR(TODAY())))+4-MONTH("1/10/2018")</f>
        <v>354</v>
      </c>
      <c r="C5">
        <f>MONTH(SUM(Historico!H22:'Historico'!H62))</f>
        <v>5</v>
      </c>
      <c r="E5" s="126"/>
      <c r="J5" s="131" t="s">
        <v>138</v>
      </c>
      <c r="L5" s="128" t="s">
        <v>139</v>
      </c>
      <c r="M5" t="s">
        <v>140</v>
      </c>
    </row>
    <row r="6" spans="1:13" ht="12.75" customHeight="1">
      <c r="A6" t="s">
        <v>141</v>
      </c>
      <c r="B6" s="132">
        <f>E19</f>
        <v>-0.17899999999999999</v>
      </c>
      <c r="C6" s="128" t="s">
        <v>142</v>
      </c>
      <c r="D6" s="127" t="s">
        <v>143</v>
      </c>
      <c r="E6" s="126"/>
      <c r="J6" t="s">
        <v>144</v>
      </c>
      <c r="K6" s="133">
        <f ca="1">B4-B15</f>
        <v>134386.03054137295</v>
      </c>
      <c r="L6" s="123">
        <f>B4*(E8/100)</f>
        <v>36.045354824999997</v>
      </c>
      <c r="M6" s="133">
        <f ca="1">B13-L6</f>
        <v>362.95945862703212</v>
      </c>
    </row>
    <row r="7" spans="1:13" ht="12.75" customHeight="1">
      <c r="E7" s="126"/>
      <c r="J7" t="s">
        <v>145</v>
      </c>
      <c r="K7" s="133">
        <f ca="1">K6-(B13-L7)</f>
        <v>134022.97399109072</v>
      </c>
      <c r="L7" s="123">
        <f ca="1">(K6*(E8/100))</f>
        <v>35.948263169817267</v>
      </c>
      <c r="M7" s="133">
        <f ca="1">B13-L7</f>
        <v>363.05655028221486</v>
      </c>
    </row>
    <row r="8" spans="1:13" ht="12.75" customHeight="1">
      <c r="B8" s="126"/>
      <c r="D8" t="s">
        <v>146</v>
      </c>
      <c r="E8" s="134">
        <f>(B6+0.5)/12</f>
        <v>2.6749999999999999E-2</v>
      </c>
      <c r="J8" t="s">
        <v>147</v>
      </c>
      <c r="K8" s="133">
        <f ca="1">K7-(B13-L8)</f>
        <v>133659.82032318131</v>
      </c>
      <c r="L8" s="123">
        <f ca="1">(K7*(E8/100))</f>
        <v>35.85114554261677</v>
      </c>
      <c r="M8" s="133">
        <f ca="1">B13-L8</f>
        <v>363.15366790941533</v>
      </c>
    </row>
    <row r="9" spans="1:13" ht="12.75" customHeight="1">
      <c r="B9" s="126"/>
      <c r="D9" t="s">
        <v>148</v>
      </c>
      <c r="E9" s="134">
        <f>1+(E8/100)</f>
        <v>1.0002675000000001</v>
      </c>
      <c r="J9" t="s">
        <v>149</v>
      </c>
      <c r="K9" s="133">
        <f ca="1">K8-(B13-L9)</f>
        <v>133296.56951166573</v>
      </c>
      <c r="L9" s="123">
        <f ca="1">(K8*(E8/100))</f>
        <v>35.754001936450997</v>
      </c>
      <c r="M9" s="133">
        <f ca="1">B13-L9</f>
        <v>363.25081151558112</v>
      </c>
    </row>
    <row r="10" spans="1:13" ht="12.75" customHeight="1">
      <c r="B10" s="126"/>
      <c r="D10" t="s">
        <v>150</v>
      </c>
      <c r="E10" s="134">
        <f ca="1">E9^-B5</f>
        <v>0.90966185466999805</v>
      </c>
      <c r="J10" t="s">
        <v>151</v>
      </c>
      <c r="K10" s="133">
        <f ca="1">K9-(B13-L10)</f>
        <v>132933.22153055808</v>
      </c>
      <c r="L10" s="123">
        <f ca="1">(K9*(E8/100))</f>
        <v>35.656832344370585</v>
      </c>
      <c r="M10" s="133">
        <f ca="1">B13-L10</f>
        <v>363.34798110766155</v>
      </c>
    </row>
    <row r="11" spans="1:13" ht="12.75" customHeight="1">
      <c r="A11" s="127" t="s">
        <v>152</v>
      </c>
      <c r="B11" s="126"/>
      <c r="D11" t="s">
        <v>153</v>
      </c>
      <c r="E11" s="134">
        <f ca="1">100*(1-E10)</f>
        <v>9.0338145330001947</v>
      </c>
      <c r="J11" t="s">
        <v>154</v>
      </c>
      <c r="K11" s="135">
        <f ca="1">K10-(B13-L11)</f>
        <v>132569.77635386545</v>
      </c>
      <c r="L11" s="123">
        <f ca="1">(K10*(E8/100))</f>
        <v>35.559636759424286</v>
      </c>
      <c r="M11" s="133">
        <f ca="1">B13-L11</f>
        <v>363.44517669260784</v>
      </c>
    </row>
    <row r="12" spans="1:13" ht="12.75" customHeight="1">
      <c r="B12" s="126"/>
      <c r="E12" s="126"/>
    </row>
    <row r="13" spans="1:13" ht="12.75" customHeight="1">
      <c r="A13" t="s">
        <v>155</v>
      </c>
      <c r="B13" s="136">
        <f ca="1">(B4*E8)/E11</f>
        <v>399.00481345203212</v>
      </c>
      <c r="E13" s="126"/>
      <c r="F13" s="128"/>
      <c r="G13" s="137"/>
      <c r="L13" s="138">
        <f ca="1">SUM(L6:L11)</f>
        <v>214.81523457767992</v>
      </c>
      <c r="M13" s="138">
        <f ca="1">SUM(M6:M11)</f>
        <v>2179.2136461345126</v>
      </c>
    </row>
    <row r="14" spans="1:13" ht="12.75" customHeight="1">
      <c r="A14" t="s">
        <v>156</v>
      </c>
      <c r="B14" s="139">
        <f>B4*(E8/100)</f>
        <v>36.045354824999997</v>
      </c>
      <c r="E14" s="126"/>
    </row>
    <row r="15" spans="1:13" ht="12.75" customHeight="1">
      <c r="A15" t="s">
        <v>157</v>
      </c>
      <c r="B15" s="139">
        <f ca="1">B13-B14</f>
        <v>362.95945862703212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158</v>
      </c>
      <c r="E17" s="137">
        <f ca="1">B13-Historico!B21</f>
        <v>399.00637345203211</v>
      </c>
    </row>
    <row r="18" spans="1:9" ht="12.75" customHeight="1">
      <c r="B18" s="126"/>
      <c r="E18" s="126"/>
    </row>
    <row r="19" spans="1:9" ht="12.75" customHeight="1">
      <c r="B19" s="134"/>
      <c r="D19" t="s">
        <v>159</v>
      </c>
      <c r="E19" s="140">
        <f>E20/G45</f>
        <v>-0.17899999999999999</v>
      </c>
      <c r="F19" t="s">
        <v>160</v>
      </c>
    </row>
    <row r="20" spans="1:9" ht="12.75" customHeight="1">
      <c r="B20" s="126"/>
      <c r="D20" t="s">
        <v>161</v>
      </c>
      <c r="E20" s="141">
        <f>SUM(E21:E54)</f>
        <v>-0.17899999999999999</v>
      </c>
    </row>
    <row r="21" spans="1:9" ht="12.75" customHeight="1">
      <c r="E21" s="126">
        <v>-0.17899999999999999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162</v>
      </c>
      <c r="B22" s="137">
        <f ca="1">(B13-L6)+(B13-L7)+(B13-L8)+(B13-L9)+(B13-L10)+(B13-L11)</f>
        <v>2179.2136461345126</v>
      </c>
      <c r="C22" s="142">
        <f ca="1">B22/170000</f>
        <v>1.2818903800791251E-2</v>
      </c>
      <c r="E22" s="126"/>
      <c r="F22">
        <v>2</v>
      </c>
      <c r="G22" s="141">
        <f t="shared" ref="G22:G40" si="0">IF(E22="",0,1)</f>
        <v>0</v>
      </c>
    </row>
    <row r="23" spans="1:9" ht="12.75" customHeight="1">
      <c r="A23" t="s">
        <v>163</v>
      </c>
      <c r="B23" s="137">
        <f ca="1">K11</f>
        <v>132569.77635386545</v>
      </c>
      <c r="C23" s="143">
        <f>6/(40*6)</f>
        <v>2.5000000000000001E-2</v>
      </c>
      <c r="E23" s="126"/>
      <c r="F23">
        <v>3</v>
      </c>
      <c r="G23" s="141">
        <f t="shared" si="0"/>
        <v>0</v>
      </c>
    </row>
    <row r="24" spans="1:9" ht="12.75" customHeight="1">
      <c r="E24" s="126"/>
      <c r="F24">
        <v>6</v>
      </c>
      <c r="G24" s="141">
        <f t="shared" si="0"/>
        <v>0</v>
      </c>
    </row>
    <row r="25" spans="1:9" ht="12.75" customHeight="1">
      <c r="E25" s="126"/>
      <c r="F25">
        <v>7</v>
      </c>
      <c r="G25" s="141">
        <f t="shared" si="0"/>
        <v>0</v>
      </c>
    </row>
    <row r="26" spans="1:9" ht="12.75" customHeight="1">
      <c r="E26" s="126"/>
      <c r="F26">
        <v>8</v>
      </c>
      <c r="G26" s="141">
        <f t="shared" si="0"/>
        <v>0</v>
      </c>
    </row>
    <row r="27" spans="1:9" ht="12.75" customHeight="1">
      <c r="E27" s="126"/>
      <c r="F27">
        <v>9</v>
      </c>
      <c r="G27" s="141">
        <f t="shared" si="0"/>
        <v>0</v>
      </c>
    </row>
    <row r="28" spans="1:9" ht="12.75" customHeight="1">
      <c r="C28" s="143">
        <f>1-(35/40)</f>
        <v>0.125</v>
      </c>
      <c r="E28" s="126"/>
      <c r="F28">
        <v>10</v>
      </c>
      <c r="G28" s="141">
        <f t="shared" si="0"/>
        <v>0</v>
      </c>
    </row>
    <row r="29" spans="1:9" ht="12.75" customHeight="1">
      <c r="C29" s="143">
        <f>1-(B4/170000)</f>
        <v>0.2073588823529412</v>
      </c>
      <c r="E29" s="126"/>
      <c r="F29">
        <v>13</v>
      </c>
      <c r="G29" s="141">
        <f t="shared" si="0"/>
        <v>0</v>
      </c>
    </row>
    <row r="30" spans="1:9" ht="12.75" customHeight="1">
      <c r="C30" s="143">
        <f>C28-C29</f>
        <v>-8.2358882352941198E-2</v>
      </c>
      <c r="E30" s="126"/>
      <c r="F30">
        <v>14</v>
      </c>
      <c r="G30" s="141">
        <f t="shared" si="0"/>
        <v>0</v>
      </c>
    </row>
    <row r="31" spans="1:9" ht="12.75" customHeight="1">
      <c r="E31" s="126"/>
      <c r="F31">
        <v>15</v>
      </c>
      <c r="G31" s="141">
        <f t="shared" si="0"/>
        <v>0</v>
      </c>
    </row>
    <row r="32" spans="1:9" ht="12.75" customHeight="1">
      <c r="E32" s="126"/>
      <c r="F32">
        <v>16</v>
      </c>
      <c r="G32" s="141">
        <f t="shared" si="0"/>
        <v>0</v>
      </c>
    </row>
    <row r="33" spans="2:7" ht="12.75" customHeight="1">
      <c r="C33" s="143">
        <f>1-(((12*35)-6)/(40*12))</f>
        <v>0.13749999999999996</v>
      </c>
      <c r="E33" s="126"/>
      <c r="F33">
        <v>17</v>
      </c>
      <c r="G33" s="141">
        <f t="shared" si="0"/>
        <v>0</v>
      </c>
    </row>
    <row r="34" spans="2:7" ht="12.75" customHeight="1">
      <c r="C34" s="142">
        <f ca="1">1-(K11/170000)</f>
        <v>0.22017778615373262</v>
      </c>
      <c r="E34" s="126"/>
      <c r="F34">
        <v>20</v>
      </c>
      <c r="G34" s="141">
        <f t="shared" si="0"/>
        <v>0</v>
      </c>
    </row>
    <row r="35" spans="2:7" ht="12.75" customHeight="1">
      <c r="C35" s="142">
        <f ca="1">C33-C34</f>
        <v>-8.2677786153732669E-2</v>
      </c>
      <c r="E35" s="126"/>
      <c r="F35">
        <v>21</v>
      </c>
      <c r="G35" s="141">
        <f t="shared" si="0"/>
        <v>0</v>
      </c>
    </row>
    <row r="36" spans="2:7" ht="12.75" customHeight="1">
      <c r="E36" s="126"/>
      <c r="F36">
        <v>22</v>
      </c>
      <c r="G36" s="141">
        <f t="shared" si="0"/>
        <v>0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24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F41">
        <v>29</v>
      </c>
      <c r="G41" s="141">
        <f t="shared" ref="G41:G43" si="1">IF(E41="",0,1)</f>
        <v>0</v>
      </c>
    </row>
    <row r="42" spans="2:7" ht="12.75" customHeight="1">
      <c r="E42" s="126"/>
      <c r="F42">
        <v>30</v>
      </c>
      <c r="G42" s="141">
        <f t="shared" si="1"/>
        <v>0</v>
      </c>
    </row>
    <row r="43" spans="2:7" ht="12.75" customHeight="1">
      <c r="B43" s="123"/>
      <c r="E43" s="126"/>
      <c r="F43">
        <v>31</v>
      </c>
      <c r="G43" s="141">
        <f t="shared" si="1"/>
        <v>0</v>
      </c>
    </row>
    <row r="45" spans="2:7" ht="12.75" customHeight="1">
      <c r="G45" s="141">
        <f>SUM(G21:G43)</f>
        <v>1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G8" sqref="G8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0">
        <v>258.47000000000003</v>
      </c>
    </row>
    <row r="2" spans="1:5" ht="15.75" thickBot="1">
      <c r="A2" s="180">
        <v>9486.92</v>
      </c>
      <c r="B2" s="148" t="s">
        <v>193</v>
      </c>
      <c r="C2" s="145" t="s">
        <v>194</v>
      </c>
      <c r="D2" s="147" t="s">
        <v>195</v>
      </c>
    </row>
    <row r="3" spans="1:5">
      <c r="B3" s="165">
        <v>43074</v>
      </c>
      <c r="C3" s="155">
        <v>0</v>
      </c>
      <c r="D3" s="151">
        <v>24736.65</v>
      </c>
      <c r="E3" t="s">
        <v>196</v>
      </c>
    </row>
    <row r="4" spans="1:5">
      <c r="B4" s="165">
        <f>EDATE(B3,1)</f>
        <v>43105</v>
      </c>
      <c r="C4" s="155">
        <f>C3+A$1</f>
        <v>258.47000000000003</v>
      </c>
      <c r="D4" s="151">
        <f>D3-A$1</f>
        <v>24478.18</v>
      </c>
      <c r="E4" t="s">
        <v>196</v>
      </c>
    </row>
    <row r="5" spans="1:5">
      <c r="B5" s="165">
        <f>EDATE(B4,1)</f>
        <v>43136</v>
      </c>
      <c r="C5" s="155">
        <f>C4+A$1</f>
        <v>516.94000000000005</v>
      </c>
      <c r="D5" s="151">
        <f t="shared" ref="D5:D61" si="0">D4-A$1</f>
        <v>24219.71</v>
      </c>
      <c r="E5" t="s">
        <v>196</v>
      </c>
    </row>
    <row r="6" spans="1:5">
      <c r="B6" s="165">
        <f t="shared" ref="B6:B63" si="1">EDATE(B5,1)</f>
        <v>43164</v>
      </c>
      <c r="C6" s="155">
        <f t="shared" ref="C6:C62" si="2">C5+A$1</f>
        <v>775.41000000000008</v>
      </c>
      <c r="D6" s="151">
        <f t="shared" si="0"/>
        <v>23961.239999999998</v>
      </c>
      <c r="E6" t="s">
        <v>196</v>
      </c>
    </row>
    <row r="7" spans="1:5">
      <c r="B7" s="165">
        <f t="shared" si="1"/>
        <v>43195</v>
      </c>
      <c r="C7" s="155">
        <f t="shared" si="2"/>
        <v>1033.8800000000001</v>
      </c>
      <c r="D7" s="151">
        <f t="shared" si="0"/>
        <v>23702.769999999997</v>
      </c>
      <c r="E7" t="s">
        <v>196</v>
      </c>
    </row>
    <row r="8" spans="1:5">
      <c r="B8" s="165">
        <f t="shared" si="1"/>
        <v>43225</v>
      </c>
      <c r="C8" s="155">
        <f t="shared" si="2"/>
        <v>1292.3500000000001</v>
      </c>
      <c r="D8" s="151">
        <f t="shared" si="0"/>
        <v>23444.299999999996</v>
      </c>
      <c r="E8" t="s">
        <v>196</v>
      </c>
    </row>
    <row r="9" spans="1:5">
      <c r="B9" s="165">
        <f t="shared" si="1"/>
        <v>43256</v>
      </c>
      <c r="C9" s="155">
        <f t="shared" si="2"/>
        <v>1550.8200000000002</v>
      </c>
      <c r="D9" s="151">
        <f t="shared" si="0"/>
        <v>23185.829999999994</v>
      </c>
      <c r="E9" t="s">
        <v>196</v>
      </c>
    </row>
    <row r="10" spans="1:5">
      <c r="B10" s="165">
        <f t="shared" si="1"/>
        <v>43286</v>
      </c>
      <c r="C10" s="155">
        <f t="shared" si="2"/>
        <v>1809.2900000000002</v>
      </c>
      <c r="D10" s="151">
        <f t="shared" si="0"/>
        <v>22927.359999999993</v>
      </c>
      <c r="E10" t="s">
        <v>196</v>
      </c>
    </row>
    <row r="11" spans="1:5">
      <c r="B11" s="165">
        <f t="shared" si="1"/>
        <v>43317</v>
      </c>
      <c r="C11" s="155">
        <f t="shared" si="2"/>
        <v>2067.7600000000002</v>
      </c>
      <c r="D11" s="151">
        <f t="shared" si="0"/>
        <v>22668.889999999992</v>
      </c>
      <c r="E11" t="s">
        <v>196</v>
      </c>
    </row>
    <row r="12" spans="1:5">
      <c r="B12" s="165">
        <f t="shared" si="1"/>
        <v>43348</v>
      </c>
      <c r="C12" s="155">
        <f t="shared" si="2"/>
        <v>2326.2300000000005</v>
      </c>
      <c r="D12" s="151">
        <f t="shared" si="0"/>
        <v>22410.419999999991</v>
      </c>
    </row>
    <row r="13" spans="1:5">
      <c r="B13" s="165">
        <f t="shared" si="1"/>
        <v>43378</v>
      </c>
      <c r="C13" s="155">
        <f t="shared" si="2"/>
        <v>2584.7000000000007</v>
      </c>
      <c r="D13" s="151">
        <f t="shared" si="0"/>
        <v>22151.94999999999</v>
      </c>
    </row>
    <row r="14" spans="1:5">
      <c r="B14" s="165">
        <f t="shared" si="1"/>
        <v>43409</v>
      </c>
      <c r="C14" s="155">
        <f t="shared" si="2"/>
        <v>2843.170000000001</v>
      </c>
      <c r="D14" s="151">
        <f t="shared" si="0"/>
        <v>21893.479999999989</v>
      </c>
    </row>
    <row r="15" spans="1:5">
      <c r="B15" s="165">
        <f t="shared" si="1"/>
        <v>43439</v>
      </c>
      <c r="C15" s="155">
        <f t="shared" si="2"/>
        <v>3101.6400000000012</v>
      </c>
      <c r="D15" s="151">
        <f t="shared" si="0"/>
        <v>21635.009999999987</v>
      </c>
    </row>
    <row r="16" spans="1:5">
      <c r="B16" s="165">
        <f t="shared" si="1"/>
        <v>43470</v>
      </c>
      <c r="C16" s="155">
        <f t="shared" si="2"/>
        <v>3360.1100000000015</v>
      </c>
      <c r="D16" s="151">
        <f t="shared" si="0"/>
        <v>21376.539999999986</v>
      </c>
    </row>
    <row r="17" spans="2:4">
      <c r="B17" s="165">
        <f t="shared" si="1"/>
        <v>43501</v>
      </c>
      <c r="C17" s="155">
        <f t="shared" si="2"/>
        <v>3618.5800000000017</v>
      </c>
      <c r="D17" s="151">
        <f t="shared" si="0"/>
        <v>21118.069999999985</v>
      </c>
    </row>
    <row r="18" spans="2:4">
      <c r="B18" s="165">
        <f t="shared" si="1"/>
        <v>43529</v>
      </c>
      <c r="C18" s="155">
        <f t="shared" si="2"/>
        <v>3877.050000000002</v>
      </c>
      <c r="D18" s="151">
        <f t="shared" si="0"/>
        <v>20859.599999999984</v>
      </c>
    </row>
    <row r="19" spans="2:4">
      <c r="B19" s="165">
        <f t="shared" si="1"/>
        <v>43560</v>
      </c>
      <c r="C19" s="155">
        <f t="shared" si="2"/>
        <v>4135.5200000000023</v>
      </c>
      <c r="D19" s="151">
        <f t="shared" si="0"/>
        <v>20601.129999999983</v>
      </c>
    </row>
    <row r="20" spans="2:4">
      <c r="B20" s="165">
        <f t="shared" si="1"/>
        <v>43590</v>
      </c>
      <c r="C20" s="155">
        <f t="shared" si="2"/>
        <v>4393.9900000000025</v>
      </c>
      <c r="D20" s="151">
        <f t="shared" si="0"/>
        <v>20342.659999999982</v>
      </c>
    </row>
    <row r="21" spans="2:4">
      <c r="B21" s="165">
        <f t="shared" si="1"/>
        <v>43621</v>
      </c>
      <c r="C21" s="155">
        <f t="shared" si="2"/>
        <v>4652.4600000000028</v>
      </c>
      <c r="D21" s="151">
        <f t="shared" si="0"/>
        <v>20084.189999999981</v>
      </c>
    </row>
    <row r="22" spans="2:4">
      <c r="B22" s="165">
        <f t="shared" si="1"/>
        <v>43651</v>
      </c>
      <c r="C22" s="155">
        <f t="shared" si="2"/>
        <v>4910.930000000003</v>
      </c>
      <c r="D22" s="151">
        <f t="shared" si="0"/>
        <v>19825.719999999979</v>
      </c>
    </row>
    <row r="23" spans="2:4">
      <c r="B23" s="165">
        <f t="shared" si="1"/>
        <v>43682</v>
      </c>
      <c r="C23" s="155">
        <f t="shared" si="2"/>
        <v>5169.4000000000033</v>
      </c>
      <c r="D23" s="151">
        <f t="shared" si="0"/>
        <v>19567.249999999978</v>
      </c>
    </row>
    <row r="24" spans="2:4">
      <c r="B24" s="165">
        <f t="shared" si="1"/>
        <v>43713</v>
      </c>
      <c r="C24" s="155">
        <f t="shared" si="2"/>
        <v>5427.8700000000035</v>
      </c>
      <c r="D24" s="151">
        <f t="shared" si="0"/>
        <v>19308.779999999977</v>
      </c>
    </row>
    <row r="25" spans="2:4">
      <c r="B25" s="165">
        <f t="shared" si="1"/>
        <v>43743</v>
      </c>
      <c r="C25" s="155">
        <f t="shared" si="2"/>
        <v>5686.3400000000038</v>
      </c>
      <c r="D25" s="151">
        <f t="shared" si="0"/>
        <v>19050.309999999976</v>
      </c>
    </row>
    <row r="26" spans="2:4">
      <c r="B26" s="165">
        <f t="shared" si="1"/>
        <v>43774</v>
      </c>
      <c r="C26" s="155">
        <f t="shared" si="2"/>
        <v>5944.810000000004</v>
      </c>
      <c r="D26" s="151">
        <f t="shared" si="0"/>
        <v>18791.839999999975</v>
      </c>
    </row>
    <row r="27" spans="2:4">
      <c r="B27" s="165">
        <f t="shared" si="1"/>
        <v>43804</v>
      </c>
      <c r="C27" s="155">
        <f t="shared" si="2"/>
        <v>6203.2800000000043</v>
      </c>
      <c r="D27" s="151">
        <f t="shared" si="0"/>
        <v>18533.369999999974</v>
      </c>
    </row>
    <row r="28" spans="2:4">
      <c r="B28" s="165">
        <f t="shared" si="1"/>
        <v>43835</v>
      </c>
      <c r="C28" s="155">
        <f t="shared" si="2"/>
        <v>6461.7500000000045</v>
      </c>
      <c r="D28" s="151">
        <f t="shared" si="0"/>
        <v>18274.899999999972</v>
      </c>
    </row>
    <row r="29" spans="2:4">
      <c r="B29" s="165">
        <f t="shared" si="1"/>
        <v>43866</v>
      </c>
      <c r="C29" s="155">
        <f t="shared" si="2"/>
        <v>6720.2200000000048</v>
      </c>
      <c r="D29" s="151">
        <f t="shared" si="0"/>
        <v>18016.429999999971</v>
      </c>
    </row>
    <row r="30" spans="2:4">
      <c r="B30" s="165">
        <f t="shared" si="1"/>
        <v>43895</v>
      </c>
      <c r="C30" s="155">
        <f t="shared" si="2"/>
        <v>6978.6900000000051</v>
      </c>
      <c r="D30" s="151">
        <f t="shared" si="0"/>
        <v>17757.95999999997</v>
      </c>
    </row>
    <row r="31" spans="2:4">
      <c r="B31" s="165">
        <f t="shared" si="1"/>
        <v>43926</v>
      </c>
      <c r="C31" s="155">
        <f t="shared" si="2"/>
        <v>7237.1600000000053</v>
      </c>
      <c r="D31" s="151">
        <f t="shared" si="0"/>
        <v>17499.489999999969</v>
      </c>
    </row>
    <row r="32" spans="2:4">
      <c r="B32" s="165">
        <f t="shared" si="1"/>
        <v>43956</v>
      </c>
      <c r="C32" s="155">
        <f t="shared" si="2"/>
        <v>7495.6300000000056</v>
      </c>
      <c r="D32" s="151">
        <f t="shared" si="0"/>
        <v>17241.019999999968</v>
      </c>
    </row>
    <row r="33" spans="2:4">
      <c r="B33" s="165">
        <f t="shared" si="1"/>
        <v>43987</v>
      </c>
      <c r="C33" s="155">
        <f t="shared" si="2"/>
        <v>7754.1000000000058</v>
      </c>
      <c r="D33" s="151">
        <f t="shared" si="0"/>
        <v>16982.549999999967</v>
      </c>
    </row>
    <row r="34" spans="2:4">
      <c r="B34" s="165">
        <f t="shared" si="1"/>
        <v>44017</v>
      </c>
      <c r="C34" s="155">
        <f t="shared" si="2"/>
        <v>8012.5700000000061</v>
      </c>
      <c r="D34" s="151">
        <f t="shared" si="0"/>
        <v>16724.079999999965</v>
      </c>
    </row>
    <row r="35" spans="2:4">
      <c r="B35" s="165">
        <f t="shared" si="1"/>
        <v>44048</v>
      </c>
      <c r="C35" s="155">
        <f t="shared" si="2"/>
        <v>8271.0400000000063</v>
      </c>
      <c r="D35" s="151">
        <f t="shared" si="0"/>
        <v>16465.609999999964</v>
      </c>
    </row>
    <row r="36" spans="2:4">
      <c r="B36" s="165">
        <f t="shared" si="1"/>
        <v>44079</v>
      </c>
      <c r="C36" s="155">
        <f t="shared" si="2"/>
        <v>8529.5100000000057</v>
      </c>
      <c r="D36" s="151">
        <f t="shared" si="0"/>
        <v>16207.139999999965</v>
      </c>
    </row>
    <row r="37" spans="2:4">
      <c r="B37" s="165">
        <f t="shared" si="1"/>
        <v>44109</v>
      </c>
      <c r="C37" s="155">
        <f t="shared" si="2"/>
        <v>8787.980000000005</v>
      </c>
      <c r="D37" s="151">
        <f t="shared" si="0"/>
        <v>15948.669999999966</v>
      </c>
    </row>
    <row r="38" spans="2:4">
      <c r="B38" s="165">
        <f t="shared" si="1"/>
        <v>44140</v>
      </c>
      <c r="C38" s="155">
        <f t="shared" si="2"/>
        <v>9046.4500000000044</v>
      </c>
      <c r="D38" s="151">
        <f t="shared" si="0"/>
        <v>15690.199999999966</v>
      </c>
    </row>
    <row r="39" spans="2:4">
      <c r="B39" s="165">
        <f t="shared" si="1"/>
        <v>44170</v>
      </c>
      <c r="C39" s="155">
        <f t="shared" si="2"/>
        <v>9304.9200000000037</v>
      </c>
      <c r="D39" s="151">
        <f t="shared" si="0"/>
        <v>15431.729999999967</v>
      </c>
    </row>
    <row r="40" spans="2:4">
      <c r="B40" s="165">
        <f t="shared" si="1"/>
        <v>44201</v>
      </c>
      <c r="C40" s="155">
        <f t="shared" si="2"/>
        <v>9563.3900000000031</v>
      </c>
      <c r="D40" s="151">
        <f>D39-A$1</f>
        <v>15173.259999999967</v>
      </c>
    </row>
    <row r="41" spans="2:4">
      <c r="B41" s="165">
        <f t="shared" si="1"/>
        <v>44232</v>
      </c>
      <c r="C41" s="155">
        <f t="shared" si="2"/>
        <v>9821.8600000000024</v>
      </c>
      <c r="D41" s="151">
        <f t="shared" si="0"/>
        <v>14914.789999999968</v>
      </c>
    </row>
    <row r="42" spans="2:4">
      <c r="B42" s="165">
        <f t="shared" si="1"/>
        <v>44260</v>
      </c>
      <c r="C42" s="155">
        <f t="shared" si="2"/>
        <v>10080.330000000002</v>
      </c>
      <c r="D42" s="151">
        <f t="shared" si="0"/>
        <v>14656.319999999969</v>
      </c>
    </row>
    <row r="43" spans="2:4">
      <c r="B43" s="165">
        <f t="shared" si="1"/>
        <v>44291</v>
      </c>
      <c r="C43" s="155">
        <f t="shared" si="2"/>
        <v>10338.800000000001</v>
      </c>
      <c r="D43" s="151">
        <f t="shared" si="0"/>
        <v>14397.849999999969</v>
      </c>
    </row>
    <row r="44" spans="2:4">
      <c r="B44" s="165">
        <f t="shared" si="1"/>
        <v>44321</v>
      </c>
      <c r="C44" s="155">
        <f t="shared" si="2"/>
        <v>10597.27</v>
      </c>
      <c r="D44" s="151">
        <f t="shared" si="0"/>
        <v>14139.37999999997</v>
      </c>
    </row>
    <row r="45" spans="2:4">
      <c r="B45" s="165">
        <f t="shared" si="1"/>
        <v>44352</v>
      </c>
      <c r="C45" s="155">
        <f t="shared" si="2"/>
        <v>10855.74</v>
      </c>
      <c r="D45" s="151">
        <f t="shared" si="0"/>
        <v>13880.909999999971</v>
      </c>
    </row>
    <row r="46" spans="2:4">
      <c r="B46" s="165">
        <f t="shared" si="1"/>
        <v>44382</v>
      </c>
      <c r="C46" s="155">
        <f t="shared" si="2"/>
        <v>11114.21</v>
      </c>
      <c r="D46" s="151">
        <f t="shared" si="0"/>
        <v>13622.439999999971</v>
      </c>
    </row>
    <row r="47" spans="2:4">
      <c r="B47" s="165">
        <f t="shared" si="1"/>
        <v>44413</v>
      </c>
      <c r="C47" s="155">
        <f t="shared" si="2"/>
        <v>11372.679999999998</v>
      </c>
      <c r="D47" s="151">
        <f t="shared" si="0"/>
        <v>13363.969999999972</v>
      </c>
    </row>
    <row r="48" spans="2:4">
      <c r="B48" s="165">
        <f t="shared" si="1"/>
        <v>44444</v>
      </c>
      <c r="C48" s="155">
        <f t="shared" si="2"/>
        <v>11631.149999999998</v>
      </c>
      <c r="D48" s="151">
        <f t="shared" si="0"/>
        <v>13105.499999999973</v>
      </c>
    </row>
    <row r="49" spans="2:4">
      <c r="B49" s="165">
        <f t="shared" si="1"/>
        <v>44474</v>
      </c>
      <c r="C49" s="155">
        <f t="shared" si="2"/>
        <v>11889.619999999997</v>
      </c>
      <c r="D49" s="151">
        <f t="shared" si="0"/>
        <v>12847.029999999973</v>
      </c>
    </row>
    <row r="50" spans="2:4">
      <c r="B50" s="165">
        <f t="shared" si="1"/>
        <v>44505</v>
      </c>
      <c r="C50" s="155">
        <f t="shared" si="2"/>
        <v>12148.089999999997</v>
      </c>
      <c r="D50" s="151">
        <f t="shared" si="0"/>
        <v>12588.559999999974</v>
      </c>
    </row>
    <row r="51" spans="2:4">
      <c r="B51" s="165">
        <f t="shared" si="1"/>
        <v>44535</v>
      </c>
      <c r="C51" s="155">
        <f t="shared" si="2"/>
        <v>12406.559999999996</v>
      </c>
      <c r="D51" s="151">
        <f t="shared" si="0"/>
        <v>12330.089999999975</v>
      </c>
    </row>
    <row r="52" spans="2:4">
      <c r="B52" s="165">
        <f t="shared" si="1"/>
        <v>44566</v>
      </c>
      <c r="C52" s="155">
        <f t="shared" si="2"/>
        <v>12665.029999999995</v>
      </c>
      <c r="D52" s="151">
        <f t="shared" si="0"/>
        <v>12071.619999999975</v>
      </c>
    </row>
    <row r="53" spans="2:4">
      <c r="B53" s="165">
        <f t="shared" si="1"/>
        <v>44597</v>
      </c>
      <c r="C53" s="155">
        <f t="shared" si="2"/>
        <v>12923.499999999995</v>
      </c>
      <c r="D53" s="151">
        <f t="shared" si="0"/>
        <v>11813.149999999976</v>
      </c>
    </row>
    <row r="54" spans="2:4">
      <c r="B54" s="165">
        <f t="shared" si="1"/>
        <v>44625</v>
      </c>
      <c r="C54" s="155">
        <f t="shared" si="2"/>
        <v>13181.969999999994</v>
      </c>
      <c r="D54" s="151">
        <f>D53-A$1</f>
        <v>11554.679999999977</v>
      </c>
    </row>
    <row r="55" spans="2:4">
      <c r="B55" s="165">
        <f t="shared" si="1"/>
        <v>44656</v>
      </c>
      <c r="C55" s="155">
        <f t="shared" si="2"/>
        <v>13440.439999999993</v>
      </c>
      <c r="D55" s="151">
        <f t="shared" si="0"/>
        <v>11296.209999999977</v>
      </c>
    </row>
    <row r="56" spans="2:4">
      <c r="B56" s="165">
        <f t="shared" si="1"/>
        <v>44686</v>
      </c>
      <c r="C56" s="155">
        <f t="shared" si="2"/>
        <v>13698.909999999993</v>
      </c>
      <c r="D56" s="151">
        <f t="shared" si="0"/>
        <v>11037.739999999978</v>
      </c>
    </row>
    <row r="57" spans="2:4">
      <c r="B57" s="165">
        <f t="shared" si="1"/>
        <v>44717</v>
      </c>
      <c r="C57" s="155">
        <f t="shared" si="2"/>
        <v>13957.379999999992</v>
      </c>
      <c r="D57" s="151">
        <f t="shared" si="0"/>
        <v>10779.269999999979</v>
      </c>
    </row>
    <row r="58" spans="2:4">
      <c r="B58" s="165">
        <f t="shared" si="1"/>
        <v>44747</v>
      </c>
      <c r="C58" s="155">
        <f t="shared" si="2"/>
        <v>14215.849999999991</v>
      </c>
      <c r="D58" s="151">
        <f t="shared" si="0"/>
        <v>10520.799999999979</v>
      </c>
    </row>
    <row r="59" spans="2:4">
      <c r="B59" s="165">
        <f t="shared" si="1"/>
        <v>44778</v>
      </c>
      <c r="C59" s="155">
        <f t="shared" si="2"/>
        <v>14474.319999999991</v>
      </c>
      <c r="D59" s="151">
        <f t="shared" si="0"/>
        <v>10262.32999999998</v>
      </c>
    </row>
    <row r="60" spans="2:4">
      <c r="B60" s="165">
        <f t="shared" si="1"/>
        <v>44809</v>
      </c>
      <c r="C60" s="155">
        <f t="shared" si="2"/>
        <v>14732.78999999999</v>
      </c>
      <c r="D60" s="151">
        <f t="shared" si="0"/>
        <v>10003.859999999981</v>
      </c>
    </row>
    <row r="61" spans="2:4">
      <c r="B61" s="165">
        <f t="shared" si="1"/>
        <v>44839</v>
      </c>
      <c r="C61" s="155">
        <f t="shared" si="2"/>
        <v>14991.259999999989</v>
      </c>
      <c r="D61" s="151">
        <f t="shared" si="0"/>
        <v>9745.3899999999812</v>
      </c>
    </row>
    <row r="62" spans="2:4">
      <c r="B62" s="165">
        <f t="shared" si="1"/>
        <v>44870</v>
      </c>
      <c r="C62" s="155">
        <f t="shared" si="2"/>
        <v>15249.729999999989</v>
      </c>
      <c r="D62" s="151">
        <f>D61-A$1</f>
        <v>9486.9199999999819</v>
      </c>
    </row>
    <row r="63" spans="2:4" ht="15.75" thickBot="1">
      <c r="B63" s="181">
        <f t="shared" si="1"/>
        <v>44900</v>
      </c>
      <c r="C63" s="173">
        <f>C62+A$2</f>
        <v>24736.649999999987</v>
      </c>
      <c r="D63" s="170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86"/>
  <sheetViews>
    <sheetView workbookViewId="0">
      <selection activeCell="C3" sqref="C3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45" t="s">
        <v>164</v>
      </c>
      <c r="B1" s="146" t="s">
        <v>165</v>
      </c>
      <c r="C1" s="147" t="s">
        <v>166</v>
      </c>
      <c r="D1" s="147" t="s">
        <v>167</v>
      </c>
      <c r="H1" s="148" t="s">
        <v>168</v>
      </c>
      <c r="I1" s="145" t="s">
        <v>169</v>
      </c>
      <c r="J1" s="147" t="s">
        <v>170</v>
      </c>
      <c r="K1" s="147" t="s">
        <v>171</v>
      </c>
      <c r="L1" s="147" t="s">
        <v>167</v>
      </c>
    </row>
    <row r="2" spans="1:12" ht="12.75" customHeight="1">
      <c r="A2" s="149">
        <v>39479</v>
      </c>
      <c r="B2" s="150" t="s">
        <v>172</v>
      </c>
      <c r="C2" s="151">
        <f>848.08</f>
        <v>848.08</v>
      </c>
      <c r="D2" s="152">
        <v>0</v>
      </c>
      <c r="F2" s="153">
        <f t="shared" ref="F2:F22" si="0">C2*6</f>
        <v>5088.4800000000005</v>
      </c>
      <c r="H2" s="154"/>
      <c r="I2" s="155"/>
      <c r="J2" s="151"/>
      <c r="K2" s="151"/>
      <c r="L2" s="152">
        <v>0</v>
      </c>
    </row>
    <row r="3" spans="1:12" ht="12.75" customHeight="1">
      <c r="A3" s="149">
        <v>39661</v>
      </c>
      <c r="B3" s="156">
        <v>5.323E-2</v>
      </c>
      <c r="C3" s="151">
        <v>914</v>
      </c>
      <c r="D3" s="157">
        <f t="shared" ref="D3:D15" si="1">C3-C2</f>
        <v>65.919999999999959</v>
      </c>
      <c r="F3" s="153">
        <f t="shared" si="0"/>
        <v>5484</v>
      </c>
      <c r="H3" s="154"/>
      <c r="I3" s="155"/>
      <c r="J3" s="151"/>
      <c r="K3" s="158"/>
      <c r="L3" s="157">
        <f t="shared" ref="L3:L16" si="2">K3-K2</f>
        <v>0</v>
      </c>
    </row>
    <row r="4" spans="1:12" ht="12.75" customHeight="1">
      <c r="A4" s="149">
        <v>39845</v>
      </c>
      <c r="B4" s="156">
        <v>2.1350000000000001E-2</v>
      </c>
      <c r="C4" s="151">
        <f>577.6</f>
        <v>577.6</v>
      </c>
      <c r="D4" s="157">
        <f t="shared" si="1"/>
        <v>-336.4</v>
      </c>
      <c r="F4" s="153">
        <f t="shared" si="0"/>
        <v>3465.6000000000004</v>
      </c>
      <c r="H4" s="154"/>
      <c r="I4" s="155"/>
      <c r="J4" s="151"/>
      <c r="K4" s="159"/>
      <c r="L4" s="157">
        <f t="shared" si="2"/>
        <v>0</v>
      </c>
    </row>
    <row r="5" spans="1:12" ht="12.75" customHeight="1">
      <c r="A5" s="149">
        <v>40026</v>
      </c>
      <c r="B5" s="156">
        <v>1.3339999999999999E-2</v>
      </c>
      <c r="C5" s="158">
        <v>505.94</v>
      </c>
      <c r="D5" s="157">
        <f t="shared" si="1"/>
        <v>-71.660000000000025</v>
      </c>
      <c r="F5" s="153">
        <f t="shared" si="0"/>
        <v>3035.64</v>
      </c>
      <c r="H5" s="154"/>
      <c r="I5" s="160"/>
      <c r="J5" s="158"/>
      <c r="K5" s="158"/>
      <c r="L5" s="157">
        <f t="shared" si="2"/>
        <v>0</v>
      </c>
    </row>
    <row r="6" spans="1:12" ht="12.75" customHeight="1">
      <c r="A6" s="149">
        <v>40210</v>
      </c>
      <c r="B6" s="156">
        <v>1.225E-2</v>
      </c>
      <c r="C6" s="158">
        <v>496.71</v>
      </c>
      <c r="D6" s="157">
        <f t="shared" si="1"/>
        <v>-9.2300000000000182</v>
      </c>
      <c r="F6" s="153">
        <f t="shared" si="0"/>
        <v>2980.2599999999998</v>
      </c>
      <c r="H6" s="154"/>
      <c r="I6" s="160"/>
      <c r="J6" s="158"/>
      <c r="K6" s="158"/>
      <c r="L6" s="157">
        <f t="shared" si="2"/>
        <v>0</v>
      </c>
    </row>
    <row r="7" spans="1:12" ht="12.75" customHeight="1">
      <c r="A7" s="149">
        <v>40391</v>
      </c>
      <c r="B7" s="156">
        <v>1.421E-2</v>
      </c>
      <c r="C7" s="158">
        <v>513.17999999999995</v>
      </c>
      <c r="D7" s="157">
        <f t="shared" si="1"/>
        <v>16.46999999999997</v>
      </c>
      <c r="F7" s="153">
        <f t="shared" si="0"/>
        <v>3079.08</v>
      </c>
      <c r="H7" s="154"/>
      <c r="I7" s="160"/>
      <c r="J7" s="158"/>
      <c r="K7" s="158"/>
      <c r="L7" s="157">
        <f t="shared" si="2"/>
        <v>0</v>
      </c>
    </row>
    <row r="8" spans="1:12" ht="12.75" customHeight="1">
      <c r="A8" s="149">
        <v>40575</v>
      </c>
      <c r="B8" s="156">
        <v>1.7139999999999999E-2</v>
      </c>
      <c r="C8" s="161">
        <v>538.1</v>
      </c>
      <c r="D8" s="157">
        <f t="shared" si="1"/>
        <v>24.920000000000073</v>
      </c>
      <c r="F8" s="153">
        <f t="shared" si="0"/>
        <v>3228.6000000000004</v>
      </c>
      <c r="H8" s="154"/>
      <c r="I8" s="162"/>
      <c r="J8" s="161"/>
      <c r="K8" s="158"/>
      <c r="L8" s="157">
        <f t="shared" si="2"/>
        <v>0</v>
      </c>
    </row>
    <row r="9" spans="1:12" ht="12.75" customHeight="1">
      <c r="A9" s="149">
        <v>40756</v>
      </c>
      <c r="B9" s="156">
        <v>2.0969999999999999E-2</v>
      </c>
      <c r="C9" s="158">
        <v>571.29</v>
      </c>
      <c r="D9" s="157">
        <f t="shared" si="1"/>
        <v>33.189999999999941</v>
      </c>
      <c r="F9" s="153">
        <f t="shared" si="0"/>
        <v>3427.74</v>
      </c>
      <c r="H9" s="154"/>
      <c r="I9" s="160"/>
      <c r="J9" s="158"/>
      <c r="K9" s="158"/>
      <c r="L9" s="157">
        <f t="shared" si="2"/>
        <v>0</v>
      </c>
    </row>
    <row r="10" spans="1:12" ht="12.75" customHeight="1">
      <c r="A10" s="163">
        <v>40940</v>
      </c>
      <c r="B10" s="156">
        <v>1.678E-2</v>
      </c>
      <c r="C10" s="158">
        <v>535.46</v>
      </c>
      <c r="D10" s="157">
        <f t="shared" si="1"/>
        <v>-35.829999999999927</v>
      </c>
      <c r="F10" s="153">
        <f t="shared" si="0"/>
        <v>3212.76</v>
      </c>
      <c r="H10" s="164"/>
      <c r="I10" s="160"/>
      <c r="J10" s="158"/>
      <c r="K10" s="158"/>
      <c r="L10" s="157">
        <f t="shared" si="2"/>
        <v>0</v>
      </c>
    </row>
    <row r="11" spans="1:12" ht="12.75" customHeight="1">
      <c r="A11" s="149">
        <v>41122</v>
      </c>
      <c r="B11" s="156">
        <f>(1.377-0.5)/100</f>
        <v>8.77E-3</v>
      </c>
      <c r="C11" s="158">
        <f>471.35</f>
        <v>471.35</v>
      </c>
      <c r="D11" s="157">
        <f t="shared" si="1"/>
        <v>-64.110000000000014</v>
      </c>
      <c r="F11" s="153">
        <f t="shared" si="0"/>
        <v>2828.1000000000004</v>
      </c>
      <c r="H11" s="154"/>
      <c r="I11" s="160"/>
      <c r="J11" s="158"/>
      <c r="K11" s="158"/>
      <c r="L11" s="157">
        <f t="shared" si="2"/>
        <v>0</v>
      </c>
    </row>
    <row r="12" spans="1:12" ht="12.75" customHeight="1">
      <c r="A12" s="149">
        <v>41306</v>
      </c>
      <c r="B12" s="156">
        <f>0.594/100</f>
        <v>5.94E-3</v>
      </c>
      <c r="C12" s="158">
        <v>450.15</v>
      </c>
      <c r="D12" s="157">
        <v>-21.2</v>
      </c>
      <c r="F12" s="153">
        <f t="shared" si="0"/>
        <v>2700.8999999999996</v>
      </c>
      <c r="H12" s="154"/>
      <c r="I12" s="160"/>
      <c r="J12" s="158"/>
      <c r="K12" s="158"/>
      <c r="L12" s="157">
        <v>0</v>
      </c>
    </row>
    <row r="13" spans="1:12" ht="12.75" customHeight="1">
      <c r="A13" s="149">
        <v>41487</v>
      </c>
      <c r="B13" s="156">
        <f>0.542/100</f>
        <v>5.4200000000000003E-3</v>
      </c>
      <c r="C13" s="158">
        <v>446.36</v>
      </c>
      <c r="D13" s="157">
        <v>-3.77</v>
      </c>
      <c r="F13" s="153">
        <f t="shared" si="0"/>
        <v>2678.16</v>
      </c>
      <c r="H13" s="154"/>
      <c r="I13" s="160"/>
      <c r="J13" s="158"/>
      <c r="K13" s="158"/>
      <c r="L13" s="157">
        <v>0</v>
      </c>
    </row>
    <row r="14" spans="1:12" ht="12.75" customHeight="1">
      <c r="A14" s="149">
        <v>41671</v>
      </c>
      <c r="B14" s="156">
        <f>0.549/100</f>
        <v>5.4900000000000001E-3</v>
      </c>
      <c r="C14" s="158">
        <f>446.86</f>
        <v>446.86</v>
      </c>
      <c r="D14" s="157">
        <f t="shared" si="1"/>
        <v>0.5</v>
      </c>
      <c r="F14" s="153">
        <f t="shared" si="0"/>
        <v>2681.16</v>
      </c>
      <c r="H14" s="165">
        <f>EDATE(A14,2)</f>
        <v>41730</v>
      </c>
      <c r="I14" s="166">
        <v>153293.20000000001</v>
      </c>
      <c r="J14" s="158">
        <v>15951.99</v>
      </c>
      <c r="K14" s="167">
        <f t="shared" ref="K14:K19" si="3">J14-I14</f>
        <v>-137341.21000000002</v>
      </c>
      <c r="L14" s="157">
        <f t="shared" si="2"/>
        <v>-137341.21000000002</v>
      </c>
    </row>
    <row r="15" spans="1:12" ht="12.75" customHeight="1">
      <c r="A15" s="149">
        <f>EDATE(A14,6)</f>
        <v>41852</v>
      </c>
      <c r="B15" s="156">
        <f>(0.969-0.5)/100</f>
        <v>4.6899999999999997E-3</v>
      </c>
      <c r="C15" s="158">
        <f>318.97+122.27</f>
        <v>441.24</v>
      </c>
      <c r="D15" s="157">
        <f t="shared" si="1"/>
        <v>-5.6200000000000045</v>
      </c>
      <c r="F15" s="153">
        <f t="shared" si="0"/>
        <v>2647.44</v>
      </c>
      <c r="H15" s="165">
        <f t="shared" ref="H15:H62" si="4">EDATE(A15,2)</f>
        <v>41913</v>
      </c>
      <c r="I15" s="160">
        <f>151411.95+18544.65-(198.04*2)</f>
        <v>169560.52000000002</v>
      </c>
      <c r="J15" s="158">
        <v>17897.71</v>
      </c>
      <c r="K15" s="167">
        <f t="shared" si="3"/>
        <v>-151662.81000000003</v>
      </c>
      <c r="L15" s="157">
        <f t="shared" si="2"/>
        <v>-14321.600000000006</v>
      </c>
    </row>
    <row r="16" spans="1:12" ht="12.75" customHeight="1">
      <c r="A16" s="149">
        <f t="shared" ref="A16:A62" si="5">EDATE(A15,6)</f>
        <v>42036</v>
      </c>
      <c r="B16" s="156">
        <f>0.00255</f>
        <v>2.5500000000000002E-3</v>
      </c>
      <c r="C16" s="158">
        <f>426.61</f>
        <v>426.61</v>
      </c>
      <c r="D16" s="157">
        <f>C16-C15</f>
        <v>-14.629999999999995</v>
      </c>
      <c r="F16" s="153">
        <f t="shared" si="0"/>
        <v>2559.66</v>
      </c>
      <c r="H16" s="165">
        <f t="shared" si="4"/>
        <v>42095</v>
      </c>
      <c r="I16" s="160">
        <f>149494.24+18544.65-(198.04*(2+6))</f>
        <v>166454.56999999998</v>
      </c>
      <c r="J16" s="158">
        <v>20433.009999999998</v>
      </c>
      <c r="K16" s="167">
        <f t="shared" si="3"/>
        <v>-146021.55999999997</v>
      </c>
      <c r="L16" s="157">
        <f t="shared" si="2"/>
        <v>5641.2500000000582</v>
      </c>
    </row>
    <row r="17" spans="1:12" ht="12.75" customHeight="1">
      <c r="A17" s="149">
        <f t="shared" si="5"/>
        <v>42217</v>
      </c>
      <c r="B17" s="156">
        <v>1.6138095238095241E-3</v>
      </c>
      <c r="C17" s="158">
        <v>420.38</v>
      </c>
      <c r="D17" s="157">
        <f>C17-C16</f>
        <v>-6.2300000000000182</v>
      </c>
      <c r="F17" s="153">
        <f t="shared" si="0"/>
        <v>2522.2799999999997</v>
      </c>
      <c r="H17" s="165">
        <f t="shared" si="4"/>
        <v>42278</v>
      </c>
      <c r="I17" s="160">
        <f>147495.79+18544.65-(198.04*(2+12))</f>
        <v>163267.88</v>
      </c>
      <c r="J17" s="158">
        <v>17715.88</v>
      </c>
      <c r="K17" s="167">
        <f t="shared" si="3"/>
        <v>-145552</v>
      </c>
      <c r="L17" s="157">
        <f t="shared" ref="L17:L22" si="6">K17-K16</f>
        <v>469.55999999996857</v>
      </c>
    </row>
    <row r="18" spans="1:12" ht="12.75" customHeight="1">
      <c r="A18" s="149">
        <f t="shared" si="5"/>
        <v>42401</v>
      </c>
      <c r="B18" s="156">
        <f>-0.00008</f>
        <v>-8.0000000000000007E-5</v>
      </c>
      <c r="C18" s="158">
        <v>409.48</v>
      </c>
      <c r="D18" s="157">
        <v>-10.89</v>
      </c>
      <c r="F18" s="153">
        <f t="shared" si="0"/>
        <v>2456.88</v>
      </c>
      <c r="H18" s="165">
        <f t="shared" si="4"/>
        <v>42461</v>
      </c>
      <c r="I18" s="160">
        <f>145458.18+18544.65-(198.04*(2+18))</f>
        <v>160042.03</v>
      </c>
      <c r="J18" s="158">
        <f>1167.12+4510.82+2610.71+5004.39+800+2627.7+1337.06</f>
        <v>18057.800000000003</v>
      </c>
      <c r="K18" s="167">
        <f t="shared" si="3"/>
        <v>-141984.22999999998</v>
      </c>
      <c r="L18" s="157">
        <f t="shared" si="6"/>
        <v>3567.7700000000186</v>
      </c>
    </row>
    <row r="19" spans="1:12" ht="12.75" customHeight="1">
      <c r="A19" s="149">
        <f t="shared" si="5"/>
        <v>42583</v>
      </c>
      <c r="B19" s="156">
        <f>-0.048%</f>
        <v>-4.8000000000000001E-4</v>
      </c>
      <c r="C19" s="158">
        <v>406.97</v>
      </c>
      <c r="D19" s="157">
        <f>C19-C18</f>
        <v>-2.5099999999999909</v>
      </c>
      <c r="F19" s="153">
        <f t="shared" si="0"/>
        <v>2441.8200000000002</v>
      </c>
      <c r="H19" s="165">
        <f t="shared" si="4"/>
        <v>42644</v>
      </c>
      <c r="I19" s="160">
        <f>143356.97+18544.65-(198.04*(2+24))</f>
        <v>156752.57999999999</v>
      </c>
      <c r="J19" s="158">
        <f>18827.92-5007.8+(833*5.448)</f>
        <v>18358.304</v>
      </c>
      <c r="K19" s="167">
        <f t="shared" si="3"/>
        <v>-138394.27599999998</v>
      </c>
      <c r="L19" s="157">
        <f t="shared" si="6"/>
        <v>3589.9539999999979</v>
      </c>
    </row>
    <row r="20" spans="1:12" ht="12.75" customHeight="1">
      <c r="A20" s="149">
        <f t="shared" si="5"/>
        <v>42767</v>
      </c>
      <c r="B20" s="156">
        <f>-0.00106</f>
        <v>-1.06E-3</v>
      </c>
      <c r="C20" s="158">
        <v>403.39</v>
      </c>
      <c r="D20" s="157">
        <f>C20-C19</f>
        <v>-3.5800000000000409</v>
      </c>
      <c r="F20" s="153">
        <f t="shared" si="0"/>
        <v>2420.34</v>
      </c>
      <c r="H20" s="165">
        <f t="shared" si="4"/>
        <v>42826</v>
      </c>
      <c r="I20" s="160">
        <f>141384.89+18544.65-(198.04*(2+30))</f>
        <v>153592.26</v>
      </c>
      <c r="J20" s="158">
        <f>19200-5007.8+(833*7.9)</f>
        <v>20772.900000000001</v>
      </c>
      <c r="K20" s="167">
        <f>J20-I20</f>
        <v>-132819.36000000002</v>
      </c>
      <c r="L20" s="157">
        <f t="shared" si="6"/>
        <v>5574.9159999999683</v>
      </c>
    </row>
    <row r="21" spans="1:12" ht="12.75" customHeight="1">
      <c r="A21" s="149">
        <f t="shared" si="5"/>
        <v>42948</v>
      </c>
      <c r="B21" s="156">
        <v>-1.56E-3</v>
      </c>
      <c r="C21" s="158">
        <v>400.38</v>
      </c>
      <c r="D21" s="157">
        <f>C21-C20</f>
        <v>-3.0099999999999909</v>
      </c>
      <c r="F21" s="153">
        <f t="shared" si="0"/>
        <v>2402.2799999999997</v>
      </c>
      <c r="H21" s="165">
        <f t="shared" si="4"/>
        <v>43009</v>
      </c>
      <c r="I21" s="160">
        <f>139093.28+18544.65-(198.04*(2+36))</f>
        <v>150112.41</v>
      </c>
      <c r="J21" s="158">
        <f>11743+(306*21.51)</f>
        <v>18325.060000000001</v>
      </c>
      <c r="K21" s="167">
        <f>J21-I21</f>
        <v>-131787.35</v>
      </c>
      <c r="L21" s="157">
        <f t="shared" si="6"/>
        <v>1032.0100000000093</v>
      </c>
    </row>
    <row r="22" spans="1:12" ht="12.75" customHeight="1">
      <c r="A22" s="149">
        <f t="shared" si="5"/>
        <v>43132</v>
      </c>
      <c r="B22" s="156">
        <v>-1.9124999999999997E-3</v>
      </c>
      <c r="C22" s="158">
        <v>398.31</v>
      </c>
      <c r="D22" s="157">
        <f>C22-C21</f>
        <v>-2.0699999999999932</v>
      </c>
      <c r="F22" s="153">
        <f t="shared" si="0"/>
        <v>2389.86</v>
      </c>
      <c r="H22" s="165">
        <f t="shared" si="4"/>
        <v>43191</v>
      </c>
      <c r="I22" s="160">
        <f>136928.69+Coche!D6</f>
        <v>160889.93</v>
      </c>
      <c r="J22" s="158">
        <v>20719.909999999996</v>
      </c>
      <c r="K22" s="167">
        <f>J22-I22</f>
        <v>-140170.01999999999</v>
      </c>
      <c r="L22" s="157">
        <f t="shared" si="6"/>
        <v>-8382.6699999999837</v>
      </c>
    </row>
    <row r="23" spans="1:12" ht="12.75" customHeight="1">
      <c r="A23" s="149">
        <f t="shared" si="5"/>
        <v>43313</v>
      </c>
      <c r="B23" s="156">
        <f>Hipoteca!B$6/100</f>
        <v>-1.7899999999999999E-3</v>
      </c>
      <c r="C23" s="158">
        <f ca="1">Hipoteca!B$13</f>
        <v>399.00481345203212</v>
      </c>
      <c r="D23" s="157">
        <f ca="1">C23-C22</f>
        <v>0.69481345203212186</v>
      </c>
      <c r="H23" s="165">
        <f t="shared" si="4"/>
        <v>43374</v>
      </c>
      <c r="I23" s="160">
        <f>134748.99+Coche!D12</f>
        <v>157159.40999999997</v>
      </c>
      <c r="J23" s="158"/>
      <c r="K23" s="158"/>
      <c r="L23" s="157"/>
    </row>
    <row r="24" spans="1:12" ht="12.75" customHeight="1">
      <c r="A24" s="149">
        <f t="shared" si="5"/>
        <v>43497</v>
      </c>
      <c r="B24" s="156"/>
      <c r="C24" s="158"/>
      <c r="D24" s="157"/>
      <c r="H24" s="165">
        <f t="shared" si="4"/>
        <v>43556</v>
      </c>
      <c r="I24" s="160"/>
      <c r="J24" s="158"/>
      <c r="K24" s="158"/>
      <c r="L24" s="157"/>
    </row>
    <row r="25" spans="1:12" ht="12.75" customHeight="1">
      <c r="A25" s="149">
        <f t="shared" si="5"/>
        <v>43678</v>
      </c>
      <c r="B25" s="156"/>
      <c r="C25" s="158"/>
      <c r="D25" s="157"/>
      <c r="H25" s="165">
        <f t="shared" si="4"/>
        <v>43739</v>
      </c>
      <c r="I25" s="160"/>
      <c r="J25" s="158"/>
      <c r="K25" s="158"/>
      <c r="L25" s="157"/>
    </row>
    <row r="26" spans="1:12" ht="12.75" customHeight="1">
      <c r="A26" s="149">
        <f t="shared" si="5"/>
        <v>43862</v>
      </c>
      <c r="B26" s="156"/>
      <c r="C26" s="158"/>
      <c r="D26" s="157"/>
      <c r="H26" s="165">
        <f t="shared" si="4"/>
        <v>43922</v>
      </c>
      <c r="I26" s="160"/>
      <c r="J26" s="158"/>
      <c r="K26" s="158"/>
      <c r="L26" s="157"/>
    </row>
    <row r="27" spans="1:12" ht="12.75" customHeight="1">
      <c r="A27" s="149">
        <f t="shared" si="5"/>
        <v>44044</v>
      </c>
      <c r="B27" s="156"/>
      <c r="C27" s="158"/>
      <c r="D27" s="157"/>
      <c r="H27" s="165">
        <f t="shared" si="4"/>
        <v>44105</v>
      </c>
      <c r="I27" s="160"/>
      <c r="J27" s="158"/>
      <c r="K27" s="158"/>
      <c r="L27" s="157"/>
    </row>
    <row r="28" spans="1:12" ht="12.75" customHeight="1">
      <c r="A28" s="149">
        <f t="shared" si="5"/>
        <v>44228</v>
      </c>
      <c r="B28" s="156"/>
      <c r="C28" s="158"/>
      <c r="D28" s="157"/>
      <c r="H28" s="165">
        <f t="shared" si="4"/>
        <v>44287</v>
      </c>
      <c r="I28" s="160"/>
      <c r="J28" s="158"/>
      <c r="K28" s="158"/>
      <c r="L28" s="157"/>
    </row>
    <row r="29" spans="1:12" ht="12.75" customHeight="1">
      <c r="A29" s="149">
        <f t="shared" si="5"/>
        <v>44409</v>
      </c>
      <c r="B29" s="156"/>
      <c r="C29" s="158"/>
      <c r="D29" s="157"/>
      <c r="H29" s="165">
        <f t="shared" si="4"/>
        <v>44470</v>
      </c>
      <c r="I29" s="160"/>
      <c r="J29" s="158"/>
      <c r="K29" s="158"/>
      <c r="L29" s="157"/>
    </row>
    <row r="30" spans="1:12" ht="12.75" customHeight="1">
      <c r="A30" s="149">
        <f t="shared" si="5"/>
        <v>44593</v>
      </c>
      <c r="B30" s="156"/>
      <c r="C30" s="158"/>
      <c r="D30" s="157"/>
      <c r="H30" s="165">
        <f t="shared" si="4"/>
        <v>44652</v>
      </c>
      <c r="I30" s="160"/>
      <c r="J30" s="158"/>
      <c r="K30" s="158"/>
      <c r="L30" s="157"/>
    </row>
    <row r="31" spans="1:12" ht="12.75" customHeight="1">
      <c r="A31" s="149">
        <f t="shared" si="5"/>
        <v>44774</v>
      </c>
      <c r="B31" s="156"/>
      <c r="C31" s="158"/>
      <c r="D31" s="157"/>
      <c r="H31" s="165">
        <f t="shared" si="4"/>
        <v>44835</v>
      </c>
      <c r="I31" s="160"/>
      <c r="J31" s="158"/>
      <c r="K31" s="158"/>
      <c r="L31" s="157"/>
    </row>
    <row r="32" spans="1:12" ht="12.75" customHeight="1">
      <c r="A32" s="149">
        <f t="shared" si="5"/>
        <v>44958</v>
      </c>
      <c r="B32" s="156"/>
      <c r="C32" s="158"/>
      <c r="D32" s="157"/>
      <c r="H32" s="165">
        <f t="shared" si="4"/>
        <v>45017</v>
      </c>
      <c r="I32" s="160"/>
      <c r="J32" s="158"/>
      <c r="K32" s="158"/>
      <c r="L32" s="157"/>
    </row>
    <row r="33" spans="1:12" ht="12.75" customHeight="1">
      <c r="A33" s="149">
        <f t="shared" si="5"/>
        <v>45139</v>
      </c>
      <c r="B33" s="156"/>
      <c r="C33" s="158"/>
      <c r="D33" s="157"/>
      <c r="H33" s="165">
        <f t="shared" si="4"/>
        <v>45200</v>
      </c>
      <c r="I33" s="160"/>
      <c r="J33" s="158"/>
      <c r="K33" s="158"/>
      <c r="L33" s="157"/>
    </row>
    <row r="34" spans="1:12" ht="12.75" customHeight="1">
      <c r="A34" s="149">
        <f t="shared" si="5"/>
        <v>45323</v>
      </c>
      <c r="B34" s="156"/>
      <c r="C34" s="158"/>
      <c r="D34" s="157"/>
      <c r="H34" s="165">
        <f t="shared" si="4"/>
        <v>45383</v>
      </c>
      <c r="I34" s="160"/>
      <c r="J34" s="158"/>
      <c r="K34" s="158"/>
      <c r="L34" s="157"/>
    </row>
    <row r="35" spans="1:12" ht="12.75" customHeight="1">
      <c r="A35" s="149">
        <f t="shared" si="5"/>
        <v>45505</v>
      </c>
      <c r="B35" s="156"/>
      <c r="C35" s="158"/>
      <c r="D35" s="157"/>
      <c r="H35" s="165">
        <f t="shared" si="4"/>
        <v>45566</v>
      </c>
      <c r="I35" s="160"/>
      <c r="J35" s="158"/>
      <c r="K35" s="158"/>
      <c r="L35" s="157"/>
    </row>
    <row r="36" spans="1:12" ht="12.75" customHeight="1">
      <c r="A36" s="149">
        <f t="shared" si="5"/>
        <v>45689</v>
      </c>
      <c r="B36" s="156"/>
      <c r="C36" s="158"/>
      <c r="D36" s="157"/>
      <c r="H36" s="165">
        <f t="shared" si="4"/>
        <v>45748</v>
      </c>
      <c r="I36" s="160"/>
      <c r="J36" s="158"/>
      <c r="K36" s="158"/>
      <c r="L36" s="157"/>
    </row>
    <row r="37" spans="1:12" ht="12.75" customHeight="1">
      <c r="A37" s="149">
        <f t="shared" si="5"/>
        <v>45870</v>
      </c>
      <c r="B37" s="156"/>
      <c r="C37" s="158"/>
      <c r="D37" s="157"/>
      <c r="H37" s="165">
        <f t="shared" si="4"/>
        <v>45931</v>
      </c>
      <c r="I37" s="160"/>
      <c r="J37" s="158"/>
      <c r="K37" s="158"/>
      <c r="L37" s="157"/>
    </row>
    <row r="38" spans="1:12" ht="12.75" customHeight="1">
      <c r="A38" s="149">
        <f t="shared" si="5"/>
        <v>46054</v>
      </c>
      <c r="B38" s="156"/>
      <c r="C38" s="158"/>
      <c r="D38" s="157"/>
      <c r="H38" s="165">
        <f t="shared" si="4"/>
        <v>46113</v>
      </c>
      <c r="I38" s="160"/>
      <c r="J38" s="158"/>
      <c r="K38" s="158"/>
      <c r="L38" s="157"/>
    </row>
    <row r="39" spans="1:12" ht="12.75" customHeight="1">
      <c r="A39" s="149">
        <f t="shared" si="5"/>
        <v>46235</v>
      </c>
      <c r="B39" s="156"/>
      <c r="C39" s="158"/>
      <c r="D39" s="157"/>
      <c r="H39" s="165">
        <f t="shared" si="4"/>
        <v>46296</v>
      </c>
      <c r="I39" s="160"/>
      <c r="J39" s="158"/>
      <c r="K39" s="158"/>
      <c r="L39" s="157"/>
    </row>
    <row r="40" spans="1:12" ht="12.75" customHeight="1">
      <c r="A40" s="149">
        <f t="shared" si="5"/>
        <v>46419</v>
      </c>
      <c r="B40" s="156"/>
      <c r="C40" s="158"/>
      <c r="D40" s="157"/>
      <c r="H40" s="165">
        <f t="shared" si="4"/>
        <v>46478</v>
      </c>
      <c r="I40" s="160"/>
      <c r="J40" s="158"/>
      <c r="K40" s="158"/>
      <c r="L40" s="157"/>
    </row>
    <row r="41" spans="1:12" ht="12.75" customHeight="1">
      <c r="A41" s="149">
        <f t="shared" si="5"/>
        <v>46600</v>
      </c>
      <c r="B41" s="156"/>
      <c r="C41" s="158"/>
      <c r="D41" s="157"/>
      <c r="H41" s="165">
        <f t="shared" si="4"/>
        <v>46661</v>
      </c>
      <c r="I41" s="160"/>
      <c r="J41" s="158"/>
      <c r="K41" s="158"/>
      <c r="L41" s="157"/>
    </row>
    <row r="42" spans="1:12" ht="12.75" customHeight="1">
      <c r="A42" s="149">
        <f t="shared" si="5"/>
        <v>46784</v>
      </c>
      <c r="B42" s="156"/>
      <c r="C42" s="158"/>
      <c r="D42" s="157"/>
      <c r="H42" s="165">
        <f t="shared" si="4"/>
        <v>46844</v>
      </c>
      <c r="I42" s="160"/>
      <c r="J42" s="158"/>
      <c r="K42" s="158"/>
      <c r="L42" s="157"/>
    </row>
    <row r="43" spans="1:12" ht="12.75" customHeight="1">
      <c r="A43" s="149">
        <f t="shared" si="5"/>
        <v>46966</v>
      </c>
      <c r="B43" s="156"/>
      <c r="C43" s="158"/>
      <c r="D43" s="157"/>
      <c r="H43" s="165">
        <f t="shared" si="4"/>
        <v>47027</v>
      </c>
      <c r="I43" s="160"/>
      <c r="J43" s="158"/>
      <c r="K43" s="158"/>
      <c r="L43" s="157"/>
    </row>
    <row r="44" spans="1:12" ht="12.75" customHeight="1">
      <c r="A44" s="149">
        <f t="shared" si="5"/>
        <v>47150</v>
      </c>
      <c r="B44" s="156"/>
      <c r="C44" s="158"/>
      <c r="D44" s="157"/>
      <c r="H44" s="165">
        <f t="shared" si="4"/>
        <v>47209</v>
      </c>
      <c r="I44" s="160"/>
      <c r="J44" s="158"/>
      <c r="K44" s="158"/>
      <c r="L44" s="157"/>
    </row>
    <row r="45" spans="1:12" ht="12.75" customHeight="1">
      <c r="A45" s="149">
        <f t="shared" si="5"/>
        <v>47331</v>
      </c>
      <c r="B45" s="156"/>
      <c r="C45" s="158"/>
      <c r="D45" s="157"/>
      <c r="H45" s="165">
        <f t="shared" si="4"/>
        <v>47392</v>
      </c>
      <c r="I45" s="160"/>
      <c r="J45" s="158"/>
      <c r="K45" s="158"/>
      <c r="L45" s="157"/>
    </row>
    <row r="46" spans="1:12" ht="12.75" customHeight="1">
      <c r="A46" s="149">
        <f t="shared" si="5"/>
        <v>47515</v>
      </c>
      <c r="B46" s="156"/>
      <c r="C46" s="158"/>
      <c r="D46" s="157"/>
      <c r="H46" s="165">
        <f t="shared" si="4"/>
        <v>47574</v>
      </c>
      <c r="I46" s="160"/>
      <c r="J46" s="158"/>
      <c r="K46" s="158"/>
      <c r="L46" s="157"/>
    </row>
    <row r="47" spans="1:12" ht="12.75" customHeight="1">
      <c r="A47" s="149">
        <f t="shared" si="5"/>
        <v>47696</v>
      </c>
      <c r="B47" s="156"/>
      <c r="C47" s="158"/>
      <c r="D47" s="157"/>
      <c r="H47" s="165">
        <f t="shared" si="4"/>
        <v>47757</v>
      </c>
      <c r="I47" s="160"/>
      <c r="J47" s="158"/>
      <c r="K47" s="158"/>
      <c r="L47" s="157"/>
    </row>
    <row r="48" spans="1:12" ht="12.75" customHeight="1">
      <c r="A48" s="149">
        <f t="shared" si="5"/>
        <v>47880</v>
      </c>
      <c r="B48" s="156"/>
      <c r="C48" s="158"/>
      <c r="D48" s="157"/>
      <c r="H48" s="165">
        <f t="shared" si="4"/>
        <v>47939</v>
      </c>
      <c r="I48" s="160"/>
      <c r="J48" s="158"/>
      <c r="K48" s="158"/>
      <c r="L48" s="157"/>
    </row>
    <row r="49" spans="1:12" ht="12.75" customHeight="1">
      <c r="A49" s="149">
        <f t="shared" si="5"/>
        <v>48061</v>
      </c>
      <c r="B49" s="156"/>
      <c r="C49" s="158"/>
      <c r="D49" s="157"/>
      <c r="H49" s="165">
        <f t="shared" si="4"/>
        <v>48122</v>
      </c>
      <c r="I49" s="160"/>
      <c r="J49" s="158"/>
      <c r="K49" s="158"/>
      <c r="L49" s="157"/>
    </row>
    <row r="50" spans="1:12" ht="12.75" customHeight="1">
      <c r="A50" s="149">
        <f t="shared" si="5"/>
        <v>48245</v>
      </c>
      <c r="B50" s="156"/>
      <c r="C50" s="158"/>
      <c r="D50" s="157"/>
      <c r="H50" s="165">
        <f t="shared" si="4"/>
        <v>48305</v>
      </c>
      <c r="I50" s="160"/>
      <c r="J50" s="158"/>
      <c r="K50" s="158"/>
      <c r="L50" s="157"/>
    </row>
    <row r="51" spans="1:12" ht="12.75" customHeight="1">
      <c r="A51" s="149">
        <f t="shared" si="5"/>
        <v>48427</v>
      </c>
      <c r="B51" s="156"/>
      <c r="C51" s="158"/>
      <c r="D51" s="157"/>
      <c r="H51" s="165">
        <f t="shared" si="4"/>
        <v>48488</v>
      </c>
      <c r="I51" s="160"/>
      <c r="J51" s="158"/>
      <c r="K51" s="158"/>
      <c r="L51" s="157"/>
    </row>
    <row r="52" spans="1:12" ht="12.75" customHeight="1">
      <c r="A52" s="149">
        <f t="shared" si="5"/>
        <v>48611</v>
      </c>
      <c r="B52" s="156"/>
      <c r="C52" s="158"/>
      <c r="D52" s="157"/>
      <c r="H52" s="165">
        <f t="shared" si="4"/>
        <v>48670</v>
      </c>
      <c r="I52" s="160"/>
      <c r="J52" s="158"/>
      <c r="K52" s="158"/>
      <c r="L52" s="157"/>
    </row>
    <row r="53" spans="1:12" ht="12.75" customHeight="1">
      <c r="A53" s="149">
        <f t="shared" si="5"/>
        <v>48792</v>
      </c>
      <c r="B53" s="156"/>
      <c r="C53" s="158"/>
      <c r="D53" s="157"/>
      <c r="H53" s="165">
        <f t="shared" si="4"/>
        <v>48853</v>
      </c>
      <c r="I53" s="160"/>
      <c r="J53" s="158"/>
      <c r="K53" s="158"/>
      <c r="L53" s="157"/>
    </row>
    <row r="54" spans="1:12" ht="12.75" customHeight="1">
      <c r="A54" s="149">
        <f t="shared" si="5"/>
        <v>48976</v>
      </c>
      <c r="B54" s="156"/>
      <c r="C54" s="158"/>
      <c r="D54" s="157"/>
      <c r="H54" s="165">
        <f t="shared" si="4"/>
        <v>49035</v>
      </c>
      <c r="I54" s="160"/>
      <c r="J54" s="158"/>
      <c r="K54" s="158"/>
      <c r="L54" s="157"/>
    </row>
    <row r="55" spans="1:12" ht="12.75" customHeight="1">
      <c r="A55" s="149">
        <f t="shared" si="5"/>
        <v>49157</v>
      </c>
      <c r="B55" s="156"/>
      <c r="C55" s="158"/>
      <c r="D55" s="157"/>
      <c r="H55" s="165">
        <f t="shared" si="4"/>
        <v>49218</v>
      </c>
      <c r="I55" s="160"/>
      <c r="J55" s="158"/>
      <c r="K55" s="158"/>
      <c r="L55" s="157"/>
    </row>
    <row r="56" spans="1:12" ht="12.75" customHeight="1">
      <c r="A56" s="149">
        <f t="shared" si="5"/>
        <v>49341</v>
      </c>
      <c r="B56" s="156"/>
      <c r="C56" s="158"/>
      <c r="D56" s="157"/>
      <c r="H56" s="165">
        <f t="shared" si="4"/>
        <v>49400</v>
      </c>
      <c r="I56" s="160"/>
      <c r="J56" s="158"/>
      <c r="K56" s="158"/>
      <c r="L56" s="157"/>
    </row>
    <row r="57" spans="1:12" ht="12.75" customHeight="1">
      <c r="A57" s="149">
        <f t="shared" si="5"/>
        <v>49522</v>
      </c>
      <c r="B57" s="156"/>
      <c r="C57" s="158"/>
      <c r="D57" s="157"/>
      <c r="H57" s="165">
        <f t="shared" si="4"/>
        <v>49583</v>
      </c>
      <c r="I57" s="160"/>
      <c r="J57" s="158"/>
      <c r="K57" s="158"/>
      <c r="L57" s="157"/>
    </row>
    <row r="58" spans="1:12" ht="12.75" customHeight="1">
      <c r="A58" s="149">
        <f t="shared" si="5"/>
        <v>49706</v>
      </c>
      <c r="B58" s="156"/>
      <c r="C58" s="158"/>
      <c r="D58" s="157"/>
      <c r="H58" s="165">
        <f t="shared" si="4"/>
        <v>49766</v>
      </c>
      <c r="I58" s="160"/>
      <c r="J58" s="158"/>
      <c r="K58" s="158"/>
      <c r="L58" s="157"/>
    </row>
    <row r="59" spans="1:12" ht="12.75" customHeight="1">
      <c r="A59" s="149">
        <f t="shared" si="5"/>
        <v>49888</v>
      </c>
      <c r="B59" s="156"/>
      <c r="C59" s="158"/>
      <c r="D59" s="157"/>
      <c r="H59" s="165">
        <f t="shared" si="4"/>
        <v>49949</v>
      </c>
      <c r="I59" s="160"/>
      <c r="J59" s="158"/>
      <c r="K59" s="158"/>
      <c r="L59" s="157"/>
    </row>
    <row r="60" spans="1:12" ht="12.75" customHeight="1">
      <c r="A60" s="149">
        <f t="shared" si="5"/>
        <v>50072</v>
      </c>
      <c r="B60" s="156"/>
      <c r="C60" s="158"/>
      <c r="D60" s="157"/>
      <c r="H60" s="165">
        <f t="shared" si="4"/>
        <v>50131</v>
      </c>
      <c r="I60" s="160"/>
      <c r="J60" s="158"/>
      <c r="K60" s="158"/>
      <c r="L60" s="157"/>
    </row>
    <row r="61" spans="1:12" ht="12.75" customHeight="1">
      <c r="A61" s="149">
        <f t="shared" si="5"/>
        <v>50253</v>
      </c>
      <c r="B61" s="156"/>
      <c r="C61" s="158"/>
      <c r="D61" s="157"/>
      <c r="H61" s="165">
        <f t="shared" si="4"/>
        <v>50314</v>
      </c>
      <c r="I61" s="160"/>
      <c r="J61" s="158"/>
      <c r="K61" s="158"/>
      <c r="L61" s="157"/>
    </row>
    <row r="62" spans="1:12" ht="12.75" customHeight="1">
      <c r="A62" s="149">
        <f t="shared" si="5"/>
        <v>50437</v>
      </c>
      <c r="B62" s="156"/>
      <c r="C62" s="158"/>
      <c r="D62" s="157"/>
      <c r="H62" s="165">
        <f t="shared" si="4"/>
        <v>50496</v>
      </c>
      <c r="I62" s="160"/>
      <c r="J62" s="158"/>
      <c r="K62" s="158"/>
      <c r="L62" s="157"/>
    </row>
    <row r="63" spans="1:12" ht="13.5" customHeight="1" thickBot="1">
      <c r="A63" s="168">
        <v>53</v>
      </c>
      <c r="B63" s="169"/>
      <c r="C63" s="170"/>
      <c r="D63" s="171"/>
      <c r="H63" s="172"/>
      <c r="I63" s="173"/>
      <c r="J63" s="170"/>
      <c r="K63" s="170"/>
      <c r="L63" s="171"/>
    </row>
    <row r="64" spans="1:12" ht="12.75" customHeight="1">
      <c r="B64" s="174">
        <f>AVERAGE(B3:B63)</f>
        <v>9.3743480725623565E-3</v>
      </c>
      <c r="C64" s="175">
        <f ca="1">AVERAGE(C2:C63)</f>
        <v>500.94749152054669</v>
      </c>
      <c r="D64" s="176">
        <f ca="1">AVERAGE(D3:D63)</f>
        <v>-21.383104121331804</v>
      </c>
      <c r="L64" s="176">
        <f>AVERAGE(L3:L63)</f>
        <v>-7008.5009999999993</v>
      </c>
    </row>
    <row r="66" spans="4:12">
      <c r="D66" t="s">
        <v>173</v>
      </c>
      <c r="F66" s="153">
        <f>SUM(F2:F63)</f>
        <v>63731.039999999994</v>
      </c>
      <c r="L66" t="s">
        <v>173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topLeftCell="A40" workbookViewId="0">
      <selection activeCell="G55" sqref="G55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174</v>
      </c>
      <c r="G8">
        <v>386785</v>
      </c>
    </row>
    <row r="9" spans="3:8">
      <c r="F9" t="s">
        <v>175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176</v>
      </c>
    </row>
    <row r="21" spans="1:9">
      <c r="B21" t="s">
        <v>177</v>
      </c>
      <c r="C21" s="177"/>
      <c r="F21" t="s">
        <v>178</v>
      </c>
    </row>
    <row r="22" spans="1:9">
      <c r="B22" t="s">
        <v>179</v>
      </c>
      <c r="C22" s="177"/>
      <c r="F22" t="s">
        <v>180</v>
      </c>
    </row>
    <row r="23" spans="1:9">
      <c r="B23" t="s">
        <v>181</v>
      </c>
      <c r="C23" t="s">
        <v>414</v>
      </c>
      <c r="I23" s="128"/>
    </row>
    <row r="26" spans="1:9">
      <c r="B26" s="128" t="s">
        <v>19</v>
      </c>
    </row>
    <row r="27" spans="1:9">
      <c r="B27" t="s">
        <v>182</v>
      </c>
    </row>
    <row r="28" spans="1:9">
      <c r="B28" s="131"/>
      <c r="C28" s="128"/>
      <c r="D28" s="128"/>
      <c r="E28" s="131"/>
      <c r="F28" s="131"/>
    </row>
    <row r="33" spans="1:9" ht="150">
      <c r="B33" s="178" t="s">
        <v>183</v>
      </c>
      <c r="I33" s="178" t="s">
        <v>190</v>
      </c>
    </row>
    <row r="34" spans="1:9">
      <c r="B34" s="179" t="s">
        <v>184</v>
      </c>
      <c r="I34" t="s">
        <v>191</v>
      </c>
    </row>
    <row r="35" spans="1:9">
      <c r="B35" t="s">
        <v>185</v>
      </c>
      <c r="I35" t="s">
        <v>192</v>
      </c>
    </row>
    <row r="36" spans="1:9">
      <c r="B36" t="s">
        <v>186</v>
      </c>
    </row>
    <row r="38" spans="1:9">
      <c r="B38" t="s">
        <v>187</v>
      </c>
    </row>
    <row r="41" spans="1:9">
      <c r="A41" t="s">
        <v>188</v>
      </c>
      <c r="B41" t="s">
        <v>189</v>
      </c>
    </row>
    <row r="45" spans="1:9">
      <c r="A45" t="s">
        <v>354</v>
      </c>
      <c r="B45" t="s">
        <v>74</v>
      </c>
    </row>
    <row r="47" spans="1:9">
      <c r="A47" t="s">
        <v>514</v>
      </c>
      <c r="B47" t="s">
        <v>416</v>
      </c>
    </row>
    <row r="48" spans="1:9">
      <c r="A48" t="s">
        <v>415</v>
      </c>
      <c r="B48" t="s">
        <v>416</v>
      </c>
    </row>
    <row r="49" spans="1:2">
      <c r="A49" t="s">
        <v>59</v>
      </c>
      <c r="B49" t="s">
        <v>416</v>
      </c>
    </row>
    <row r="50" spans="1:2">
      <c r="A50" t="s">
        <v>418</v>
      </c>
      <c r="B50" t="s">
        <v>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274" workbookViewId="0">
      <selection activeCell="B282" sqref="B282:G28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32" t="s">
        <v>70</v>
      </c>
      <c r="J4" s="33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3">
        <v>1462.46</v>
      </c>
      <c r="L5" s="274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3">
        <v>423.18</v>
      </c>
      <c r="L6" s="264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63">
        <v>7102.9</v>
      </c>
      <c r="L7" s="264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3">
        <v>1250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63">
        <v>100.34</v>
      </c>
      <c r="L9" s="264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63">
        <f>5007.8</f>
        <v>5007.8</v>
      </c>
      <c r="L10" s="264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63">
        <v>1566.09</v>
      </c>
      <c r="L11" s="264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 t="s">
        <v>76</v>
      </c>
      <c r="J12" s="36" t="s">
        <v>115</v>
      </c>
      <c r="K12" s="263">
        <v>1800</v>
      </c>
      <c r="L12" s="264"/>
      <c r="N12" s="1"/>
      <c r="R12" s="3"/>
    </row>
    <row r="13" spans="1:22" ht="15.75">
      <c r="A13" s="1"/>
      <c r="B13" s="68">
        <v>55</v>
      </c>
      <c r="C13" s="34" t="s">
        <v>198</v>
      </c>
      <c r="D13" s="70">
        <v>50</v>
      </c>
      <c r="E13" s="71"/>
      <c r="F13" s="71"/>
      <c r="G13" s="34" t="s">
        <v>220</v>
      </c>
      <c r="H13" s="1"/>
      <c r="I13" s="75" t="s">
        <v>93</v>
      </c>
      <c r="J13" s="36" t="s">
        <v>94</v>
      </c>
      <c r="K13" s="263">
        <f>75+20+95</f>
        <v>190</v>
      </c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63"/>
      <c r="L14" s="26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SUM(K5:K18)-K11</f>
        <v>17336.68</v>
      </c>
      <c r="L19" s="280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4</v>
      </c>
      <c r="J25" s="3" t="s">
        <v>212</v>
      </c>
      <c r="K25" s="273">
        <v>1.01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4</v>
      </c>
      <c r="J26" s="36" t="s">
        <v>213</v>
      </c>
      <c r="K26" s="263">
        <v>0.04</v>
      </c>
      <c r="L26" s="26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4">
        <v>4</v>
      </c>
      <c r="J27" s="36" t="s">
        <v>215</v>
      </c>
      <c r="K27" s="263">
        <v>2831.41</v>
      </c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2</v>
      </c>
      <c r="J28" s="36" t="s">
        <v>218</v>
      </c>
      <c r="K28" s="263">
        <v>72.66</v>
      </c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6</v>
      </c>
      <c r="J29" s="36" t="s">
        <v>226</v>
      </c>
      <c r="K29" s="263">
        <v>93.93</v>
      </c>
      <c r="L29" s="264"/>
      <c r="M29" s="1"/>
      <c r="R29" s="3"/>
    </row>
    <row r="30" spans="1:18" ht="15.75">
      <c r="A30" s="1"/>
      <c r="B30" s="68">
        <v>229.4</v>
      </c>
      <c r="C30" s="79" t="s">
        <v>259</v>
      </c>
      <c r="D30" s="70"/>
      <c r="E30" s="71"/>
      <c r="F30" s="71"/>
      <c r="G30" s="34"/>
      <c r="H30" s="1"/>
      <c r="I30" s="194">
        <v>5</v>
      </c>
      <c r="J30" s="36" t="s">
        <v>244</v>
      </c>
      <c r="K30" s="263">
        <v>700</v>
      </c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>
        <v>5</v>
      </c>
      <c r="J31" s="36" t="s">
        <v>245</v>
      </c>
      <c r="K31" s="263">
        <v>50</v>
      </c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>
        <v>9</v>
      </c>
      <c r="J32" s="36" t="s">
        <v>44</v>
      </c>
      <c r="K32" s="263">
        <v>229.4</v>
      </c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>
        <v>4</v>
      </c>
      <c r="J33" s="36" t="s">
        <v>264</v>
      </c>
      <c r="K33" s="263">
        <v>0.05</v>
      </c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>
        <v>9</v>
      </c>
      <c r="J34" s="36" t="s">
        <v>265</v>
      </c>
      <c r="K34" s="263">
        <v>1566.27</v>
      </c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>
        <v>5</v>
      </c>
      <c r="J35" s="36" t="s">
        <v>278</v>
      </c>
      <c r="K35" s="263">
        <v>449</v>
      </c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>
        <v>2</v>
      </c>
      <c r="J36" s="36" t="s">
        <v>279</v>
      </c>
      <c r="K36" s="263">
        <v>314.12</v>
      </c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253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210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225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234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273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244</v>
      </c>
      <c r="D167" s="70"/>
      <c r="E167" s="71"/>
      <c r="F167" s="71">
        <f>78</f>
        <v>78</v>
      </c>
      <c r="G167" s="34" t="s">
        <v>247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255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230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232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236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238</v>
      </c>
    </row>
    <row r="192" spans="1:22">
      <c r="B192" s="68"/>
      <c r="C192" s="34"/>
      <c r="D192" s="70"/>
      <c r="E192" s="71"/>
      <c r="F192" s="71">
        <v>5</v>
      </c>
      <c r="G192" s="34" t="s">
        <v>249</v>
      </c>
    </row>
    <row r="193" spans="2:7">
      <c r="B193" s="68"/>
      <c r="C193" s="34"/>
      <c r="D193" s="70">
        <v>51.9</v>
      </c>
      <c r="E193" s="71"/>
      <c r="F193" s="71"/>
      <c r="G193" s="34" t="s">
        <v>258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246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263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231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208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8" ht="15" customHeight="1" thickBot="1">
      <c r="B283" s="268"/>
      <c r="C283" s="269"/>
      <c r="D283" s="269"/>
      <c r="E283" s="269"/>
      <c r="F283" s="269"/>
      <c r="G283" s="270"/>
    </row>
    <row r="284" spans="2:8">
      <c r="B284" s="276" t="s">
        <v>10</v>
      </c>
      <c r="C284" s="277"/>
      <c r="D284" s="278" t="s">
        <v>11</v>
      </c>
      <c r="E284" s="278"/>
      <c r="F284" s="278"/>
      <c r="G284" s="277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221</v>
      </c>
    </row>
    <row r="287" spans="2:8">
      <c r="B287" s="68">
        <v>345</v>
      </c>
      <c r="C287" s="34" t="s">
        <v>217</v>
      </c>
      <c r="D287" s="70">
        <f>116.33+27.98+20</f>
        <v>164.31</v>
      </c>
      <c r="E287" s="71">
        <f>38+43.59</f>
        <v>81.59</v>
      </c>
      <c r="F287" s="71"/>
      <c r="G287" s="34" t="s">
        <v>223</v>
      </c>
      <c r="H287" s="182">
        <f>300-(D287+E287+F287)</f>
        <v>54.099999999999994</v>
      </c>
    </row>
    <row r="288" spans="2:8">
      <c r="B288" s="68">
        <v>449</v>
      </c>
      <c r="C288" s="34" t="s">
        <v>277</v>
      </c>
      <c r="D288" s="70">
        <f>8.98</f>
        <v>8.98</v>
      </c>
      <c r="E288" s="71"/>
      <c r="F288" s="71"/>
      <c r="G288" s="34" t="s">
        <v>224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233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237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239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243</v>
      </c>
      <c r="H292" s="182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251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252</v>
      </c>
    </row>
    <row r="296" spans="2:8">
      <c r="B296" s="68"/>
      <c r="C296" s="34"/>
      <c r="D296" s="70">
        <v>449</v>
      </c>
      <c r="E296" s="71"/>
      <c r="F296" s="71"/>
      <c r="G296" s="34" t="s">
        <v>257</v>
      </c>
      <c r="H296" s="182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260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8" ht="15" customHeight="1" thickBot="1">
      <c r="B303" s="268"/>
      <c r="C303" s="269"/>
      <c r="D303" s="269"/>
      <c r="E303" s="269"/>
      <c r="F303" s="269"/>
      <c r="G303" s="270"/>
    </row>
    <row r="304" spans="2:8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219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228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242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272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250</v>
      </c>
    </row>
    <row r="347" spans="2:7">
      <c r="B347" s="68"/>
      <c r="C347" s="34"/>
      <c r="D347" s="70">
        <v>266.13</v>
      </c>
      <c r="E347" s="71"/>
      <c r="F347" s="71"/>
      <c r="G347" s="34" t="s">
        <v>276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274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211</v>
      </c>
      <c r="D406" s="70">
        <f>30.78+12.1</f>
        <v>42.88</v>
      </c>
      <c r="E406" s="71"/>
      <c r="F406" s="71"/>
      <c r="G406" s="34" t="s">
        <v>240</v>
      </c>
    </row>
    <row r="407" spans="2:7">
      <c r="B407" s="68">
        <f>2831.41-345</f>
        <v>2486.41</v>
      </c>
      <c r="C407" s="34" t="s">
        <v>216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66"/>
      <c r="D422" s="266"/>
      <c r="E422" s="266"/>
      <c r="F422" s="266"/>
      <c r="G422" s="267"/>
    </row>
    <row r="423" spans="2:7" ht="15" customHeight="1" thickBot="1">
      <c r="B423" s="268"/>
      <c r="C423" s="269"/>
      <c r="D423" s="269"/>
      <c r="E423" s="269"/>
      <c r="F423" s="269"/>
      <c r="G423" s="270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280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66"/>
      <c r="D442" s="266"/>
      <c r="E442" s="266"/>
      <c r="F442" s="266"/>
      <c r="G442" s="267"/>
    </row>
    <row r="443" spans="2:7" ht="15" customHeight="1" thickBot="1">
      <c r="B443" s="268"/>
      <c r="C443" s="269"/>
      <c r="D443" s="269"/>
      <c r="E443" s="269"/>
      <c r="F443" s="269"/>
      <c r="G443" s="270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267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66"/>
      <c r="D462" s="266"/>
      <c r="E462" s="266"/>
      <c r="F462" s="266"/>
      <c r="G462" s="267"/>
    </row>
    <row r="463" spans="2:7" ht="15" customHeight="1" thickBot="1">
      <c r="B463" s="268"/>
      <c r="C463" s="269"/>
      <c r="D463" s="269"/>
      <c r="E463" s="269"/>
      <c r="F463" s="269"/>
      <c r="G463" s="270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66"/>
      <c r="D482" s="266"/>
      <c r="E482" s="266"/>
      <c r="F482" s="266"/>
      <c r="G482" s="267"/>
    </row>
    <row r="483" spans="2:7" ht="15" customHeight="1" thickBot="1">
      <c r="B483" s="268"/>
      <c r="C483" s="269"/>
      <c r="D483" s="269"/>
      <c r="E483" s="269"/>
      <c r="F483" s="269"/>
      <c r="G483" s="270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66"/>
      <c r="D502" s="266"/>
      <c r="E502" s="266"/>
      <c r="F502" s="266"/>
      <c r="G502" s="267"/>
    </row>
    <row r="503" spans="2:7" ht="15" customHeight="1" thickBot="1">
      <c r="B503" s="268"/>
      <c r="C503" s="269"/>
      <c r="D503" s="269"/>
      <c r="E503" s="269"/>
      <c r="F503" s="269"/>
      <c r="G503" s="270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B2" sqref="B2:G20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32" t="s">
        <v>70</v>
      </c>
      <c r="J4" s="33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3">
        <v>1295.79</v>
      </c>
      <c r="L5" s="274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3">
        <v>379.61</v>
      </c>
      <c r="L6" s="264"/>
      <c r="M6" s="1" t="s">
        <v>269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63">
        <v>7271.78</v>
      </c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63">
        <v>9090.56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270</v>
      </c>
      <c r="K9" s="263">
        <v>69.22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3">
        <f>290+20</f>
        <v>310</v>
      </c>
      <c r="L11" s="264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/>
      <c r="J12" s="36"/>
      <c r="K12" s="263"/>
      <c r="L12" s="264"/>
      <c r="N12" s="1"/>
      <c r="R12" s="3"/>
    </row>
    <row r="13" spans="1:22" ht="15.75">
      <c r="A13" s="1"/>
      <c r="B13" s="68">
        <v>55</v>
      </c>
      <c r="C13" s="34" t="s">
        <v>198</v>
      </c>
      <c r="D13" s="70"/>
      <c r="E13" s="71"/>
      <c r="F13" s="71"/>
      <c r="G13" s="34"/>
      <c r="H13" s="1"/>
      <c r="I13" s="75"/>
      <c r="J13" s="36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63"/>
      <c r="L14" s="26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20217</v>
      </c>
      <c r="L19" s="280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281</v>
      </c>
      <c r="K25" s="263">
        <v>176.46</v>
      </c>
      <c r="L25" s="26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282</v>
      </c>
      <c r="K26" s="263">
        <v>47.52</v>
      </c>
      <c r="L26" s="26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4">
        <v>6</v>
      </c>
      <c r="J27" s="36" t="s">
        <v>226</v>
      </c>
      <c r="K27" s="263">
        <v>93.93</v>
      </c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5</v>
      </c>
      <c r="J28" s="36" t="s">
        <v>312</v>
      </c>
      <c r="K28" s="263">
        <v>447.43</v>
      </c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1</v>
      </c>
      <c r="J29" s="36" t="s">
        <v>315</v>
      </c>
      <c r="K29" s="263">
        <v>1638.24</v>
      </c>
      <c r="L29" s="264"/>
      <c r="M29" s="1"/>
      <c r="R29" s="3"/>
    </row>
    <row r="30" spans="1:18" ht="15.75">
      <c r="A30" s="1"/>
      <c r="B30" s="68">
        <v>47.52</v>
      </c>
      <c r="C30" s="79" t="s">
        <v>283</v>
      </c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293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284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285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210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300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304</v>
      </c>
      <c r="H70" s="1"/>
      <c r="M70" s="1"/>
      <c r="R70" s="3"/>
    </row>
    <row r="71" spans="1:18" ht="15.75">
      <c r="A71" s="1"/>
      <c r="B71" s="68">
        <v>51</v>
      </c>
      <c r="C71" s="34" t="s">
        <v>309</v>
      </c>
      <c r="D71" s="70">
        <v>26</v>
      </c>
      <c r="E71" s="71"/>
      <c r="F71" s="71">
        <v>25</v>
      </c>
      <c r="G71" s="34" t="s">
        <v>308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294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311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8" ht="15" customHeight="1" thickBot="1">
      <c r="B283" s="268"/>
      <c r="C283" s="269"/>
      <c r="D283" s="269"/>
      <c r="E283" s="269"/>
      <c r="F283" s="269"/>
      <c r="G283" s="270"/>
    </row>
    <row r="284" spans="2:8">
      <c r="B284" s="276" t="s">
        <v>10</v>
      </c>
      <c r="C284" s="277"/>
      <c r="D284" s="278" t="s">
        <v>11</v>
      </c>
      <c r="E284" s="278"/>
      <c r="F284" s="278"/>
      <c r="G284" s="277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291</v>
      </c>
    </row>
    <row r="287" spans="2:8">
      <c r="B287" s="68"/>
      <c r="C287" s="34"/>
      <c r="D287" s="70">
        <v>54.1</v>
      </c>
      <c r="E287" s="71"/>
      <c r="F287" s="71"/>
      <c r="G287" s="34" t="s">
        <v>292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243</v>
      </c>
      <c r="H288" s="179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219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242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299</v>
      </c>
    </row>
    <row r="311" spans="2:7">
      <c r="B311" s="68"/>
      <c r="C311" s="34"/>
      <c r="D311" s="70">
        <v>40</v>
      </c>
      <c r="E311" s="71"/>
      <c r="F311" s="71"/>
      <c r="G311" s="34" t="s">
        <v>301</v>
      </c>
    </row>
    <row r="312" spans="2:7">
      <c r="B312" s="68"/>
      <c r="C312" s="34"/>
      <c r="D312" s="70">
        <v>57</v>
      </c>
      <c r="E312" s="71"/>
      <c r="F312" s="71"/>
      <c r="G312" s="34" t="s">
        <v>303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289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298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313</v>
      </c>
      <c r="D406" s="70">
        <v>56.01</v>
      </c>
      <c r="E406" s="71"/>
      <c r="F406" s="71"/>
      <c r="G406" s="34" t="s">
        <v>305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313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B1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32" t="s">
        <v>70</v>
      </c>
      <c r="J4" s="33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3">
        <v>1852.76</v>
      </c>
      <c r="L5" s="274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3">
        <v>335.99</v>
      </c>
      <c r="L6" s="264"/>
      <c r="M6" s="1" t="s">
        <v>269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63">
        <v>7882.01</v>
      </c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3">
        <v>3390.56</v>
      </c>
      <c r="L8" s="264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270</v>
      </c>
      <c r="K9" s="263">
        <v>621.13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3">
        <f>30+40+170</f>
        <v>240</v>
      </c>
      <c r="L11" s="264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 t="s">
        <v>306</v>
      </c>
      <c r="J12" s="36" t="s">
        <v>307</v>
      </c>
      <c r="K12" s="263">
        <v>5092.08</v>
      </c>
      <c r="L12" s="264"/>
      <c r="M12" s="182" t="s">
        <v>310</v>
      </c>
      <c r="N12" s="1"/>
      <c r="R12" s="3"/>
    </row>
    <row r="13" spans="1:22" ht="15.75">
      <c r="A13" s="1"/>
      <c r="B13" s="68">
        <v>55</v>
      </c>
      <c r="C13" s="34" t="s">
        <v>198</v>
      </c>
      <c r="D13" s="70"/>
      <c r="E13" s="71">
        <v>14.98</v>
      </c>
      <c r="F13" s="71"/>
      <c r="G13" s="34" t="s">
        <v>318</v>
      </c>
      <c r="H13" s="1"/>
      <c r="I13" s="75"/>
      <c r="J13" s="36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63"/>
      <c r="L14" s="26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21214.57</v>
      </c>
      <c r="L19" s="280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279</v>
      </c>
      <c r="K25" s="273">
        <v>259.36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327</v>
      </c>
      <c r="K26" s="263">
        <v>176.46</v>
      </c>
      <c r="L26" s="264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324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210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316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326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320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330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291</v>
      </c>
    </row>
    <row r="189" spans="1:22">
      <c r="B189" s="68"/>
      <c r="C189" s="34"/>
      <c r="D189" s="70"/>
      <c r="E189" s="71"/>
      <c r="F189" s="71">
        <v>20</v>
      </c>
      <c r="G189" s="34" t="s">
        <v>334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335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323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325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319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291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219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321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333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32" t="s">
        <v>70</v>
      </c>
      <c r="J4" s="33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3">
        <v>1117.3699999999999</v>
      </c>
      <c r="L5" s="274"/>
      <c r="M5" s="117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63">
        <v>292.37</v>
      </c>
      <c r="L6" s="264"/>
      <c r="M6" s="1" t="s">
        <v>269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63">
        <f>6685.64-16.84-6.88</f>
        <v>6661.92</v>
      </c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63">
        <v>5000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270</v>
      </c>
      <c r="K9" s="263">
        <v>621.13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3">
        <f>90+30+15</f>
        <v>135</v>
      </c>
      <c r="L11" s="264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 t="s">
        <v>306</v>
      </c>
      <c r="J12" s="36" t="s">
        <v>307</v>
      </c>
      <c r="K12" s="263">
        <v>5092.08</v>
      </c>
      <c r="L12" s="264"/>
      <c r="M12" s="182"/>
      <c r="N12" s="1"/>
      <c r="R12" s="3"/>
    </row>
    <row r="13" spans="1:22" ht="15.75">
      <c r="A13" s="1"/>
      <c r="B13" s="68">
        <v>50</v>
      </c>
      <c r="C13" s="34" t="s">
        <v>198</v>
      </c>
      <c r="D13" s="70">
        <v>82.95</v>
      </c>
      <c r="E13" s="71"/>
      <c r="F13" s="71"/>
      <c r="G13" s="34" t="s">
        <v>355</v>
      </c>
      <c r="H13" s="1"/>
      <c r="I13" s="75"/>
      <c r="J13" s="36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63"/>
      <c r="L14" s="264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75"/>
      <c r="J15" s="36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20719.909999999996</v>
      </c>
      <c r="L19" s="280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279</v>
      </c>
      <c r="K25" s="273">
        <v>249.22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339</v>
      </c>
      <c r="K26" s="263">
        <v>197.22</v>
      </c>
      <c r="L26" s="26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4">
        <v>6</v>
      </c>
      <c r="J27" s="36" t="s">
        <v>358</v>
      </c>
      <c r="K27" s="263">
        <v>2290.23</v>
      </c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4">
        <v>5</v>
      </c>
      <c r="J28" s="36" t="s">
        <v>359</v>
      </c>
      <c r="K28" s="263">
        <v>80.099999999999994</v>
      </c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>
        <v>4</v>
      </c>
      <c r="J29" s="36" t="s">
        <v>360</v>
      </c>
      <c r="K29" s="263">
        <v>0.03</v>
      </c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>
        <v>2</v>
      </c>
      <c r="J30" s="36" t="s">
        <v>279</v>
      </c>
      <c r="K30" s="263">
        <v>325.64</v>
      </c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332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260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304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341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345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210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353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>
        <v>7.99</v>
      </c>
      <c r="F128" s="71"/>
      <c r="G128" s="34" t="s">
        <v>340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335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311</v>
      </c>
      <c r="D167" s="70"/>
      <c r="E167" s="71">
        <f>80.1</f>
        <v>80.099999999999994</v>
      </c>
      <c r="F167" s="71"/>
      <c r="G167" s="34" t="s">
        <v>271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350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346</v>
      </c>
    </row>
    <row r="208" spans="2:7">
      <c r="B208" s="68"/>
      <c r="C208" s="34"/>
      <c r="D208" s="70">
        <v>7.04</v>
      </c>
      <c r="E208" s="71"/>
      <c r="F208" s="71"/>
      <c r="G208" s="34" t="s">
        <v>348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>
        <v>6</v>
      </c>
      <c r="E250" s="71"/>
      <c r="F250" s="71"/>
      <c r="G250" s="34" t="s">
        <v>343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352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336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342</v>
      </c>
    </row>
    <row r="288" spans="2:7">
      <c r="B288" s="68"/>
      <c r="C288" s="34"/>
      <c r="D288" s="70">
        <v>22.15</v>
      </c>
      <c r="E288" s="71"/>
      <c r="F288" s="71"/>
      <c r="G288" s="34" t="s">
        <v>347</v>
      </c>
    </row>
    <row r="289" spans="2:7">
      <c r="B289" s="68"/>
      <c r="C289" s="34"/>
      <c r="D289" s="70">
        <v>198</v>
      </c>
      <c r="E289" s="71"/>
      <c r="F289" s="71"/>
      <c r="G289" s="34" t="s">
        <v>351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242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349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357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356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360</v>
      </c>
      <c r="D406" s="70"/>
      <c r="E406" s="71">
        <v>20</v>
      </c>
      <c r="F406" s="71"/>
      <c r="G406" s="34" t="s">
        <v>344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361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363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32" t="s">
        <v>70</v>
      </c>
      <c r="J4" s="33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3">
        <v>1091.18</v>
      </c>
      <c r="L5" s="274"/>
      <c r="M5" s="117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63">
        <v>248.78</v>
      </c>
      <c r="L6" s="264"/>
      <c r="M6" s="1" t="s">
        <v>269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63">
        <v>8736.65</v>
      </c>
      <c r="L7" s="264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3">
        <v>5000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270</v>
      </c>
      <c r="K9" s="263">
        <v>621.13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3">
        <f>40+276</f>
        <v>316</v>
      </c>
      <c r="L11" s="264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f>43.62</f>
        <v>43.62</v>
      </c>
      <c r="F12" s="71"/>
      <c r="G12" s="34" t="s">
        <v>227</v>
      </c>
      <c r="H12" s="1"/>
      <c r="I12" s="75" t="s">
        <v>306</v>
      </c>
      <c r="J12" s="36" t="s">
        <v>307</v>
      </c>
      <c r="K12" s="263">
        <v>5092.08</v>
      </c>
      <c r="L12" s="264"/>
      <c r="M12" s="182"/>
      <c r="N12" s="1"/>
      <c r="R12" s="3"/>
    </row>
    <row r="13" spans="1:22" ht="15.75">
      <c r="A13" s="1"/>
      <c r="B13" s="68">
        <v>50</v>
      </c>
      <c r="C13" s="34" t="s">
        <v>198</v>
      </c>
      <c r="D13" s="70"/>
      <c r="E13" s="71"/>
      <c r="F13" s="71"/>
      <c r="G13" s="34"/>
      <c r="H13" s="1"/>
      <c r="I13" s="75"/>
      <c r="J13" s="36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63"/>
      <c r="L14" s="264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75"/>
      <c r="J15" s="36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22905.86</v>
      </c>
      <c r="L19" s="280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5</v>
      </c>
      <c r="J25" s="3" t="s">
        <v>364</v>
      </c>
      <c r="K25" s="273">
        <v>38.64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279</v>
      </c>
      <c r="K26" s="263">
        <v>249.22</v>
      </c>
      <c r="L26" s="26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339</v>
      </c>
      <c r="K27" s="263">
        <v>155.69999999999999</v>
      </c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338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210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368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370</v>
      </c>
      <c r="D68" s="70">
        <f>50+100</f>
        <v>150</v>
      </c>
      <c r="E68" s="71"/>
      <c r="F68" s="71">
        <f>35+38</f>
        <v>73</v>
      </c>
      <c r="G68" s="34" t="s">
        <v>370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371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380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341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>
        <v>8</v>
      </c>
      <c r="F128" s="71"/>
      <c r="G128" s="34" t="s">
        <v>340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392</v>
      </c>
    </row>
    <row r="189" spans="1:22">
      <c r="B189" s="68"/>
      <c r="C189" s="34"/>
      <c r="D189" s="70">
        <v>18</v>
      </c>
      <c r="E189" s="71"/>
      <c r="F189" s="71"/>
      <c r="G189" s="34" t="s">
        <v>393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>
        <v>3.99</v>
      </c>
      <c r="E250" s="71"/>
      <c r="F250" s="71"/>
      <c r="G250" s="34" t="s">
        <v>389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366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367</v>
      </c>
    </row>
    <row r="288" spans="2:7">
      <c r="B288" s="68"/>
      <c r="C288" s="34"/>
      <c r="D288" s="70"/>
      <c r="E288" s="71">
        <v>66.59</v>
      </c>
      <c r="F288" s="71"/>
      <c r="G288" s="34" t="s">
        <v>376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391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385</v>
      </c>
    </row>
    <row r="369" spans="2:7">
      <c r="B369" s="68"/>
      <c r="C369" s="34"/>
      <c r="D369" s="70"/>
      <c r="E369" s="71">
        <v>6.48</v>
      </c>
      <c r="F369" s="71"/>
      <c r="G369" s="34" t="s">
        <v>394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364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372</v>
      </c>
      <c r="D426" s="70"/>
      <c r="E426" s="71"/>
      <c r="F426" s="71"/>
      <c r="G426" s="34"/>
    </row>
    <row r="427" spans="2:7">
      <c r="B427" s="68">
        <v>-27.52</v>
      </c>
      <c r="C427" s="34" t="s">
        <v>395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2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124" t="s">
        <v>70</v>
      </c>
      <c r="J4" s="199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3">
        <v>2311.09</v>
      </c>
      <c r="L5" s="274"/>
      <c r="M5" s="1" t="s">
        <v>397</v>
      </c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63">
        <v>205.16</v>
      </c>
      <c r="L6" s="264"/>
      <c r="M6" s="1"/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3">
        <v>6999</v>
      </c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82.76</v>
      </c>
      <c r="F8" s="71"/>
      <c r="G8" s="34" t="s">
        <v>38</v>
      </c>
      <c r="H8" s="1"/>
      <c r="I8" s="202" t="s">
        <v>76</v>
      </c>
      <c r="J8" s="201" t="s">
        <v>78</v>
      </c>
      <c r="K8" s="263">
        <v>6000</v>
      </c>
      <c r="L8" s="264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2" t="s">
        <v>76</v>
      </c>
      <c r="J9" s="201" t="s">
        <v>270</v>
      </c>
      <c r="K9" s="263">
        <v>659.77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63">
        <f>465+90</f>
        <v>555</v>
      </c>
      <c r="L11" s="264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202" t="s">
        <v>306</v>
      </c>
      <c r="J12" s="201" t="s">
        <v>307</v>
      </c>
      <c r="K12" s="263">
        <v>5092.08</v>
      </c>
      <c r="L12" s="264"/>
      <c r="M12" s="182"/>
      <c r="N12" s="1"/>
      <c r="R12" s="3"/>
    </row>
    <row r="13" spans="1:22" ht="15.75">
      <c r="A13" s="1"/>
      <c r="B13" s="68">
        <v>50</v>
      </c>
      <c r="C13" s="34" t="s">
        <v>198</v>
      </c>
      <c r="D13" s="70"/>
      <c r="E13" s="71"/>
      <c r="F13" s="71"/>
      <c r="G13" s="34"/>
      <c r="H13" s="1"/>
      <c r="I13" s="202"/>
      <c r="J13" s="201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3"/>
      <c r="L14" s="264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23622.14</v>
      </c>
      <c r="L19" s="280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339</v>
      </c>
      <c r="K25" s="273">
        <v>197.22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5</v>
      </c>
      <c r="J26" s="36" t="s">
        <v>429</v>
      </c>
      <c r="K26" s="263">
        <v>200</v>
      </c>
      <c r="L26" s="264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4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400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409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401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451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405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406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408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420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426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428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433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441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446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447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399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419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424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425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431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438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437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448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412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432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440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453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>
        <v>10</v>
      </c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403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421</v>
      </c>
    </row>
    <row r="207" spans="2:7">
      <c r="B207" s="68"/>
      <c r="C207" s="34"/>
      <c r="D207" s="70">
        <v>9</v>
      </c>
      <c r="E207" s="71"/>
      <c r="F207" s="71"/>
      <c r="G207" s="34" t="s">
        <v>445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441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427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430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436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439</v>
      </c>
    </row>
    <row r="290" spans="2:7">
      <c r="B290" s="68"/>
      <c r="C290" s="34"/>
      <c r="D290" s="70">
        <v>6.95</v>
      </c>
      <c r="E290" s="71"/>
      <c r="F290" s="71"/>
      <c r="G290" s="34" t="s">
        <v>452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404</v>
      </c>
    </row>
    <row r="307" spans="2:7">
      <c r="B307" s="119"/>
      <c r="C307" s="79"/>
      <c r="D307" s="70">
        <v>94</v>
      </c>
      <c r="E307" s="71"/>
      <c r="F307" s="71"/>
      <c r="G307" s="34" t="s">
        <v>410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423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411</v>
      </c>
    </row>
    <row r="327" spans="2:7">
      <c r="B327" s="68"/>
      <c r="C327" s="34"/>
      <c r="D327" s="70">
        <v>9</v>
      </c>
      <c r="E327" s="71"/>
      <c r="F327" s="71"/>
      <c r="G327" s="34" t="s">
        <v>428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398</v>
      </c>
    </row>
    <row r="367" spans="2:7">
      <c r="B367" s="68"/>
      <c r="C367" s="34"/>
      <c r="D367" s="70">
        <v>6.5</v>
      </c>
      <c r="E367" s="71"/>
      <c r="F367" s="71"/>
      <c r="G367" s="91" t="s">
        <v>422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441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442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462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54" workbookViewId="0">
      <selection activeCell="J41" sqref="J41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124" t="s">
        <v>70</v>
      </c>
      <c r="J4" s="199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3">
        <v>2946.37</v>
      </c>
      <c r="L5" s="274"/>
      <c r="M5" s="1" t="s">
        <v>397</v>
      </c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63">
        <v>161.54</v>
      </c>
      <c r="L6" s="264"/>
      <c r="M6" s="1"/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3">
        <v>7451.76</v>
      </c>
      <c r="L7" s="264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3">
        <v>6000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3">
        <v>659.77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2" t="s">
        <v>93</v>
      </c>
      <c r="J11" s="201" t="s">
        <v>94</v>
      </c>
      <c r="K11" s="263">
        <v>800</v>
      </c>
      <c r="L11" s="264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197</v>
      </c>
      <c r="D12" s="70"/>
      <c r="E12" s="71"/>
      <c r="F12" s="71">
        <v>875</v>
      </c>
      <c r="G12" s="34" t="s">
        <v>467</v>
      </c>
      <c r="H12" s="1"/>
      <c r="I12" s="202" t="s">
        <v>306</v>
      </c>
      <c r="J12" s="201" t="s">
        <v>307</v>
      </c>
      <c r="K12" s="263">
        <v>5092.08</v>
      </c>
      <c r="L12" s="264"/>
      <c r="M12" s="182" t="s">
        <v>460</v>
      </c>
      <c r="N12" s="1"/>
      <c r="R12" s="3"/>
    </row>
    <row r="13" spans="1:22" ht="15.75">
      <c r="A13" s="1"/>
      <c r="B13" s="68">
        <v>50</v>
      </c>
      <c r="C13" s="34" t="s">
        <v>198</v>
      </c>
      <c r="D13" s="70"/>
      <c r="E13" s="71"/>
      <c r="F13" s="71"/>
      <c r="G13" s="34"/>
      <c r="H13" s="1"/>
      <c r="I13" s="202"/>
      <c r="J13" s="201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3"/>
      <c r="L14" s="264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3"/>
      <c r="L15" s="264"/>
      <c r="M15" s="1"/>
      <c r="N15" s="1"/>
      <c r="R15" s="3"/>
    </row>
    <row r="16" spans="1:22" ht="15.75">
      <c r="A16" s="1"/>
      <c r="B16" s="68">
        <f>40</f>
        <v>40</v>
      </c>
      <c r="C16" s="34" t="s">
        <v>468</v>
      </c>
      <c r="D16" s="70"/>
      <c r="E16" s="71"/>
      <c r="F16" s="71">
        <v>60</v>
      </c>
      <c r="G16" s="34" t="s">
        <v>468</v>
      </c>
      <c r="H16" s="1"/>
      <c r="I16" s="202"/>
      <c r="J16" s="201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24911.559999999998</v>
      </c>
      <c r="L19" s="280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440.54</v>
      </c>
      <c r="F20" s="69">
        <f>SUM(F6:F19)</f>
        <v>935</v>
      </c>
      <c r="G20" s="35" t="s">
        <v>66</v>
      </c>
      <c r="H20" s="1"/>
      <c r="I20" s="179" t="s">
        <v>116</v>
      </c>
      <c r="L20" s="182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470</v>
      </c>
      <c r="K25" s="273">
        <v>134.94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478</v>
      </c>
      <c r="K26" s="263">
        <v>83.04</v>
      </c>
      <c r="L26" s="264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279</v>
      </c>
      <c r="K27" s="263">
        <v>786.42</v>
      </c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9</v>
      </c>
      <c r="J28" s="36" t="s">
        <v>518</v>
      </c>
      <c r="K28" s="263">
        <v>26.77</v>
      </c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4</v>
      </c>
      <c r="J29" s="36" t="s">
        <v>522</v>
      </c>
      <c r="K29" s="263">
        <v>0.02</v>
      </c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473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474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466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482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485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504</v>
      </c>
      <c r="H51" s="1"/>
      <c r="M51" s="1"/>
      <c r="R51" s="3"/>
    </row>
    <row r="52" spans="1:18" ht="15.75">
      <c r="A52" s="1"/>
      <c r="B52" s="68"/>
      <c r="C52" s="34"/>
      <c r="D52" s="70">
        <v>51.03</v>
      </c>
      <c r="E52" s="71"/>
      <c r="F52" s="71"/>
      <c r="G52" s="34" t="s">
        <v>507</v>
      </c>
      <c r="H52" s="1"/>
      <c r="M52" s="1"/>
      <c r="R52" s="3"/>
    </row>
    <row r="53" spans="1:18" ht="15.75">
      <c r="A53" s="1"/>
      <c r="B53" s="68"/>
      <c r="C53" s="34"/>
      <c r="D53" s="70">
        <v>43.57</v>
      </c>
      <c r="E53" s="71"/>
      <c r="F53" s="71"/>
      <c r="G53" s="34" t="s">
        <v>517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389.21999999999997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463</v>
      </c>
      <c r="H66" s="1"/>
      <c r="M66" s="1"/>
      <c r="R66" s="3"/>
    </row>
    <row r="67" spans="1:18" ht="15.75">
      <c r="A67" s="1"/>
      <c r="B67" s="68">
        <v>71</v>
      </c>
      <c r="C67" s="34" t="s">
        <v>450</v>
      </c>
      <c r="D67" s="70">
        <f>25.75</f>
        <v>25.75</v>
      </c>
      <c r="E67" s="71"/>
      <c r="F67" s="71">
        <v>1</v>
      </c>
      <c r="G67" s="91" t="s">
        <v>464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475</v>
      </c>
      <c r="H68" s="1">
        <v>106.3</v>
      </c>
      <c r="I68" s="179" t="s">
        <v>311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484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488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431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6">
        <f>SUM(D80:F80)-H68</f>
        <v>99.600000000000009</v>
      </c>
      <c r="I80" s="179" t="s">
        <v>490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53.39+49.42+50.44</f>
        <v>153.25</v>
      </c>
      <c r="E86" s="71"/>
      <c r="F86" s="71"/>
      <c r="G86" s="34" t="s">
        <v>515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469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153.25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>
        <v>10</v>
      </c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37.5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457</v>
      </c>
    </row>
    <row r="189" spans="1:22">
      <c r="B189" s="68"/>
      <c r="C189" s="34"/>
      <c r="D189" s="70">
        <v>5.99</v>
      </c>
      <c r="E189" s="71"/>
      <c r="F189" s="71"/>
      <c r="G189" s="34" t="s">
        <v>505</v>
      </c>
    </row>
    <row r="190" spans="1:22">
      <c r="B190" s="68"/>
      <c r="C190" s="34"/>
      <c r="D190" s="70">
        <f>60.26-D290</f>
        <v>29.099999999999998</v>
      </c>
      <c r="E190" s="71"/>
      <c r="F190" s="71"/>
      <c r="G190" s="34" t="s">
        <v>508</v>
      </c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120.06999999999998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502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8" ht="15" customHeight="1" thickBot="1">
      <c r="B243" s="268"/>
      <c r="C243" s="269"/>
      <c r="D243" s="269"/>
      <c r="E243" s="269"/>
      <c r="F243" s="269"/>
      <c r="G243" s="270"/>
    </row>
    <row r="244" spans="2:8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8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8" ht="15" customHeight="1">
      <c r="B246" s="68">
        <v>80</v>
      </c>
      <c r="C246" s="79"/>
      <c r="D246" s="70">
        <v>10</v>
      </c>
      <c r="E246" s="71"/>
      <c r="F246" s="71"/>
      <c r="G246" s="34" t="s">
        <v>476</v>
      </c>
    </row>
    <row r="247" spans="2:8" ht="15" customHeight="1">
      <c r="B247" s="68"/>
      <c r="C247" s="34"/>
      <c r="D247" s="70">
        <f>28.31</f>
        <v>28.31</v>
      </c>
      <c r="E247" s="71"/>
      <c r="F247" s="71"/>
      <c r="G247" s="34" t="s">
        <v>483</v>
      </c>
    </row>
    <row r="248" spans="2:8">
      <c r="B248" s="68"/>
      <c r="C248" s="34"/>
      <c r="D248" s="70">
        <f>57.39-D289</f>
        <v>49.55</v>
      </c>
      <c r="E248" s="71"/>
      <c r="F248" s="71"/>
      <c r="G248" s="34" t="s">
        <v>509</v>
      </c>
      <c r="H248" s="207"/>
    </row>
    <row r="249" spans="2:8">
      <c r="B249" s="68"/>
      <c r="C249" s="34"/>
      <c r="D249" s="70">
        <v>129</v>
      </c>
      <c r="E249" s="71"/>
      <c r="F249" s="71"/>
      <c r="G249" s="34" t="s">
        <v>512</v>
      </c>
    </row>
    <row r="250" spans="2:8">
      <c r="B250" s="68"/>
      <c r="C250" s="34"/>
      <c r="D250" s="70">
        <v>271.56</v>
      </c>
      <c r="E250" s="71"/>
      <c r="F250" s="71"/>
      <c r="G250" s="34" t="s">
        <v>516</v>
      </c>
    </row>
    <row r="251" spans="2:8">
      <c r="B251" s="68"/>
      <c r="C251" s="34"/>
      <c r="D251" s="70">
        <v>14.06</v>
      </c>
      <c r="E251" s="71"/>
      <c r="F251" s="71"/>
      <c r="G251" s="34" t="s">
        <v>519</v>
      </c>
    </row>
    <row r="252" spans="2:8">
      <c r="B252" s="68"/>
      <c r="C252" s="34"/>
      <c r="D252" s="70"/>
      <c r="E252" s="71"/>
      <c r="F252" s="71"/>
      <c r="G252" s="34"/>
    </row>
    <row r="253" spans="2:8">
      <c r="B253" s="68"/>
      <c r="C253" s="34"/>
      <c r="D253" s="70"/>
      <c r="E253" s="71"/>
      <c r="F253" s="71"/>
      <c r="G253" s="34"/>
    </row>
    <row r="254" spans="2:8">
      <c r="B254" s="68"/>
      <c r="C254" s="34"/>
      <c r="D254" s="70"/>
      <c r="E254" s="71"/>
      <c r="F254" s="71"/>
      <c r="G254" s="34"/>
    </row>
    <row r="255" spans="2:8">
      <c r="B255" s="68"/>
      <c r="C255" s="34"/>
      <c r="D255" s="70"/>
      <c r="E255" s="71"/>
      <c r="F255" s="71"/>
      <c r="G255" s="34"/>
    </row>
    <row r="256" spans="2:8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502.48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455</v>
      </c>
    </row>
    <row r="287" spans="2:7">
      <c r="B287" s="68">
        <v>200</v>
      </c>
      <c r="C287" s="34" t="s">
        <v>430</v>
      </c>
      <c r="D287" s="70"/>
      <c r="E287" s="71">
        <v>20.04</v>
      </c>
      <c r="F287" s="71"/>
      <c r="G287" s="34" t="s">
        <v>499</v>
      </c>
    </row>
    <row r="288" spans="2:7">
      <c r="B288" s="68"/>
      <c r="C288" s="34"/>
      <c r="D288" s="70">
        <v>10</v>
      </c>
      <c r="E288" s="71"/>
      <c r="F288" s="71"/>
      <c r="G288" s="34" t="s">
        <v>501</v>
      </c>
    </row>
    <row r="289" spans="2:7">
      <c r="B289" s="68"/>
      <c r="C289" s="34"/>
      <c r="D289" s="70">
        <f>7.84</f>
        <v>7.84</v>
      </c>
      <c r="E289" s="71"/>
      <c r="F289" s="71"/>
      <c r="G289" s="34" t="s">
        <v>510</v>
      </c>
    </row>
    <row r="290" spans="2:7">
      <c r="B290" s="68"/>
      <c r="C290" s="34"/>
      <c r="D290" s="70">
        <f>39-D289</f>
        <v>31.16</v>
      </c>
      <c r="E290" s="71"/>
      <c r="F290" s="71"/>
      <c r="G290" s="34" t="s">
        <v>511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55.5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228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465</v>
      </c>
    </row>
    <row r="308" spans="2:7">
      <c r="B308" s="119"/>
      <c r="C308" s="79"/>
      <c r="D308" s="70">
        <v>42.55</v>
      </c>
      <c r="E308" s="71"/>
      <c r="F308" s="71"/>
      <c r="G308" s="34" t="s">
        <v>486</v>
      </c>
    </row>
    <row r="309" spans="2:7">
      <c r="B309" s="68"/>
      <c r="C309" s="34"/>
      <c r="D309" s="70" t="s">
        <v>487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461</v>
      </c>
    </row>
    <row r="327" spans="2:7">
      <c r="B327" s="68"/>
      <c r="C327" s="34"/>
      <c r="D327" s="70"/>
      <c r="E327" s="71">
        <v>120.56</v>
      </c>
      <c r="F327" s="71"/>
      <c r="G327" s="34" t="s">
        <v>495</v>
      </c>
    </row>
    <row r="328" spans="2:7">
      <c r="B328" s="68"/>
      <c r="C328" s="34"/>
      <c r="D328" s="70">
        <v>12.25</v>
      </c>
      <c r="E328" s="71"/>
      <c r="F328" s="71"/>
      <c r="G328" s="34" t="s">
        <v>506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480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4.45+3.4+3.4+4+3.4+3.4+3.4+3.4+4.45+3.4+3.4+3.4+2.65-D51+4.5+4.7+3.4</f>
        <v>57.199999999999996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496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497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57.199999999999996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-190.40000000000055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-190.40000000000055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498</v>
      </c>
    </row>
    <row r="507" spans="2:7">
      <c r="B507" s="68"/>
      <c r="C507" s="34"/>
      <c r="D507" s="70"/>
      <c r="E507" s="71">
        <v>11.27</v>
      </c>
      <c r="F507" s="71"/>
      <c r="G507" s="34" t="s">
        <v>500</v>
      </c>
    </row>
    <row r="508" spans="2:7">
      <c r="B508" s="68"/>
      <c r="C508" s="34"/>
      <c r="D508" s="70"/>
      <c r="E508" s="71">
        <v>49</v>
      </c>
      <c r="F508" s="71"/>
      <c r="G508" s="34" t="s">
        <v>523</v>
      </c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60.269999999999996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3" workbookViewId="0">
      <selection activeCell="B22" sqref="B22:G2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 Gastos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124" t="s">
        <v>70</v>
      </c>
      <c r="J4" s="199" t="s">
        <v>71</v>
      </c>
      <c r="K4" s="271" t="s">
        <v>72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3">
        <f>2534.79-49</f>
        <v>2485.79</v>
      </c>
      <c r="L5" s="274"/>
      <c r="M5" s="1"/>
      <c r="N5" s="1"/>
      <c r="R5" s="3"/>
    </row>
    <row r="6" spans="1:22" ht="15.75">
      <c r="A6" s="206">
        <f t="shared" ref="A6:A15" si="0">12*B6</f>
        <v>4788</v>
      </c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3">
        <v>550</v>
      </c>
      <c r="L6" s="264"/>
      <c r="M6" s="1" t="s">
        <v>397</v>
      </c>
      <c r="N6" s="1"/>
      <c r="R6" s="3"/>
    </row>
    <row r="7" spans="1:22" ht="15.75">
      <c r="A7" s="206">
        <f t="shared" si="0"/>
        <v>720</v>
      </c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3">
        <v>6661.07</v>
      </c>
      <c r="L7" s="264"/>
      <c r="M7" s="1"/>
      <c r="N7" s="1"/>
      <c r="R7" s="3"/>
    </row>
    <row r="8" spans="1:22" ht="15.75">
      <c r="A8" s="206">
        <f t="shared" si="0"/>
        <v>0</v>
      </c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3">
        <v>7000</v>
      </c>
      <c r="L8" s="264"/>
      <c r="M8" s="1"/>
      <c r="N8" s="1"/>
      <c r="R8" s="3"/>
    </row>
    <row r="9" spans="1:22" ht="15.75">
      <c r="A9" s="206">
        <f t="shared" si="0"/>
        <v>0</v>
      </c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3">
        <v>659.77</v>
      </c>
      <c r="L9" s="264"/>
      <c r="M9" s="1"/>
      <c r="N9" s="1"/>
      <c r="R9" s="3"/>
    </row>
    <row r="10" spans="1:22" ht="15.75">
      <c r="A10" s="206">
        <f t="shared" si="0"/>
        <v>144</v>
      </c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3">
        <v>1800.04</v>
      </c>
      <c r="L10" s="264"/>
      <c r="M10" s="1" t="s">
        <v>268</v>
      </c>
      <c r="N10" s="1"/>
      <c r="R10" s="3"/>
    </row>
    <row r="11" spans="1:22" ht="15.75">
      <c r="A11" s="206">
        <f>12*B11</f>
        <v>372</v>
      </c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3">
        <f>220+20</f>
        <v>240</v>
      </c>
      <c r="L11" s="264"/>
      <c r="M11" s="1"/>
      <c r="N11" s="1"/>
      <c r="R11" s="3"/>
    </row>
    <row r="12" spans="1:22" ht="15.75">
      <c r="A12" s="206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63">
        <v>5092.08</v>
      </c>
      <c r="L12" s="264"/>
      <c r="M12" s="182"/>
      <c r="N12" s="1"/>
      <c r="R12" s="3"/>
    </row>
    <row r="13" spans="1:22" ht="15.75">
      <c r="A13" s="206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63"/>
      <c r="L13" s="264"/>
      <c r="M13" s="1"/>
      <c r="N13" s="1"/>
      <c r="R13" s="3"/>
    </row>
    <row r="14" spans="1:22" ht="15.75">
      <c r="A14" s="206">
        <f t="shared" si="0"/>
        <v>300</v>
      </c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3"/>
      <c r="L14" s="264"/>
      <c r="M14" s="1"/>
      <c r="N14" s="1"/>
      <c r="R14" s="3"/>
    </row>
    <row r="15" spans="1:22" ht="15.75">
      <c r="A15" s="206">
        <f t="shared" si="0"/>
        <v>84</v>
      </c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9">
        <f>SUM(K5:K18)</f>
        <v>24488.75</v>
      </c>
      <c r="L19" s="280"/>
      <c r="M19" s="1"/>
      <c r="N19" s="1"/>
      <c r="R19" s="3"/>
    </row>
    <row r="20" spans="1:18" ht="16.5" thickBot="1">
      <c r="A20" s="206">
        <f>SUM(A6:A15)</f>
        <v>6408</v>
      </c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4" t="s">
        <v>33</v>
      </c>
      <c r="J24" s="33" t="s">
        <v>133</v>
      </c>
      <c r="K24" s="271" t="s">
        <v>134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524</v>
      </c>
      <c r="K25" s="273">
        <v>269.88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3"/>
      <c r="L26" s="26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472</v>
      </c>
      <c r="C46" s="37"/>
      <c r="D46" s="70">
        <f>73.6</f>
        <v>73.599999999999994</v>
      </c>
      <c r="E46" s="71"/>
      <c r="F46" s="71"/>
      <c r="G46" s="90" t="s">
        <v>526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73.599999999999994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4</v>
      </c>
      <c r="G66" s="37" t="s">
        <v>525</v>
      </c>
      <c r="H66" s="1"/>
      <c r="M66" s="1"/>
      <c r="R66" s="3"/>
    </row>
    <row r="67" spans="1:18" ht="15.75">
      <c r="A67" s="1"/>
      <c r="B67" s="68">
        <v>106.3</v>
      </c>
      <c r="C67" s="34" t="s">
        <v>491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4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258.47000000000003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492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>
        <v>144.05000000000001</v>
      </c>
      <c r="C187" s="34" t="s">
        <v>520</v>
      </c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214.05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50</v>
      </c>
      <c r="C246" s="79" t="s">
        <v>521</v>
      </c>
      <c r="D246" s="70"/>
      <c r="E246" s="71"/>
      <c r="F246" s="71"/>
      <c r="G246" s="34"/>
    </row>
    <row r="247" spans="2:7" ht="15" customHeight="1">
      <c r="B247" s="68">
        <v>566.59</v>
      </c>
      <c r="C247" s="34" t="s">
        <v>520</v>
      </c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616.59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 t="s">
        <v>521</v>
      </c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90</v>
      </c>
      <c r="C326" s="37" t="s">
        <v>521</v>
      </c>
      <c r="D326" s="70"/>
      <c r="E326" s="71"/>
      <c r="F326" s="71"/>
      <c r="G326" s="34"/>
    </row>
    <row r="327" spans="2:7">
      <c r="B327" s="68">
        <v>0.02</v>
      </c>
      <c r="C327" s="34" t="s">
        <v>522</v>
      </c>
      <c r="D327" s="70"/>
      <c r="E327" s="71"/>
      <c r="F327" s="71"/>
      <c r="G327" s="34"/>
    </row>
    <row r="328" spans="2:7">
      <c r="B328" s="68">
        <v>241.71</v>
      </c>
      <c r="C328" s="34" t="s">
        <v>520</v>
      </c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331.73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479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70</v>
      </c>
      <c r="C366" s="37" t="s">
        <v>36</v>
      </c>
      <c r="D366" s="70"/>
      <c r="E366" s="71"/>
      <c r="F366" s="71">
        <f>4</f>
        <v>4</v>
      </c>
      <c r="G366" s="91" t="s">
        <v>91</v>
      </c>
    </row>
    <row r="367" spans="2:7">
      <c r="B367" s="68">
        <v>26.77</v>
      </c>
      <c r="C367" s="34" t="s">
        <v>518</v>
      </c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96.77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4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'2018'!AE17-4975.44</f>
        <v>-4155.5599999999995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-4155.5599999999995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489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2018-08-03T15:03:33Z</dcterms:modified>
</cp:coreProperties>
</file>