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288E5390-A469-41D8-8C59-C6CFE82B0181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9" l="1"/>
  <c r="B7" i="19" s="1"/>
  <c r="B12" i="19" l="1"/>
  <c r="C4" i="19"/>
  <c r="D4" i="19" s="1"/>
  <c r="C5" i="19"/>
  <c r="D5" i="19" s="1"/>
  <c r="C6" i="19"/>
  <c r="D6" i="19" s="1"/>
  <c r="C3" i="19"/>
  <c r="C7" i="19" l="1"/>
  <c r="D3" i="19"/>
  <c r="E366" i="6" l="1"/>
  <c r="F366" i="6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A430" i="6"/>
  <c r="B109" i="6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V70" i="1"/>
  <c r="V71" i="1"/>
  <c r="V72" i="1" s="1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2" i="18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W42" i="18"/>
  <c r="D42" i="18"/>
  <c r="J42" i="18"/>
  <c r="O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Q35" i="18" s="1"/>
  <c r="A109" i="6"/>
  <c r="D51" i="6"/>
  <c r="X42" i="18" l="1"/>
  <c r="E42" i="18"/>
  <c r="P4" i="18"/>
  <c r="Q4" i="18" s="1"/>
  <c r="E5" i="18"/>
  <c r="P28" i="18"/>
  <c r="A429" i="6"/>
  <c r="Q28" i="18" l="1"/>
  <c r="S28" i="18" s="1"/>
  <c r="P42" i="18"/>
  <c r="P5" i="18"/>
  <c r="Q5" i="18" s="1"/>
  <c r="A256" i="6"/>
  <c r="A257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7" l="1"/>
  <c r="A258" i="7"/>
  <c r="A259" i="7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7" l="1"/>
  <c r="A260" i="5"/>
</calcChain>
</file>

<file path=xl/sharedStrings.xml><?xml version="1.0" encoding="utf-8"?>
<sst xmlns="http://schemas.openxmlformats.org/spreadsheetml/2006/main" count="5342" uniqueCount="608">
  <si>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</si>
  <si>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</si>
  <si>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</si>
  <si>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</si>
  <si>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</si>
  <si>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</si>
  <si>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</si>
  <si>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</si>
  <si>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</si>
  <si>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</si>
  <si>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</si>
  <si>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</si>
  <si>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</si>
  <si>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</si>
  <si>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</si>
  <si>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</si>
  <si>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</si>
  <si>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</si>
  <si>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</si>
  <si>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</si>
  <si>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</si>
  <si>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</si>
  <si>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</si>
  <si>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</si>
  <si>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</si>
  <si>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</si>
  <si>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</si>
  <si>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</si>
  <si>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</si>
  <si>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</si>
  <si>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</si>
  <si>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</si>
  <si>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</si>
  <si>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</si>
  <si>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</si>
  <si>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</si>
  <si>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</si>
  <si>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</si>
  <si>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</si>
  <si>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</si>
  <si>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</si>
  <si>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</si>
  <si>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</si>
  <si>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</si>
  <si>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</si>
  <si>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</si>
  <si>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</si>
  <si>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</si>
  <si>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</si>
  <si>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</si>
  <si>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</si>
  <si>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</si>
  <si>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</si>
  <si>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</si>
  <si>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</si>
  <si>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</si>
  <si>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</si>
  <si>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</si>
  <si>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</si>
  <si>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</si>
  <si>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</si>
  <si>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</si>
  <si>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</si>
  <si>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</si>
  <si>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</si>
  <si>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</si>
  <si>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</si>
  <si>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</si>
  <si>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</si>
  <si>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</si>
  <si>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</si>
  <si>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</si>
  <si>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</si>
  <si>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</si>
  <si>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</si>
  <si>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</si>
  <si>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</si>
  <si>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</si>
  <si>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</si>
  <si>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</si>
  <si>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</si>
  <si>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</si>
  <si>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</si>
  <si>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</si>
  <si>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</si>
  <si>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</si>
  <si>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</si>
  <si>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</si>
  <si>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</si>
  <si>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</si>
  <si>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</si>
  <si>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</si>
  <si>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</si>
  <si>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</si>
  <si>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</si>
  <si>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</si>
  <si>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</si>
  <si>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</si>
  <si>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</si>
  <si>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</si>
  <si>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</si>
  <si>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</si>
  <si>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</si>
  <si>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</si>
  <si>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</si>
  <si>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</si>
  <si>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</si>
  <si>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</si>
  <si>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</si>
  <si>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</si>
  <si>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</si>
  <si>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</si>
  <si>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</si>
  <si>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</si>
  <si>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</si>
  <si>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</si>
  <si>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</si>
  <si>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</si>
  <si>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</si>
  <si>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</si>
  <si>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</si>
  <si>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</si>
  <si>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</si>
  <si>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</si>
  <si>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</si>
  <si>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</si>
  <si>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</si>
  <si>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</si>
  <si>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</si>
  <si>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</si>
  <si>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</si>
  <si>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</si>
  <si>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</si>
  <si>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</si>
  <si>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</si>
  <si>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</si>
  <si>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</si>
  <si>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</si>
  <si>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</si>
  <si>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</si>
  <si>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</si>
  <si>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</si>
  <si>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</si>
  <si>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</si>
  <si>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</si>
  <si>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</si>
  <si>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</si>
  <si>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</si>
  <si>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</si>
  <si>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</si>
  <si>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</si>
  <si>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</si>
  <si>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</si>
  <si>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</si>
  <si>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</si>
  <si>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</si>
  <si>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</si>
  <si>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</si>
  <si>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</si>
  <si>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</si>
  <si>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</si>
  <si>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</si>
  <si>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</si>
  <si>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</si>
  <si>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</si>
  <si>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</si>
  <si>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</si>
  <si>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</si>
  <si>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</si>
  <si>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</si>
  <si>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</si>
  <si>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</si>
  <si>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</si>
  <si>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</si>
  <si>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</si>
  <si>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</si>
  <si>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</si>
  <si>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</si>
  <si>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</si>
  <si>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</si>
  <si>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</si>
  <si>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</si>
  <si>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</si>
  <si>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</si>
  <si>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</si>
  <si>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</si>
  <si>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</si>
  <si>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</si>
  <si>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</si>
  <si>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</si>
  <si>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</si>
  <si>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</si>
  <si>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</si>
  <si>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</si>
  <si>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</si>
  <si>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</si>
  <si>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</si>
  <si>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</si>
  <si>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</si>
  <si>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</si>
  <si>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</si>
  <si>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</si>
  <si>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</si>
  <si>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</si>
  <si>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</si>
  <si>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</si>
  <si>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</si>
  <si>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</si>
  <si>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</si>
  <si>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</si>
  <si>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</si>
  <si>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</si>
  <si>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</si>
  <si>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</si>
  <si>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</si>
  <si>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</si>
  <si>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</si>
  <si>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</si>
  <si>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</si>
  <si>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</si>
  <si>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</si>
  <si>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</si>
  <si>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</si>
  <si>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</si>
  <si>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</si>
  <si>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</si>
  <si>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</si>
  <si>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</si>
  <si>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</si>
  <si>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</si>
  <si>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</si>
  <si>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</si>
  <si>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</si>
  <si>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</si>
  <si>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</si>
  <si>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</si>
  <si>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</si>
  <si>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</si>
  <si>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</si>
  <si>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</si>
  <si>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</si>
  <si>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</si>
  <si>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</si>
  <si>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</si>
  <si>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</si>
  <si>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</si>
  <si>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</si>
  <si>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</si>
  <si>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</si>
  <si>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</si>
  <si>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</si>
  <si>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</si>
  <si>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</si>
  <si>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</si>
  <si>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</si>
  <si>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</si>
  <si>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</si>
  <si>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</si>
  <si>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</si>
  <si>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</si>
  <si>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</si>
  <si>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</si>
  <si>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</si>
  <si>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</si>
  <si>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</si>
  <si>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</si>
  <si>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</si>
  <si>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</si>
  <si>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</si>
  <si>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</si>
  <si>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</si>
  <si>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</si>
  <si>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</si>
  <si>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</si>
  <si>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</si>
  <si>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</si>
  <si>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</si>
  <si>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</si>
  <si>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</si>
  <si>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</si>
  <si>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</si>
  <si>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</si>
  <si>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</si>
  <si>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</si>
  <si>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</si>
  <si>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</si>
  <si>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</si>
  <si>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</si>
  <si>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</si>
  <si>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</si>
  <si>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</si>
  <si>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</si>
  <si>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</si>
  <si>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</si>
  <si>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</si>
  <si>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</si>
  <si>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</si>
  <si>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</si>
  <si>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</si>
  <si>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</si>
  <si>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</si>
  <si>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</si>
  <si>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</si>
  <si>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</si>
  <si>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</si>
  <si>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</si>
  <si>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</si>
  <si>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</si>
  <si>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</si>
  <si>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</si>
  <si>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</si>
  <si>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</si>
  <si>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</si>
  <si>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</si>
  <si>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</si>
  <si>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</si>
  <si>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</si>
  <si>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</si>
  <si>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</si>
  <si>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</si>
  <si>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</si>
  <si>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</si>
  <si>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</si>
  <si>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</si>
  <si>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</si>
  <si>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</si>
  <si>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</si>
  <si>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</si>
  <si>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</si>
  <si>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</si>
  <si>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</si>
  <si>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</si>
  <si>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</si>
  <si>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</si>
  <si>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</si>
  <si>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</si>
  <si>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</si>
  <si>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</si>
  <si>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</si>
  <si>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</si>
  <si>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</si>
  <si>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</si>
  <si>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</si>
  <si>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</si>
  <si>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</si>
  <si>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</si>
  <si>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</si>
  <si>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</si>
  <si>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</si>
  <si>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</si>
  <si>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</si>
  <si>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</si>
  <si>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</si>
  <si>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</si>
  <si>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</si>
  <si>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</si>
  <si>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</si>
  <si>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</si>
  <si>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</si>
  <si>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</si>
  <si>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</si>
  <si>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</si>
  <si>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</si>
  <si>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</si>
  <si>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</si>
  <si>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</si>
  <si>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</si>
  <si>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</si>
  <si>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</si>
  <si>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</si>
  <si>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</si>
  <si>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</si>
  <si>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</si>
  <si>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</si>
  <si>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</si>
  <si>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</si>
  <si>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</si>
  <si>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</si>
  <si>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</si>
  <si>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</si>
  <si>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</si>
  <si>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</si>
  <si>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</si>
  <si>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</si>
  <si>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</si>
  <si>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</si>
  <si>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</si>
  <si>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</si>
  <si>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</si>
  <si>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</si>
  <si>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</si>
  <si>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</si>
  <si>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</si>
  <si>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</si>
  <si>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</si>
  <si>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</si>
  <si>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</si>
  <si>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</si>
  <si>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</si>
  <si>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</si>
  <si>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</si>
  <si>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</si>
  <si>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</si>
  <si>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</si>
  <si>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</si>
  <si>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</si>
  <si>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</si>
  <si>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</si>
  <si>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</si>
  <si>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</si>
  <si>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</si>
  <si>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</si>
  <si>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</si>
  <si>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</si>
  <si>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</si>
  <si>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</si>
  <si>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</si>
  <si>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</si>
  <si>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</si>
  <si>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</si>
  <si>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</si>
  <si>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</si>
  <si>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</si>
  <si>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</si>
  <si>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</si>
  <si>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</si>
  <si>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</si>
  <si>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</si>
  <si>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</si>
  <si>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</si>
  <si>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</si>
  <si>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</si>
  <si>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</si>
  <si>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</si>
  <si>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</si>
  <si>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</si>
  <si>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</si>
  <si>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</si>
  <si>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</si>
  <si>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</si>
  <si>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</si>
  <si>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</si>
  <si>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</si>
  <si>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</si>
  <si>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</si>
  <si>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</si>
  <si>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</si>
  <si>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</si>
  <si>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</si>
  <si>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</si>
  <si>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</si>
  <si>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</si>
  <si>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</si>
  <si>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</si>
  <si>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</si>
  <si>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</si>
  <si>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</si>
  <si>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</si>
  <si>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</si>
  <si>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</si>
  <si>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</si>
  <si>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</si>
  <si>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</si>
  <si>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</si>
  <si>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</si>
  <si>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</si>
  <si>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</si>
  <si>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</si>
  <si>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</si>
  <si>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</si>
  <si>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&lt;430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</si>
  <si>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</si>
  <si>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</si>
  <si>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</si>
  <si>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</si>
  <si>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</si>
  <si>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</si>
  <si>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</si>
  <si>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</si>
  <si>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</si>
  <si>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</si>
  <si>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</si>
  <si>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</si>
  <si>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</si>
  <si>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</si>
  <si>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</si>
  <si>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</si>
  <si>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</si>
  <si>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</si>
  <si>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</si>
  <si>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</si>
  <si>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</si>
  <si>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</si>
  <si>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</si>
  <si>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</si>
  <si>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</si>
  <si>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</si>
  <si>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</si>
  <si>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</si>
  <si>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</si>
  <si>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</si>
  <si>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</si>
  <si>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</si>
  <si>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</si>
  <si>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</si>
  <si>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</si>
  <si>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</si>
  <si>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</si>
  <si>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</si>
  <si>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</si>
  <si>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</si>
  <si>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</si>
  <si>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</si>
  <si>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</si>
  <si>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</si>
  <si>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</si>
  <si>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</si>
  <si>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</si>
  <si>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</si>
  <si>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</si>
  <si>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</si>
  <si>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</si>
  <si>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</si>
  <si>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</si>
  <si>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</si>
  <si>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</si>
  <si>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</si>
  <si>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</si>
  <si>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</si>
  <si>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</si>
  <si>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</si>
  <si>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</si>
  <si>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</si>
  <si>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</si>
  <si>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</si>
  <si>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</si>
  <si>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</si>
  <si>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</si>
  <si>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</si>
  <si>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</si>
  <si>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</si>
  <si>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</si>
  <si>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</si>
  <si>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</si>
  <si>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</si>
  <si>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</si>
  <si>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</si>
  <si>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</si>
  <si>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</si>
  <si>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</si>
  <si>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</si>
  <si>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</si>
  <si>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</si>
  <si>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</si>
  <si>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</si>
  <si>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</si>
  <si>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</si>
  <si>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</si>
  <si>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</si>
  <si>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</si>
  <si>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</si>
  <si>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</si>
  <si>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</si>
  <si>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</si>
  <si>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</si>
  <si>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</si>
  <si>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</si>
  <si>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</si>
  <si>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</si>
  <si>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</si>
  <si>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</si>
  <si>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Ultima (hasta 9.486,92€)+Paga 100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</si>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</sst>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0" fillId="0" borderId="0" xfId="0" applyFont="1" applyBorder="1" applyAlignment="1">
      <alignment horizontal="left"/>
    </xf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31" zoomScaleNormal="100" workbookViewId="0">
      <pane xSplit="1" topLeftCell="Q1" activePane="topRight" state="frozen"/>
      <selection pane="topRight" activeCell="U37" sqref="U37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25" t="s">
        <v>0</v>
      </c>
      <c r="D4" s="326"/>
      <c r="E4" s="326"/>
      <c r="F4" s="327"/>
      <c r="G4" s="325" t="s">
        <v>1</v>
      </c>
      <c r="H4" s="326"/>
      <c r="I4" s="326"/>
      <c r="J4" s="327"/>
      <c r="K4" s="325" t="s">
        <v>2</v>
      </c>
      <c r="L4" s="326"/>
      <c r="M4" s="326"/>
      <c r="N4" s="327"/>
      <c r="O4" s="325" t="s">
        <v>3</v>
      </c>
      <c r="P4" s="326"/>
      <c r="Q4" s="326"/>
      <c r="R4" s="327"/>
      <c r="S4" s="325" t="s">
        <v>71</v>
      </c>
      <c r="T4" s="326"/>
      <c r="U4" s="326"/>
      <c r="V4" s="327"/>
      <c r="W4" s="325" t="s">
        <v>70</v>
      </c>
      <c r="X4" s="326"/>
      <c r="Y4" s="326"/>
      <c r="Z4" s="327"/>
      <c r="AA4" s="325" t="s">
        <v>72</v>
      </c>
      <c r="AB4" s="326"/>
      <c r="AC4" s="326"/>
      <c r="AD4" s="327"/>
      <c r="AE4" s="325" t="s">
        <v>73</v>
      </c>
      <c r="AF4" s="326"/>
      <c r="AG4" s="326"/>
      <c r="AH4" s="327"/>
      <c r="AI4" s="325" t="s">
        <v>75</v>
      </c>
      <c r="AJ4" s="326"/>
      <c r="AK4" s="326"/>
      <c r="AL4" s="327"/>
      <c r="AM4" s="325" t="s">
        <v>77</v>
      </c>
      <c r="AN4" s="326"/>
      <c r="AO4" s="326"/>
      <c r="AP4" s="327"/>
      <c r="AQ4" s="325" t="s">
        <v>79</v>
      </c>
      <c r="AR4" s="326"/>
      <c r="AS4" s="326"/>
      <c r="AT4" s="327"/>
      <c r="AU4" s="325" t="s">
        <v>84</v>
      </c>
      <c r="AV4" s="326"/>
      <c r="AW4" s="326"/>
      <c r="AX4" s="327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28">
        <f>'01'!K19</f>
        <v>26383.54</v>
      </c>
      <c r="D5" s="329"/>
      <c r="E5" s="329"/>
      <c r="F5" s="330"/>
      <c r="G5" s="328">
        <f>'02'!K19</f>
        <v>25229.379999999997</v>
      </c>
      <c r="H5" s="329"/>
      <c r="I5" s="329"/>
      <c r="J5" s="330"/>
      <c r="K5" s="335">
        <f>'03'!K19</f>
        <v>25574.760000000002</v>
      </c>
      <c r="L5" s="329"/>
      <c r="M5" s="329"/>
      <c r="N5" s="330"/>
      <c r="O5" s="335">
        <f>'04'!K19</f>
        <v>26443.759999999998</v>
      </c>
      <c r="P5" s="329"/>
      <c r="Q5" s="329"/>
      <c r="R5" s="330"/>
      <c r="S5" s="335">
        <f>'05'!K19</f>
        <v>27163.090000000004</v>
      </c>
      <c r="T5" s="329"/>
      <c r="U5" s="329"/>
      <c r="V5" s="330"/>
      <c r="W5" s="335">
        <f>'06'!K19</f>
        <v>18034.64</v>
      </c>
      <c r="X5" s="329"/>
      <c r="Y5" s="329"/>
      <c r="Z5" s="330"/>
      <c r="AA5" s="335">
        <f>'07'!K19</f>
        <v>15101.890000000001</v>
      </c>
      <c r="AB5" s="329"/>
      <c r="AC5" s="329"/>
      <c r="AD5" s="330"/>
      <c r="AE5" s="335">
        <f>'08'!K19</f>
        <v>15101.890000000001</v>
      </c>
      <c r="AF5" s="329"/>
      <c r="AG5" s="329"/>
      <c r="AH5" s="330"/>
      <c r="AI5" s="335">
        <f>'09'!K19</f>
        <v>15101.890000000001</v>
      </c>
      <c r="AJ5" s="329"/>
      <c r="AK5" s="329"/>
      <c r="AL5" s="330"/>
      <c r="AM5" s="335">
        <f>'10'!K19</f>
        <v>15101.890000000001</v>
      </c>
      <c r="AN5" s="329"/>
      <c r="AO5" s="329"/>
      <c r="AP5" s="330"/>
      <c r="AQ5" s="335">
        <f>'11'!K19</f>
        <v>15101.890000000001</v>
      </c>
      <c r="AR5" s="329"/>
      <c r="AS5" s="329"/>
      <c r="AT5" s="330"/>
      <c r="AU5" s="335">
        <f>'12'!K19</f>
        <v>15101.890000000001</v>
      </c>
      <c r="AV5" s="329"/>
      <c r="AW5" s="329"/>
      <c r="AX5" s="330"/>
      <c r="AZ5" s="6"/>
      <c r="BA5" s="7"/>
      <c r="BB5" s="1"/>
      <c r="BC5" s="1"/>
    </row>
    <row r="6" spans="1:55" ht="17.25" thickTop="1" thickBot="1">
      <c r="A6" s="205"/>
      <c r="B6" s="8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31" t="s">
        <v>230</v>
      </c>
      <c r="D7" s="332"/>
      <c r="E7" s="332"/>
      <c r="F7" s="333"/>
      <c r="G7" s="331" t="s">
        <v>230</v>
      </c>
      <c r="H7" s="332"/>
      <c r="I7" s="332"/>
      <c r="J7" s="333"/>
      <c r="K7" s="331" t="s">
        <v>230</v>
      </c>
      <c r="L7" s="332"/>
      <c r="M7" s="332"/>
      <c r="N7" s="333"/>
      <c r="O7" s="331" t="s">
        <v>230</v>
      </c>
      <c r="P7" s="332"/>
      <c r="Q7" s="332"/>
      <c r="R7" s="333"/>
      <c r="S7" s="331" t="s">
        <v>230</v>
      </c>
      <c r="T7" s="332"/>
      <c r="U7" s="332"/>
      <c r="V7" s="333"/>
      <c r="W7" s="331" t="s">
        <v>230</v>
      </c>
      <c r="X7" s="332"/>
      <c r="Y7" s="332"/>
      <c r="Z7" s="333"/>
      <c r="AA7" s="331" t="s">
        <v>230</v>
      </c>
      <c r="AB7" s="332"/>
      <c r="AC7" s="332"/>
      <c r="AD7" s="333"/>
      <c r="AE7" s="331" t="s">
        <v>230</v>
      </c>
      <c r="AF7" s="332"/>
      <c r="AG7" s="332"/>
      <c r="AH7" s="333"/>
      <c r="AI7" s="331" t="s">
        <v>230</v>
      </c>
      <c r="AJ7" s="332"/>
      <c r="AK7" s="332"/>
      <c r="AL7" s="333"/>
      <c r="AM7" s="331" t="s">
        <v>230</v>
      </c>
      <c r="AN7" s="332"/>
      <c r="AO7" s="332"/>
      <c r="AP7" s="333"/>
      <c r="AQ7" s="331" t="s">
        <v>230</v>
      </c>
      <c r="AR7" s="332"/>
      <c r="AS7" s="332"/>
      <c r="AT7" s="333"/>
      <c r="AU7" s="331" t="s">
        <v>230</v>
      </c>
      <c r="AV7" s="332"/>
      <c r="AW7" s="332"/>
      <c r="AX7" s="333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13">
        <f>SUM('01'!L25:'01'!L29)</f>
        <v>2593.46</v>
      </c>
      <c r="D8" s="314"/>
      <c r="E8" s="314"/>
      <c r="F8" s="315"/>
      <c r="G8" s="313">
        <f>SUM('02'!L25:'02'!L29)</f>
        <v>2592.42</v>
      </c>
      <c r="H8" s="314"/>
      <c r="I8" s="314"/>
      <c r="J8" s="315"/>
      <c r="K8" s="313">
        <f>SUM('03'!L25:'03'!L29)</f>
        <v>2526.87</v>
      </c>
      <c r="L8" s="314"/>
      <c r="M8" s="314"/>
      <c r="N8" s="315"/>
      <c r="O8" s="313">
        <f>SUM('04'!L25:'04'!L29)</f>
        <v>2570.56</v>
      </c>
      <c r="P8" s="314"/>
      <c r="Q8" s="314"/>
      <c r="R8" s="315"/>
      <c r="S8" s="313">
        <f>SUM('05'!L25:'05'!L29)</f>
        <v>4448.8500000000004</v>
      </c>
      <c r="T8" s="314"/>
      <c r="U8" s="314"/>
      <c r="V8" s="315"/>
      <c r="W8" s="313">
        <f>SUM('06'!L25:'06'!L29)</f>
        <v>0</v>
      </c>
      <c r="X8" s="314"/>
      <c r="Y8" s="314"/>
      <c r="Z8" s="315"/>
      <c r="AA8" s="313">
        <f>SUM('07'!L25:'07'!L29)</f>
        <v>0</v>
      </c>
      <c r="AB8" s="314"/>
      <c r="AC8" s="314"/>
      <c r="AD8" s="315"/>
      <c r="AE8" s="313">
        <f>SUM('08'!L25:'08'!L29)</f>
        <v>0</v>
      </c>
      <c r="AF8" s="314"/>
      <c r="AG8" s="314"/>
      <c r="AH8" s="315"/>
      <c r="AI8" s="313">
        <f>SUM('09'!L25:'09'!L29)</f>
        <v>0</v>
      </c>
      <c r="AJ8" s="314"/>
      <c r="AK8" s="314"/>
      <c r="AL8" s="315"/>
      <c r="AM8" s="313">
        <f>SUM('10'!L25:'10'!L29)</f>
        <v>0</v>
      </c>
      <c r="AN8" s="314"/>
      <c r="AO8" s="314"/>
      <c r="AP8" s="315"/>
      <c r="AQ8" s="313">
        <f>SUM('11'!L25:'11'!L29)</f>
        <v>0</v>
      </c>
      <c r="AR8" s="314"/>
      <c r="AS8" s="314"/>
      <c r="AT8" s="315"/>
      <c r="AU8" s="313">
        <f>SUM('12'!L25:'12'!L29)</f>
        <v>0</v>
      </c>
      <c r="AV8" s="314"/>
      <c r="AW8" s="314"/>
      <c r="AX8" s="315"/>
      <c r="AZ8" s="209">
        <f>SUM(C8:AU8)</f>
        <v>14732.16</v>
      </c>
      <c r="BA8" s="112">
        <f t="shared" ref="BA8:BA16" ca="1" si="0">AZ8/BC$17</f>
        <v>2946.4319999999998</v>
      </c>
      <c r="BB8" s="1"/>
      <c r="BC8" s="1"/>
    </row>
    <row r="9" spans="1:55" ht="15.75">
      <c r="A9" s="189" t="s">
        <v>213</v>
      </c>
      <c r="B9" s="193">
        <v>5835.74</v>
      </c>
      <c r="C9" s="316">
        <f>SUM('01'!L30:'01'!L34)</f>
        <v>655.59</v>
      </c>
      <c r="D9" s="317"/>
      <c r="E9" s="317"/>
      <c r="F9" s="318"/>
      <c r="G9" s="316">
        <f>SUM('02'!L30:'02'!L34)</f>
        <v>760.26</v>
      </c>
      <c r="H9" s="317"/>
      <c r="I9" s="317"/>
      <c r="J9" s="318"/>
      <c r="K9" s="316">
        <f>SUM('03'!L30:'03'!L34)</f>
        <v>516.44000000000005</v>
      </c>
      <c r="L9" s="317"/>
      <c r="M9" s="317"/>
      <c r="N9" s="318"/>
      <c r="O9" s="316">
        <f>SUM('04'!L30:'04'!L34)</f>
        <v>507.54</v>
      </c>
      <c r="P9" s="317"/>
      <c r="Q9" s="317"/>
      <c r="R9" s="318"/>
      <c r="S9" s="316">
        <f>SUM('05'!L30:'05'!L34)</f>
        <v>578.16999999999996</v>
      </c>
      <c r="T9" s="317"/>
      <c r="U9" s="317"/>
      <c r="V9" s="318"/>
      <c r="W9" s="316">
        <f>SUM('06'!L30:'06'!L34)</f>
        <v>0</v>
      </c>
      <c r="X9" s="317"/>
      <c r="Y9" s="317"/>
      <c r="Z9" s="318"/>
      <c r="AA9" s="316">
        <f>SUM('07'!L30:'07'!L34)</f>
        <v>0</v>
      </c>
      <c r="AB9" s="317"/>
      <c r="AC9" s="317"/>
      <c r="AD9" s="318"/>
      <c r="AE9" s="316">
        <f>SUM('08'!L30:'08'!L34)</f>
        <v>0</v>
      </c>
      <c r="AF9" s="317"/>
      <c r="AG9" s="317"/>
      <c r="AH9" s="318"/>
      <c r="AI9" s="316">
        <f>SUM('09'!L30:'09'!L34)</f>
        <v>0</v>
      </c>
      <c r="AJ9" s="317"/>
      <c r="AK9" s="317"/>
      <c r="AL9" s="318"/>
      <c r="AM9" s="316">
        <f>SUM('10'!L30:'10'!L34)</f>
        <v>0</v>
      </c>
      <c r="AN9" s="317"/>
      <c r="AO9" s="317"/>
      <c r="AP9" s="318"/>
      <c r="AQ9" s="316">
        <f>SUM('11'!L30:'11'!L34)</f>
        <v>0</v>
      </c>
      <c r="AR9" s="317"/>
      <c r="AS9" s="317"/>
      <c r="AT9" s="318"/>
      <c r="AU9" s="316">
        <f>SUM('12'!L30:'12'!L34)</f>
        <v>0</v>
      </c>
      <c r="AV9" s="317"/>
      <c r="AW9" s="317"/>
      <c r="AX9" s="318"/>
      <c r="AZ9" s="210">
        <f t="shared" ref="AZ9:AZ16" si="1">SUM(C9:AW9)</f>
        <v>3018</v>
      </c>
      <c r="BA9" s="112">
        <f t="shared" ca="1" si="0"/>
        <v>603.6</v>
      </c>
      <c r="BB9" s="1"/>
      <c r="BC9" s="1"/>
    </row>
    <row r="10" spans="1:55" ht="15.75">
      <c r="A10" s="190" t="s">
        <v>218</v>
      </c>
      <c r="B10" s="194">
        <v>2731.18</v>
      </c>
      <c r="C10" s="316">
        <f>SUM('01'!L35:'01'!L39)</f>
        <v>120.85</v>
      </c>
      <c r="D10" s="317"/>
      <c r="E10" s="317"/>
      <c r="F10" s="318"/>
      <c r="G10" s="316">
        <f>SUM('02'!L35:'02'!L39)</f>
        <v>107.38</v>
      </c>
      <c r="H10" s="317"/>
      <c r="I10" s="317"/>
      <c r="J10" s="318"/>
      <c r="K10" s="316">
        <f>SUM('03'!L35:'03'!L39)</f>
        <v>91.73</v>
      </c>
      <c r="L10" s="317"/>
      <c r="M10" s="317"/>
      <c r="N10" s="318"/>
      <c r="O10" s="316">
        <f>SUM('04'!L35:'04'!L39)</f>
        <v>204.23</v>
      </c>
      <c r="P10" s="317"/>
      <c r="Q10" s="317"/>
      <c r="R10" s="318"/>
      <c r="S10" s="316">
        <f>SUM('05'!L35:'05'!L39)</f>
        <v>0</v>
      </c>
      <c r="T10" s="317"/>
      <c r="U10" s="317"/>
      <c r="V10" s="318"/>
      <c r="W10" s="319">
        <f>SUM('06'!L35:'06'!L39)</f>
        <v>0</v>
      </c>
      <c r="X10" s="320"/>
      <c r="Y10" s="320"/>
      <c r="Z10" s="321"/>
      <c r="AA10" s="319">
        <f>SUM('07'!L35:'07'!L39)</f>
        <v>0</v>
      </c>
      <c r="AB10" s="320"/>
      <c r="AC10" s="320"/>
      <c r="AD10" s="321"/>
      <c r="AE10" s="319">
        <f>SUM('08'!L35:'08'!L39)</f>
        <v>0</v>
      </c>
      <c r="AF10" s="320"/>
      <c r="AG10" s="320"/>
      <c r="AH10" s="321"/>
      <c r="AI10" s="319">
        <f>SUM('09'!L35:'09'!L39)</f>
        <v>0</v>
      </c>
      <c r="AJ10" s="320"/>
      <c r="AK10" s="320"/>
      <c r="AL10" s="321"/>
      <c r="AM10" s="319">
        <f>SUM('10'!L35:'10'!L39)</f>
        <v>0</v>
      </c>
      <c r="AN10" s="320"/>
      <c r="AO10" s="320"/>
      <c r="AP10" s="321"/>
      <c r="AQ10" s="319">
        <f>SUM('11'!L35:'11'!L39)</f>
        <v>0</v>
      </c>
      <c r="AR10" s="320"/>
      <c r="AS10" s="320"/>
      <c r="AT10" s="321"/>
      <c r="AU10" s="319">
        <f>SUM('12'!L35:'12'!L39)</f>
        <v>0</v>
      </c>
      <c r="AV10" s="320"/>
      <c r="AW10" s="320"/>
      <c r="AX10" s="321"/>
      <c r="AZ10" s="211">
        <f t="shared" si="1"/>
        <v>524.18999999999994</v>
      </c>
      <c r="BA10" s="112">
        <f t="shared" ca="1" si="0"/>
        <v>104.83799999999999</v>
      </c>
      <c r="BB10" s="1"/>
      <c r="BC10" s="1"/>
    </row>
    <row r="11" spans="1:55" ht="15.75">
      <c r="A11" s="189" t="s">
        <v>214</v>
      </c>
      <c r="B11" s="193">
        <v>2906.88</v>
      </c>
      <c r="C11" s="316">
        <f>SUM('01'!L40:'01'!L44)</f>
        <v>3.87</v>
      </c>
      <c r="D11" s="317"/>
      <c r="E11" s="317"/>
      <c r="F11" s="318"/>
      <c r="G11" s="316">
        <f>SUM('02'!L40:'02'!L44)</f>
        <v>0</v>
      </c>
      <c r="H11" s="317"/>
      <c r="I11" s="317"/>
      <c r="J11" s="318"/>
      <c r="K11" s="316">
        <f>SUM('03'!L40:'03'!L44)</f>
        <v>0</v>
      </c>
      <c r="L11" s="317"/>
      <c r="M11" s="317"/>
      <c r="N11" s="318"/>
      <c r="O11" s="316">
        <f>SUM('04'!L40:'04'!L44)</f>
        <v>356.59</v>
      </c>
      <c r="P11" s="317"/>
      <c r="Q11" s="317"/>
      <c r="R11" s="318"/>
      <c r="S11" s="316">
        <f>SUM('05'!L40:'05'!L44)</f>
        <v>45.86</v>
      </c>
      <c r="T11" s="317"/>
      <c r="U11" s="317"/>
      <c r="V11" s="318"/>
      <c r="W11" s="316">
        <f>SUM('06'!L40:'06'!L44)</f>
        <v>0</v>
      </c>
      <c r="X11" s="317"/>
      <c r="Y11" s="317"/>
      <c r="Z11" s="318"/>
      <c r="AA11" s="316">
        <f>SUM('07'!L40:'07'!L44)</f>
        <v>0</v>
      </c>
      <c r="AB11" s="317"/>
      <c r="AC11" s="317"/>
      <c r="AD11" s="318"/>
      <c r="AE11" s="316">
        <f>SUM('08'!L40:'08'!L44)</f>
        <v>0</v>
      </c>
      <c r="AF11" s="317"/>
      <c r="AG11" s="317"/>
      <c r="AH11" s="318"/>
      <c r="AI11" s="316">
        <f>SUM('09'!L40:'09'!L44)</f>
        <v>0</v>
      </c>
      <c r="AJ11" s="317"/>
      <c r="AK11" s="317"/>
      <c r="AL11" s="318"/>
      <c r="AM11" s="316">
        <f>SUM('10'!L40:'10'!L44)</f>
        <v>0</v>
      </c>
      <c r="AN11" s="317"/>
      <c r="AO11" s="317"/>
      <c r="AP11" s="318"/>
      <c r="AQ11" s="316">
        <f>SUM('11'!L40:'11'!L44)</f>
        <v>0</v>
      </c>
      <c r="AR11" s="317"/>
      <c r="AS11" s="317"/>
      <c r="AT11" s="318"/>
      <c r="AU11" s="316">
        <f>SUM('12'!L40:'12'!L44)</f>
        <v>0</v>
      </c>
      <c r="AV11" s="317"/>
      <c r="AW11" s="317"/>
      <c r="AX11" s="318"/>
      <c r="AZ11" s="210">
        <f t="shared" si="1"/>
        <v>406.32</v>
      </c>
      <c r="BA11" s="112">
        <f t="shared" ca="1" si="0"/>
        <v>81.263999999999996</v>
      </c>
      <c r="BB11" s="1"/>
      <c r="BC11" s="1"/>
    </row>
    <row r="12" spans="1:55" ht="15.75">
      <c r="A12" s="190" t="s">
        <v>23</v>
      </c>
      <c r="B12" s="194">
        <v>3325.31</v>
      </c>
      <c r="C12" s="316">
        <f>SUM('01'!L45:'01'!L49)</f>
        <v>137</v>
      </c>
      <c r="D12" s="317"/>
      <c r="E12" s="317"/>
      <c r="F12" s="318"/>
      <c r="G12" s="316">
        <f>SUM('02'!L45:'02'!L49)</f>
        <v>600.04</v>
      </c>
      <c r="H12" s="317"/>
      <c r="I12" s="317"/>
      <c r="J12" s="318"/>
      <c r="K12" s="316">
        <f>SUM('03'!L45:'03'!L49)</f>
        <v>380</v>
      </c>
      <c r="L12" s="317"/>
      <c r="M12" s="317"/>
      <c r="N12" s="318"/>
      <c r="O12" s="316">
        <f>SUM('04'!L45:'04'!L49)</f>
        <v>0</v>
      </c>
      <c r="P12" s="317"/>
      <c r="Q12" s="317"/>
      <c r="R12" s="318"/>
      <c r="S12" s="316">
        <f>SUM('05'!L45:'05'!L49)</f>
        <v>0</v>
      </c>
      <c r="T12" s="317"/>
      <c r="U12" s="317"/>
      <c r="V12" s="318"/>
      <c r="W12" s="319">
        <f>SUM('06'!L45:'06'!L49)</f>
        <v>0</v>
      </c>
      <c r="X12" s="320"/>
      <c r="Y12" s="320"/>
      <c r="Z12" s="321"/>
      <c r="AA12" s="319">
        <f>SUM('07'!L45:'07'!L49)</f>
        <v>0</v>
      </c>
      <c r="AB12" s="320"/>
      <c r="AC12" s="320"/>
      <c r="AD12" s="321"/>
      <c r="AE12" s="319">
        <f>SUM('08'!L45:'08'!L49)</f>
        <v>0</v>
      </c>
      <c r="AF12" s="320"/>
      <c r="AG12" s="320"/>
      <c r="AH12" s="321"/>
      <c r="AI12" s="319">
        <f>SUM('09'!L45:'09'!L49)</f>
        <v>0</v>
      </c>
      <c r="AJ12" s="320"/>
      <c r="AK12" s="320"/>
      <c r="AL12" s="321"/>
      <c r="AM12" s="319">
        <f>SUM('10'!L45:'10'!L49)</f>
        <v>0</v>
      </c>
      <c r="AN12" s="320"/>
      <c r="AO12" s="320"/>
      <c r="AP12" s="321"/>
      <c r="AQ12" s="319">
        <f>SUM('11'!L45:'11'!L49)</f>
        <v>0</v>
      </c>
      <c r="AR12" s="320"/>
      <c r="AS12" s="320"/>
      <c r="AT12" s="321"/>
      <c r="AU12" s="319">
        <f>SUM('12'!L45:'12'!L49)</f>
        <v>0</v>
      </c>
      <c r="AV12" s="320"/>
      <c r="AW12" s="320"/>
      <c r="AX12" s="321"/>
      <c r="AZ12" s="211">
        <f t="shared" si="1"/>
        <v>1117.04</v>
      </c>
      <c r="BA12" s="112">
        <f t="shared" ca="1" si="0"/>
        <v>223.40799999999999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16">
        <f>SUM('01'!L50:'01'!L54)</f>
        <v>95.8</v>
      </c>
      <c r="D13" s="317"/>
      <c r="E13" s="317"/>
      <c r="F13" s="318"/>
      <c r="G13" s="316">
        <f>SUM('02'!L50:'02'!L54)</f>
        <v>95.8</v>
      </c>
      <c r="H13" s="317"/>
      <c r="I13" s="317"/>
      <c r="J13" s="318"/>
      <c r="K13" s="316">
        <f>SUM('03'!L50:'03'!L54)</f>
        <v>4517.74</v>
      </c>
      <c r="L13" s="317"/>
      <c r="M13" s="317"/>
      <c r="N13" s="318"/>
      <c r="O13" s="316">
        <f>SUM('04'!L50:'04'!L54)</f>
        <v>95.8</v>
      </c>
      <c r="P13" s="317"/>
      <c r="Q13" s="317"/>
      <c r="R13" s="318"/>
      <c r="S13" s="316">
        <f>SUM('05'!L50:'05'!L54)</f>
        <v>95.8</v>
      </c>
      <c r="T13" s="317"/>
      <c r="U13" s="317"/>
      <c r="V13" s="318"/>
      <c r="W13" s="316">
        <f>SUM('06'!L50:'06'!L54)</f>
        <v>0</v>
      </c>
      <c r="X13" s="317"/>
      <c r="Y13" s="317"/>
      <c r="Z13" s="318"/>
      <c r="AA13" s="316">
        <f>SUM('07'!L50:'07'!L54)</f>
        <v>0</v>
      </c>
      <c r="AB13" s="317"/>
      <c r="AC13" s="317"/>
      <c r="AD13" s="318"/>
      <c r="AE13" s="316">
        <f>SUM('08'!L50:'08'!L54)</f>
        <v>0</v>
      </c>
      <c r="AF13" s="317"/>
      <c r="AG13" s="317"/>
      <c r="AH13" s="318"/>
      <c r="AI13" s="316">
        <f>SUM('09'!L50:'09'!L54)</f>
        <v>0</v>
      </c>
      <c r="AJ13" s="317"/>
      <c r="AK13" s="317"/>
      <c r="AL13" s="318"/>
      <c r="AM13" s="316">
        <f>SUM('10'!L50:'10'!L54)</f>
        <v>0</v>
      </c>
      <c r="AN13" s="317"/>
      <c r="AO13" s="317"/>
      <c r="AP13" s="318"/>
      <c r="AQ13" s="316">
        <f>SUM('11'!L50:'11'!L54)</f>
        <v>0</v>
      </c>
      <c r="AR13" s="317"/>
      <c r="AS13" s="317"/>
      <c r="AT13" s="318"/>
      <c r="AU13" s="316">
        <f>SUM('12'!L50:'12'!L54)</f>
        <v>0</v>
      </c>
      <c r="AV13" s="317"/>
      <c r="AW13" s="317"/>
      <c r="AX13" s="318"/>
      <c r="AZ13" s="212">
        <f t="shared" si="1"/>
        <v>4900.9400000000005</v>
      </c>
      <c r="BA13" s="112">
        <f t="shared" ca="1" si="0"/>
        <v>980.1880000000001</v>
      </c>
      <c r="BB13" s="1"/>
      <c r="BC13" s="1"/>
    </row>
    <row r="14" spans="1:55" ht="15.75">
      <c r="A14" s="190" t="s">
        <v>216</v>
      </c>
      <c r="B14" s="194">
        <v>364.62</v>
      </c>
      <c r="C14" s="316">
        <f>SUM('01'!L55:'01'!L59)</f>
        <v>0</v>
      </c>
      <c r="D14" s="317"/>
      <c r="E14" s="317"/>
      <c r="F14" s="318"/>
      <c r="G14" s="316">
        <f>SUM('02'!L55:'02'!L59)</f>
        <v>0</v>
      </c>
      <c r="H14" s="317"/>
      <c r="I14" s="317"/>
      <c r="J14" s="318"/>
      <c r="K14" s="316">
        <f>SUM('03'!L55:'03'!L59)</f>
        <v>9.44</v>
      </c>
      <c r="L14" s="317"/>
      <c r="M14" s="317"/>
      <c r="N14" s="318"/>
      <c r="O14" s="316">
        <f>SUM('04'!L55:'04'!L59)</f>
        <v>37.980000000000004</v>
      </c>
      <c r="P14" s="317"/>
      <c r="Q14" s="317"/>
      <c r="R14" s="318"/>
      <c r="S14" s="316">
        <f>SUM('05'!L55:'05'!L59)</f>
        <v>17.350000000000001</v>
      </c>
      <c r="T14" s="317"/>
      <c r="U14" s="317"/>
      <c r="V14" s="318"/>
      <c r="W14" s="319">
        <f>SUM('06'!L55:'06'!L59)</f>
        <v>0</v>
      </c>
      <c r="X14" s="320"/>
      <c r="Y14" s="320"/>
      <c r="Z14" s="321"/>
      <c r="AA14" s="319">
        <f>SUM('07'!L55:'07'!L59)</f>
        <v>0</v>
      </c>
      <c r="AB14" s="320"/>
      <c r="AC14" s="320"/>
      <c r="AD14" s="321"/>
      <c r="AE14" s="319">
        <f>SUM('08'!L55:'08'!L59)</f>
        <v>0</v>
      </c>
      <c r="AF14" s="320"/>
      <c r="AG14" s="320"/>
      <c r="AH14" s="321"/>
      <c r="AI14" s="319">
        <f>SUM('09'!L55:'09'!L59)</f>
        <v>0</v>
      </c>
      <c r="AJ14" s="320"/>
      <c r="AK14" s="320"/>
      <c r="AL14" s="321"/>
      <c r="AM14" s="319">
        <f>SUM('10'!L55:'10'!L59)</f>
        <v>0</v>
      </c>
      <c r="AN14" s="320"/>
      <c r="AO14" s="320"/>
      <c r="AP14" s="321"/>
      <c r="AQ14" s="319">
        <f>SUM('11'!L55:'11'!L59)</f>
        <v>0</v>
      </c>
      <c r="AR14" s="320"/>
      <c r="AS14" s="320"/>
      <c r="AT14" s="321"/>
      <c r="AU14" s="319">
        <f>SUM('12'!L55:'12'!L59)</f>
        <v>0</v>
      </c>
      <c r="AV14" s="320"/>
      <c r="AW14" s="320"/>
      <c r="AX14" s="321"/>
      <c r="AZ14" s="211">
        <f t="shared" si="1"/>
        <v>64.77000000000001</v>
      </c>
      <c r="BA14" s="112">
        <f t="shared" ca="1" si="0"/>
        <v>12.954000000000002</v>
      </c>
      <c r="BB14" s="3"/>
      <c r="BC14" s="3"/>
    </row>
    <row r="15" spans="1:55" ht="15.75">
      <c r="A15" s="189" t="s">
        <v>217</v>
      </c>
      <c r="B15" s="193">
        <v>7756.04</v>
      </c>
      <c r="C15" s="316">
        <f>SUM('01'!L60:'01'!L64)</f>
        <v>0</v>
      </c>
      <c r="D15" s="317"/>
      <c r="E15" s="317"/>
      <c r="F15" s="318"/>
      <c r="G15" s="316">
        <f>SUM('02'!L60:'02'!L64)</f>
        <v>665.77</v>
      </c>
      <c r="H15" s="317"/>
      <c r="I15" s="317"/>
      <c r="J15" s="318"/>
      <c r="K15" s="316">
        <f>SUM('03'!L60:'03'!L64)</f>
        <v>682.39</v>
      </c>
      <c r="L15" s="317"/>
      <c r="M15" s="317"/>
      <c r="N15" s="318"/>
      <c r="O15" s="316">
        <f>SUM('04'!L60:'04'!L64)</f>
        <v>550</v>
      </c>
      <c r="P15" s="317"/>
      <c r="Q15" s="317"/>
      <c r="R15" s="318"/>
      <c r="S15" s="316">
        <f>SUM('05'!L60:'05'!L64)</f>
        <v>652.44000000000005</v>
      </c>
      <c r="T15" s="317"/>
      <c r="U15" s="317"/>
      <c r="V15" s="318"/>
      <c r="W15" s="316">
        <f>SUM('06'!L60:'06'!L64)</f>
        <v>0</v>
      </c>
      <c r="X15" s="317"/>
      <c r="Y15" s="317"/>
      <c r="Z15" s="318"/>
      <c r="AA15" s="316">
        <f>SUM('07'!L60:'07'!L64)</f>
        <v>0</v>
      </c>
      <c r="AB15" s="317"/>
      <c r="AC15" s="317"/>
      <c r="AD15" s="318"/>
      <c r="AE15" s="316">
        <f>SUM('08'!L60:'08'!L64)</f>
        <v>0</v>
      </c>
      <c r="AF15" s="317"/>
      <c r="AG15" s="317"/>
      <c r="AH15" s="318"/>
      <c r="AI15" s="316">
        <f>SUM('09'!L60:'09'!L64)</f>
        <v>0</v>
      </c>
      <c r="AJ15" s="317"/>
      <c r="AK15" s="317"/>
      <c r="AL15" s="318"/>
      <c r="AM15" s="316">
        <f>SUM('10'!L60:'10'!L64)</f>
        <v>0</v>
      </c>
      <c r="AN15" s="317"/>
      <c r="AO15" s="317"/>
      <c r="AP15" s="318"/>
      <c r="AQ15" s="316">
        <f>SUM('11'!L60:'11'!L64)</f>
        <v>0</v>
      </c>
      <c r="AR15" s="317"/>
      <c r="AS15" s="317"/>
      <c r="AT15" s="318"/>
      <c r="AU15" s="316">
        <f>SUM('12'!L60:'12'!L64)</f>
        <v>0</v>
      </c>
      <c r="AV15" s="317"/>
      <c r="AW15" s="317"/>
      <c r="AX15" s="318"/>
      <c r="AZ15" s="210">
        <f t="shared" si="1"/>
        <v>2550.6</v>
      </c>
      <c r="BA15" s="112">
        <f t="shared" ca="1" si="0"/>
        <v>510.12</v>
      </c>
      <c r="BB15" s="1"/>
      <c r="BC15" s="1"/>
    </row>
    <row r="16" spans="1:55" ht="16.5" thickBot="1">
      <c r="A16" s="191" t="s">
        <v>42</v>
      </c>
      <c r="B16" s="196">
        <v>2018.96</v>
      </c>
      <c r="C16" s="316">
        <f>SUM('01'!L65:'01'!L69)</f>
        <v>85</v>
      </c>
      <c r="D16" s="317"/>
      <c r="E16" s="317"/>
      <c r="F16" s="318"/>
      <c r="G16" s="316">
        <f>SUM('02'!L65:'02'!L69)</f>
        <v>0</v>
      </c>
      <c r="H16" s="317"/>
      <c r="I16" s="317"/>
      <c r="J16" s="318"/>
      <c r="K16" s="316">
        <f>SUM('03'!L65:'03'!L69)</f>
        <v>0</v>
      </c>
      <c r="L16" s="317"/>
      <c r="M16" s="317"/>
      <c r="N16" s="318"/>
      <c r="O16" s="316">
        <f>SUM('04'!L65:'04'!L69)</f>
        <v>0</v>
      </c>
      <c r="P16" s="317"/>
      <c r="Q16" s="317"/>
      <c r="R16" s="318"/>
      <c r="S16" s="316">
        <f>SUM('05'!L65:'05'!L69)</f>
        <v>0</v>
      </c>
      <c r="T16" s="317"/>
      <c r="U16" s="317"/>
      <c r="V16" s="318"/>
      <c r="W16" s="322">
        <f>SUM('06'!L65:'06'!L69)</f>
        <v>0</v>
      </c>
      <c r="X16" s="323"/>
      <c r="Y16" s="323"/>
      <c r="Z16" s="324"/>
      <c r="AA16" s="322">
        <f>SUM('07'!L65:'07'!L69)</f>
        <v>0</v>
      </c>
      <c r="AB16" s="323"/>
      <c r="AC16" s="323"/>
      <c r="AD16" s="324"/>
      <c r="AE16" s="322">
        <f>SUM('08'!L65:'08'!L69)</f>
        <v>0</v>
      </c>
      <c r="AF16" s="323"/>
      <c r="AG16" s="323"/>
      <c r="AH16" s="324"/>
      <c r="AI16" s="322">
        <f>SUM('09'!L65:'09'!L69)</f>
        <v>0</v>
      </c>
      <c r="AJ16" s="323"/>
      <c r="AK16" s="323"/>
      <c r="AL16" s="324"/>
      <c r="AM16" s="322">
        <f>SUM('10'!L65:'10'!L69)</f>
        <v>0</v>
      </c>
      <c r="AN16" s="323"/>
      <c r="AO16" s="323"/>
      <c r="AP16" s="324"/>
      <c r="AQ16" s="322">
        <f>SUM('11'!L65:'11'!L69)</f>
        <v>0</v>
      </c>
      <c r="AR16" s="323"/>
      <c r="AS16" s="323"/>
      <c r="AT16" s="324"/>
      <c r="AU16" s="322">
        <f>SUM('12'!L65:'12'!L69)</f>
        <v>0</v>
      </c>
      <c r="AV16" s="323"/>
      <c r="AW16" s="323"/>
      <c r="AX16" s="324"/>
      <c r="AZ16" s="213">
        <f t="shared" si="1"/>
        <v>85</v>
      </c>
      <c r="BA16" s="112">
        <f t="shared" ca="1" si="0"/>
        <v>17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36">
        <f>SUM(C8:C16)</f>
        <v>3691.57</v>
      </c>
      <c r="D17" s="337"/>
      <c r="E17" s="337"/>
      <c r="F17" s="338"/>
      <c r="G17" s="336">
        <f>SUM(G8:G16)</f>
        <v>4821.67</v>
      </c>
      <c r="H17" s="337"/>
      <c r="I17" s="337"/>
      <c r="J17" s="338"/>
      <c r="K17" s="336">
        <f>SUM(K8:K16)</f>
        <v>8724.6099999999988</v>
      </c>
      <c r="L17" s="337"/>
      <c r="M17" s="337"/>
      <c r="N17" s="338"/>
      <c r="O17" s="336">
        <f>SUM(O8:O16)</f>
        <v>4322.7000000000007</v>
      </c>
      <c r="P17" s="337"/>
      <c r="Q17" s="337"/>
      <c r="R17" s="338"/>
      <c r="S17" s="336">
        <f>SUM(S8:S16)</f>
        <v>5838.4700000000012</v>
      </c>
      <c r="T17" s="337"/>
      <c r="U17" s="337"/>
      <c r="V17" s="338"/>
      <c r="W17" s="336">
        <f>SUM(W8:W16)</f>
        <v>0</v>
      </c>
      <c r="X17" s="337"/>
      <c r="Y17" s="337"/>
      <c r="Z17" s="338"/>
      <c r="AA17" s="336">
        <f>SUM(AA8:AA16)</f>
        <v>0</v>
      </c>
      <c r="AB17" s="337"/>
      <c r="AC17" s="337"/>
      <c r="AD17" s="338"/>
      <c r="AE17" s="336">
        <f>SUM(AE8:AE16)</f>
        <v>0</v>
      </c>
      <c r="AF17" s="337"/>
      <c r="AG17" s="337"/>
      <c r="AH17" s="338"/>
      <c r="AI17" s="336">
        <f>SUM(AI8:AI16)</f>
        <v>0</v>
      </c>
      <c r="AJ17" s="337"/>
      <c r="AK17" s="337"/>
      <c r="AL17" s="338"/>
      <c r="AM17" s="336">
        <f>SUM(AM8:AM16)</f>
        <v>0</v>
      </c>
      <c r="AN17" s="337"/>
      <c r="AO17" s="337"/>
      <c r="AP17" s="338"/>
      <c r="AQ17" s="336">
        <f>SUM(AQ8:AQ16)</f>
        <v>0</v>
      </c>
      <c r="AR17" s="337"/>
      <c r="AS17" s="337"/>
      <c r="AT17" s="338"/>
      <c r="AU17" s="336">
        <f>SUM(AU8:AU16)</f>
        <v>0</v>
      </c>
      <c r="AV17" s="337"/>
      <c r="AW17" s="337"/>
      <c r="AX17" s="338"/>
      <c r="AZ17" s="227">
        <f>SUM(AZ8:AZ16)</f>
        <v>27399.02</v>
      </c>
      <c r="BA17" s="112">
        <f ca="1">AZ17/BC$17</f>
        <v>5479.8040000000001</v>
      </c>
      <c r="BB17" s="1" t="s">
        <v>83</v>
      </c>
      <c r="BC17" s="1">
        <f ca="1">MONTH(TODAY())</f>
        <v>5</v>
      </c>
      <c r="BD17" s="39"/>
    </row>
    <row r="18" spans="1:62" ht="32.25" customHeight="1" thickTop="1" thickBot="1">
      <c r="A18" s="10"/>
      <c r="B18" s="10"/>
      <c r="C18" s="339"/>
      <c r="D18" s="339"/>
      <c r="E18" s="339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39"/>
      <c r="AA18" s="339"/>
      <c r="AB18" s="339"/>
      <c r="AC18" s="339"/>
      <c r="AD18" s="339"/>
      <c r="AE18" s="339"/>
      <c r="AF18" s="339"/>
      <c r="AG18" s="339"/>
      <c r="AH18" s="339"/>
      <c r="AI18" s="339"/>
      <c r="AJ18" s="339"/>
      <c r="AK18" s="339"/>
      <c r="AL18" s="339"/>
      <c r="AM18" s="339"/>
      <c r="AN18" s="339"/>
      <c r="AO18" s="339"/>
      <c r="AP18" s="339"/>
      <c r="AQ18" s="339"/>
      <c r="AR18" s="339"/>
      <c r="AS18" s="339"/>
      <c r="AT18" s="339"/>
      <c r="AU18" s="339" t="s">
        <v>173</v>
      </c>
      <c r="AV18" s="339"/>
      <c r="AW18" s="339"/>
      <c r="AX18" s="339"/>
      <c r="AZ18" s="131">
        <f>(2500*13)+(600*12)+(550*12)+(95*12)</f>
        <v>47440</v>
      </c>
      <c r="BA18" s="131">
        <f ca="1">12*BA17</f>
        <v>65757.648000000001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42.239999999999995</v>
      </c>
      <c r="V20" s="145">
        <f t="shared" ref="V20:V45" si="6">R20+T20-U20</f>
        <v>625.75999999999976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1169.7599999999998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1713.7599999999998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2257.7599999999998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2801.7599999999998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3345.7599999999998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3889.7599999999998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4433.76</v>
      </c>
      <c r="AZ20" s="123">
        <f t="shared" ref="AZ20:AZ27" si="14">E20+I20+M20+Q20+U20+Y20+AC20+AG20+AK20+AO20+AS20+AW20</f>
        <v>2726.2</v>
      </c>
      <c r="BA20" s="21">
        <f t="shared" ref="BA20:BA45" si="15">AZ20/AZ$46</f>
        <v>0.11440993606355451</v>
      </c>
      <c r="BB20" s="22">
        <f>_xlfn.RANK.EQ(BA20,$BA$20:$BA$45,)</f>
        <v>3</v>
      </c>
      <c r="BC20" s="22">
        <f t="shared" ref="BC20:BC45" ca="1" si="16">AZ20/BC$17</f>
        <v>545.24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2903.18</v>
      </c>
      <c r="BF20" s="21">
        <f t="shared" ref="BF20:BF45" ca="1" si="18">BE20/BE$46</f>
        <v>0.10595926423645807</v>
      </c>
      <c r="BG20" s="22">
        <f ca="1">_xlfn.RANK.EQ(BF20,$BF$20:$BF$45,)</f>
        <v>4</v>
      </c>
      <c r="BH20" s="22">
        <f t="shared" ref="BH20:BH45" ca="1" si="19">BE20/BC$17</f>
        <v>580.63599999999997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176.98000000000013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1440.0299999999995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2568.0299999999997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3696.0299999999997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4824.03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5952.03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7080.03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8208.0299999999988</v>
      </c>
      <c r="AZ21" s="152">
        <f t="shared" si="14"/>
        <v>6125.83</v>
      </c>
      <c r="BA21" s="21">
        <f t="shared" si="15"/>
        <v>0.25708158559027372</v>
      </c>
      <c r="BB21" s="22">
        <f t="shared" ref="BB21:BB45" si="20">_xlfn.RANK.EQ(BA21,$BA$20:$BA$45,)</f>
        <v>1</v>
      </c>
      <c r="BC21" s="22">
        <f t="shared" ca="1" si="16"/>
        <v>1225.1659999999999</v>
      </c>
      <c r="BE21" s="224">
        <f t="shared" ca="1" si="17"/>
        <v>5765</v>
      </c>
      <c r="BF21" s="21">
        <f t="shared" ca="1" si="18"/>
        <v>0.21040898543086575</v>
      </c>
      <c r="BG21" s="22">
        <f t="shared" ref="BG21:BG45" ca="1" si="21">_xlfn.RANK.EQ(BF21,$BF$20:$BF$45,)</f>
        <v>1</v>
      </c>
      <c r="BH21" s="22">
        <f t="shared" ca="1" si="19"/>
        <v>1153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-360.83000000000015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270.63</v>
      </c>
      <c r="V22" s="156">
        <f t="shared" si="6"/>
        <v>543.5300000000002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843.5300000000002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1333.5300000000002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1823.5300000000002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2313.5300000000002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2803.53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3293.53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3783.53</v>
      </c>
      <c r="AZ22" s="157">
        <f t="shared" si="14"/>
        <v>1556.54</v>
      </c>
      <c r="BA22" s="21">
        <f t="shared" si="15"/>
        <v>6.5323029080905703E-2</v>
      </c>
      <c r="BB22" s="22">
        <f t="shared" si="20"/>
        <v>6</v>
      </c>
      <c r="BC22" s="22">
        <f t="shared" ca="1" si="16"/>
        <v>311.30799999999999</v>
      </c>
      <c r="BE22" s="225">
        <f t="shared" ca="1" si="17"/>
        <v>1854</v>
      </c>
      <c r="BF22" s="21">
        <f t="shared" ca="1" si="18"/>
        <v>6.7666653770828283E-2</v>
      </c>
      <c r="BG22" s="22">
        <f t="shared" ca="1" si="21"/>
        <v>6</v>
      </c>
      <c r="BH22" s="22">
        <f t="shared" ca="1" si="19"/>
        <v>370.8</v>
      </c>
      <c r="BJ22" s="225">
        <f t="shared" ca="1" si="22"/>
        <v>297.46000000000004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190.85</v>
      </c>
      <c r="V23" s="151">
        <f t="shared" si="6"/>
        <v>121.33000000000007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291.33000000000004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441.33000000000004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591.33000000000004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741.33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891.33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1041.33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1191.33</v>
      </c>
      <c r="AZ23" s="152">
        <f t="shared" si="14"/>
        <v>840.8</v>
      </c>
      <c r="BA23" s="21">
        <f t="shared" si="15"/>
        <v>3.5285699597328385E-2</v>
      </c>
      <c r="BB23" s="22">
        <f t="shared" si="20"/>
        <v>7</v>
      </c>
      <c r="BC23" s="22">
        <f t="shared" ca="1" si="16"/>
        <v>168.16</v>
      </c>
      <c r="BE23" s="224">
        <f t="shared" ca="1" si="17"/>
        <v>920</v>
      </c>
      <c r="BF23" s="21">
        <f t="shared" ca="1" si="18"/>
        <v>3.357784329512515E-2</v>
      </c>
      <c r="BG23" s="22">
        <f t="shared" ca="1" si="21"/>
        <v>9</v>
      </c>
      <c r="BH23" s="22">
        <f t="shared" ca="1" si="19"/>
        <v>184</v>
      </c>
      <c r="BJ23" s="224">
        <f t="shared" ca="1" si="22"/>
        <v>79.200000000000045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116.85</v>
      </c>
      <c r="V24" s="156">
        <f t="shared" si="6"/>
        <v>181.49999999999997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341.5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501.5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661.5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821.5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981.5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1141.5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1301.5</v>
      </c>
      <c r="AZ24" s="157">
        <f t="shared" si="14"/>
        <v>628.5</v>
      </c>
      <c r="BA24" s="21">
        <f t="shared" si="15"/>
        <v>2.6376144382636642E-2</v>
      </c>
      <c r="BB24" s="22">
        <f t="shared" si="20"/>
        <v>8</v>
      </c>
      <c r="BC24" s="22">
        <f t="shared" ca="1" si="16"/>
        <v>125.7</v>
      </c>
      <c r="BE24" s="225">
        <f t="shared" ca="1" si="17"/>
        <v>810</v>
      </c>
      <c r="BF24" s="21">
        <f t="shared" ca="1" si="18"/>
        <v>2.956310116201236E-2</v>
      </c>
      <c r="BG24" s="22">
        <f t="shared" ca="1" si="21"/>
        <v>11</v>
      </c>
      <c r="BH24" s="22">
        <f t="shared" ca="1" si="19"/>
        <v>162</v>
      </c>
      <c r="BJ24" s="225">
        <f t="shared" ca="1" si="22"/>
        <v>181.49999999999997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-505</v>
      </c>
      <c r="U25" s="150">
        <f>SUM('05'!D120:F120)</f>
        <v>327.38</v>
      </c>
      <c r="V25" s="151">
        <f t="shared" si="6"/>
        <v>2834.9999999999977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3279.9999999999977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3684.9999999999977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4089.9999999999977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4494.9999999999982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4899.9999999999982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5304.9999999999982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5709.9999999999982</v>
      </c>
      <c r="AZ25" s="152">
        <f t="shared" si="14"/>
        <v>1700.9</v>
      </c>
      <c r="BA25" s="21">
        <f t="shared" si="15"/>
        <v>7.1381358759628755E-2</v>
      </c>
      <c r="BB25" s="22">
        <f t="shared" si="20"/>
        <v>5</v>
      </c>
      <c r="BC25" s="22">
        <f t="shared" ca="1" si="16"/>
        <v>340.18</v>
      </c>
      <c r="BE25" s="224">
        <f t="shared" ca="1" si="17"/>
        <v>1373.35</v>
      </c>
      <c r="BF25" s="21">
        <f t="shared" ca="1" si="18"/>
        <v>5.0124055531913174E-2</v>
      </c>
      <c r="BG25" s="22">
        <f t="shared" ca="1" si="21"/>
        <v>7</v>
      </c>
      <c r="BH25" s="22">
        <f t="shared" ca="1" si="19"/>
        <v>274.66999999999996</v>
      </c>
      <c r="BJ25" s="224">
        <f t="shared" ca="1" si="22"/>
        <v>-327.55000000000064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7.99</v>
      </c>
      <c r="V26" s="156">
        <f t="shared" si="6"/>
        <v>50.019999999999996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103.02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151.01999999999998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199.01999999999998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247.01999999999998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295.02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343.02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391.02</v>
      </c>
      <c r="AZ26" s="157">
        <f t="shared" si="14"/>
        <v>229.97000000000003</v>
      </c>
      <c r="BA26" s="21">
        <f t="shared" si="15"/>
        <v>9.6511088682178989E-3</v>
      </c>
      <c r="BB26" s="22">
        <f t="shared" si="20"/>
        <v>16</v>
      </c>
      <c r="BC26" s="22">
        <f t="shared" ca="1" si="16"/>
        <v>45.994000000000007</v>
      </c>
      <c r="BE26" s="225">
        <f t="shared" ca="1" si="17"/>
        <v>260.45</v>
      </c>
      <c r="BF26" s="21">
        <f t="shared" ca="1" si="18"/>
        <v>9.5058144415384183E-3</v>
      </c>
      <c r="BG26" s="22">
        <f t="shared" ca="1" si="21"/>
        <v>16</v>
      </c>
      <c r="BH26" s="22">
        <f t="shared" ca="1" si="19"/>
        <v>52.089999999999996</v>
      </c>
      <c r="BJ26" s="225">
        <f t="shared" ca="1" si="22"/>
        <v>30.480000000000047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322.7000000000001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372.7000000000001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422.7000000000001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472.7000000000001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522.70000000000005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572.70000000000005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622.70000000000005</v>
      </c>
      <c r="AZ27" s="188">
        <f t="shared" si="14"/>
        <v>281.25</v>
      </c>
      <c r="BA27" s="21">
        <f t="shared" si="15"/>
        <v>1.1803167235666755E-2</v>
      </c>
      <c r="BB27" s="22">
        <f t="shared" si="20"/>
        <v>15</v>
      </c>
      <c r="BC27" s="22">
        <f t="shared" ca="1" si="16"/>
        <v>56.25</v>
      </c>
      <c r="BE27" s="224">
        <f t="shared" ca="1" si="17"/>
        <v>250</v>
      </c>
      <c r="BF27" s="21">
        <f t="shared" ca="1" si="18"/>
        <v>9.1244139388927028E-3</v>
      </c>
      <c r="BG27" s="22">
        <f t="shared" ca="1" si="21"/>
        <v>17</v>
      </c>
      <c r="BH27" s="22">
        <f t="shared" ca="1" si="19"/>
        <v>50</v>
      </c>
      <c r="BJ27" s="224">
        <f t="shared" ca="1" si="22"/>
        <v>-31.249999999999943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700</v>
      </c>
      <c r="U28" s="155">
        <f>SUM('05'!D180:F180)</f>
        <v>0</v>
      </c>
      <c r="V28" s="159">
        <f t="shared" si="6"/>
        <v>946.28000000000009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1146.2800000000002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1346.2800000000002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1546.2800000000002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1746.2800000000002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1946.2800000000002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2146.2800000000002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2346.2800000000002</v>
      </c>
      <c r="AZ28" s="182">
        <f t="shared" ref="AZ28:AZ45" si="23">E28+I28+M28+Q28+U28+Y28+AC28+AG28+AK28+AO28+AS28+AW28</f>
        <v>1992.81</v>
      </c>
      <c r="BA28" s="21">
        <f t="shared" si="15"/>
        <v>8.3631892262787791E-2</v>
      </c>
      <c r="BB28" s="22">
        <f t="shared" si="20"/>
        <v>4</v>
      </c>
      <c r="BC28" s="22">
        <f t="shared" ca="1" si="16"/>
        <v>398.56200000000001</v>
      </c>
      <c r="BE28" s="223">
        <f t="shared" ca="1" si="17"/>
        <v>2330.04</v>
      </c>
      <c r="BF28" s="21">
        <f t="shared" ca="1" si="18"/>
        <v>8.504099781671022E-2</v>
      </c>
      <c r="BG28" s="22">
        <f t="shared" ca="1" si="21"/>
        <v>5</v>
      </c>
      <c r="BH28" s="22">
        <f t="shared" ca="1" si="19"/>
        <v>466.00799999999998</v>
      </c>
      <c r="BJ28" s="223">
        <f t="shared" ca="1" si="22"/>
        <v>337.23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47.63</v>
      </c>
      <c r="V29" s="160">
        <f t="shared" si="6"/>
        <v>98.800000000000068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168.80000000000007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238.80000000000007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308.80000000000007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378.80000000000007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448.80000000000007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518.80000000000007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588.80000000000007</v>
      </c>
      <c r="AZ29" s="152">
        <f t="shared" si="23"/>
        <v>174.53</v>
      </c>
      <c r="BA29" s="21">
        <f t="shared" si="15"/>
        <v>7.3244685427232671E-3</v>
      </c>
      <c r="BB29" s="22">
        <f t="shared" si="20"/>
        <v>18</v>
      </c>
      <c r="BC29" s="22">
        <f t="shared" ca="1" si="16"/>
        <v>34.905999999999999</v>
      </c>
      <c r="BE29" s="224">
        <f t="shared" ca="1" si="17"/>
        <v>320</v>
      </c>
      <c r="BF29" s="21">
        <f t="shared" ca="1" si="18"/>
        <v>1.167924984178266E-2</v>
      </c>
      <c r="BG29" s="22">
        <f t="shared" ca="1" si="21"/>
        <v>15</v>
      </c>
      <c r="BH29" s="22">
        <f t="shared" ca="1" si="19"/>
        <v>64</v>
      </c>
      <c r="BJ29" s="224">
        <f t="shared" ca="1" si="22"/>
        <v>145.47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27.56</v>
      </c>
      <c r="V30" s="161">
        <f t="shared" si="6"/>
        <v>42.089999999999975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77.089999999999975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112.08999999999997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147.08999999999997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182.08999999999997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217.08999999999997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252.08999999999997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287.08999999999997</v>
      </c>
      <c r="AZ30" s="157">
        <f t="shared" si="23"/>
        <v>131.07999999999998</v>
      </c>
      <c r="BA30" s="21">
        <f t="shared" si="15"/>
        <v>5.5010103511153709E-3</v>
      </c>
      <c r="BB30" s="22">
        <f t="shared" si="20"/>
        <v>20</v>
      </c>
      <c r="BC30" s="22">
        <f t="shared" ca="1" si="16"/>
        <v>26.215999999999998</v>
      </c>
      <c r="BE30" s="225">
        <f t="shared" ca="1" si="17"/>
        <v>200</v>
      </c>
      <c r="BF30" s="21">
        <f t="shared" ca="1" si="18"/>
        <v>7.2995311511141626E-3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68.92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20.98</v>
      </c>
      <c r="V31" s="160">
        <f t="shared" si="6"/>
        <v>81.61999999999999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101.61999999999999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121.61999999999999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141.62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161.62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181.62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201.62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221.62</v>
      </c>
      <c r="AZ31" s="152">
        <f t="shared" si="23"/>
        <v>94.42</v>
      </c>
      <c r="BA31" s="21">
        <f t="shared" si="15"/>
        <v>3.9625068458369961E-3</v>
      </c>
      <c r="BB31" s="22">
        <f t="shared" si="20"/>
        <v>21</v>
      </c>
      <c r="BC31" s="22">
        <f t="shared" ca="1" si="16"/>
        <v>18.884</v>
      </c>
      <c r="BE31" s="224">
        <f t="shared" ca="1" si="17"/>
        <v>100</v>
      </c>
      <c r="BF31" s="21">
        <f t="shared" ca="1" si="18"/>
        <v>3.6497655755570813E-3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5.5799999999999841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644</v>
      </c>
      <c r="U32" s="155">
        <f>SUM('05'!D260:F260)</f>
        <v>58.57</v>
      </c>
      <c r="V32" s="161">
        <f t="shared" si="6"/>
        <v>999.27999999999986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1099.2799999999997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1149.2799999999997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1199.2799999999997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1249.2799999999997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1299.2799999999997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1349.2799999999997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1399.2799999999997</v>
      </c>
      <c r="AZ32" s="157">
        <f t="shared" si="23"/>
        <v>189.6</v>
      </c>
      <c r="BA32" s="21">
        <f t="shared" si="15"/>
        <v>7.9569084724708146E-3</v>
      </c>
      <c r="BB32" s="22">
        <f t="shared" si="20"/>
        <v>17</v>
      </c>
      <c r="BC32" s="22">
        <f t="shared" ca="1" si="16"/>
        <v>37.92</v>
      </c>
      <c r="BE32" s="225">
        <f t="shared" ca="1" si="17"/>
        <v>1203.1300000000001</v>
      </c>
      <c r="BF32" s="21">
        <f t="shared" ca="1" si="18"/>
        <v>4.3911424569199921E-2</v>
      </c>
      <c r="BG32" s="22">
        <f t="shared" ca="1" si="21"/>
        <v>8</v>
      </c>
      <c r="BH32" s="22">
        <f t="shared" ca="1" si="19"/>
        <v>240.62600000000003</v>
      </c>
      <c r="BJ32" s="225">
        <f t="shared" ca="1" si="22"/>
        <v>1013.5299999999999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537.59000000000026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587.59000000000026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637.59000000000026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687.59000000000026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737.59000000000026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787.59000000000026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837.59000000000026</v>
      </c>
      <c r="AZ33" s="152">
        <f t="shared" si="23"/>
        <v>4204.3500000000004</v>
      </c>
      <c r="BA33" s="21">
        <f t="shared" si="15"/>
        <v>0.1764431863725352</v>
      </c>
      <c r="BB33" s="22">
        <f t="shared" si="20"/>
        <v>2</v>
      </c>
      <c r="BC33" s="22">
        <f t="shared" ca="1" si="16"/>
        <v>840.87000000000012</v>
      </c>
      <c r="BE33" s="224">
        <f t="shared" ca="1" si="17"/>
        <v>4271.9400000000005</v>
      </c>
      <c r="BF33" s="21">
        <f t="shared" ca="1" si="18"/>
        <v>0.15591579552845319</v>
      </c>
      <c r="BG33" s="22">
        <f t="shared" ca="1" si="21"/>
        <v>2</v>
      </c>
      <c r="BH33" s="22">
        <f t="shared" ca="1" si="19"/>
        <v>854.38800000000015</v>
      </c>
      <c r="BJ33" s="224">
        <f t="shared" ca="1" si="22"/>
        <v>67.590000000000259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137.85</v>
      </c>
      <c r="V34" s="161">
        <f t="shared" si="6"/>
        <v>170.6999999999999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260.69999999999993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350.69999999999993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440.69999999999993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530.69999999999993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620.69999999999993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710.69999999999993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800.69999999999993</v>
      </c>
      <c r="AZ34" s="152">
        <f t="shared" si="23"/>
        <v>517.9</v>
      </c>
      <c r="BA34" s="21">
        <f t="shared" si="15"/>
        <v>2.1734614440362E-2</v>
      </c>
      <c r="BB34" s="22">
        <f t="shared" si="20"/>
        <v>10</v>
      </c>
      <c r="BC34" s="22">
        <f t="shared" ca="1" si="16"/>
        <v>103.58</v>
      </c>
      <c r="BE34" s="225">
        <f t="shared" ca="1" si="17"/>
        <v>587</v>
      </c>
      <c r="BF34" s="21">
        <f t="shared" ca="1" si="18"/>
        <v>2.142412392852007E-2</v>
      </c>
      <c r="BG34" s="22">
        <f t="shared" ca="1" si="21"/>
        <v>12</v>
      </c>
      <c r="BH34" s="22">
        <f t="shared" ca="1" si="19"/>
        <v>117.4</v>
      </c>
      <c r="BJ34" s="225">
        <f t="shared" ca="1" si="22"/>
        <v>69.099999999999994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267.45</v>
      </c>
      <c r="U35" s="186">
        <f>SUM('05'!D320:F320)</f>
        <v>94.4</v>
      </c>
      <c r="V35" s="187">
        <f t="shared" si="6"/>
        <v>1799.6400000000003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1929.6400000000003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2044.6400000000003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2159.6400000000003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2274.6400000000003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2389.6400000000003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2504.6400000000003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2619.6400000000003</v>
      </c>
      <c r="AZ35" s="188">
        <f t="shared" si="23"/>
        <v>565.93999999999994</v>
      </c>
      <c r="BA35" s="21">
        <f t="shared" si="15"/>
        <v>2.3750700321255976E-2</v>
      </c>
      <c r="BB35" s="22">
        <f t="shared" si="20"/>
        <v>9</v>
      </c>
      <c r="BC35" s="22">
        <f t="shared" ca="1" si="16"/>
        <v>113.18799999999999</v>
      </c>
      <c r="BE35" s="224">
        <f t="shared" ca="1" si="17"/>
        <v>875.98</v>
      </c>
      <c r="BF35" s="21">
        <f t="shared" ca="1" si="18"/>
        <v>3.1971216488764921E-2</v>
      </c>
      <c r="BG35" s="22">
        <f t="shared" ca="1" si="21"/>
        <v>10</v>
      </c>
      <c r="BH35" s="22">
        <f t="shared" ca="1" si="19"/>
        <v>175.196</v>
      </c>
      <c r="BJ35" s="224">
        <f t="shared" ca="1" si="22"/>
        <v>310.03999999999996</v>
      </c>
    </row>
    <row r="36" spans="1:62" ht="15.75">
      <c r="A36" s="163" t="s">
        <v>573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301.92000000000007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391.92000000000007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481.92000000000007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571.92000000000007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661.92000000000007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751.92000000000007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841.92000000000007</v>
      </c>
      <c r="AZ36" s="182">
        <f t="shared" si="23"/>
        <v>449.09</v>
      </c>
      <c r="BA36" s="21">
        <f t="shared" si="15"/>
        <v>1.8846877773744296E-2</v>
      </c>
      <c r="BB36" s="22">
        <f t="shared" si="20"/>
        <v>12</v>
      </c>
      <c r="BC36" s="22">
        <f t="shared" ca="1" si="16"/>
        <v>89.817999999999998</v>
      </c>
      <c r="BE36" s="223">
        <f t="shared" ca="1" si="17"/>
        <v>560.02</v>
      </c>
      <c r="BF36" s="21">
        <f t="shared" ca="1" si="18"/>
        <v>2.0439417176234768E-2</v>
      </c>
      <c r="BG36" s="22">
        <f t="shared" ca="1" si="21"/>
        <v>13</v>
      </c>
      <c r="BH36" s="22">
        <f t="shared" ca="1" si="19"/>
        <v>112.00399999999999</v>
      </c>
      <c r="BJ36" s="223">
        <f t="shared" ca="1" si="22"/>
        <v>110.93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1.5429100210463582E-2</v>
      </c>
      <c r="BB37" s="22">
        <f t="shared" si="20"/>
        <v>13</v>
      </c>
      <c r="BC37" s="22">
        <f t="shared" ca="1" si="16"/>
        <v>73.53</v>
      </c>
      <c r="BE37" s="224">
        <f t="shared" ca="1" si="17"/>
        <v>235</v>
      </c>
      <c r="BF37" s="21">
        <f t="shared" ca="1" si="18"/>
        <v>8.5769491025591421E-3</v>
      </c>
      <c r="BG37" s="22">
        <f t="shared" ca="1" si="21"/>
        <v>18</v>
      </c>
      <c r="BH37" s="22">
        <f t="shared" ca="1" si="19"/>
        <v>47</v>
      </c>
      <c r="BJ37" s="224">
        <f t="shared" ca="1" si="22"/>
        <v>-132.64999999999998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35.15</v>
      </c>
      <c r="V38" s="156">
        <f t="shared" si="6"/>
        <v>87.870000000000033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157.87000000000003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227.87000000000003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297.87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367.87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437.87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507.87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577.87</v>
      </c>
      <c r="AZ38" s="157">
        <f t="shared" si="23"/>
        <v>331.33</v>
      </c>
      <c r="BA38" s="21">
        <f t="shared" si="15"/>
        <v>1.3904865422910102E-2</v>
      </c>
      <c r="BB38" s="22">
        <f t="shared" si="20"/>
        <v>14</v>
      </c>
      <c r="BC38" s="22">
        <f t="shared" ca="1" si="16"/>
        <v>66.265999999999991</v>
      </c>
      <c r="BE38" s="225">
        <f t="shared" ca="1" si="17"/>
        <v>380</v>
      </c>
      <c r="BF38" s="21">
        <f t="shared" ca="1" si="18"/>
        <v>1.386910918711691E-2</v>
      </c>
      <c r="BG38" s="22">
        <f t="shared" ca="1" si="21"/>
        <v>14</v>
      </c>
      <c r="BH38" s="22">
        <f t="shared" ca="1" si="19"/>
        <v>76</v>
      </c>
      <c r="BJ38" s="225">
        <f t="shared" ca="1" si="22"/>
        <v>48.67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31.259999999999991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51.259999999999991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71.259999999999991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91.259999999999991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111.25999999999999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131.26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-1163.74</v>
      </c>
      <c r="BF39" s="21">
        <f t="shared" ca="1" si="18"/>
        <v>-4.2473781908987977E-2</v>
      </c>
      <c r="BG39" s="22">
        <f t="shared" ca="1" si="21"/>
        <v>26</v>
      </c>
      <c r="BH39" s="22">
        <f t="shared" ca="1" si="19"/>
        <v>-232.74799999999999</v>
      </c>
      <c r="BJ39" s="224">
        <f t="shared" ca="1" si="22"/>
        <v>-1163.74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-969.11</v>
      </c>
      <c r="U40" s="166">
        <f>SUM('05'!D420:F420)</f>
        <v>46.75</v>
      </c>
      <c r="V40" s="156">
        <f t="shared" si="6"/>
        <v>15.960000000000605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65.960000000000605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85.960000000000605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105.9600000000006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125.9600000000006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145.9600000000006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165.9600000000006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185.9600000000006</v>
      </c>
      <c r="AZ40" s="157">
        <f t="shared" si="23"/>
        <v>155.08000000000001</v>
      </c>
      <c r="BA40" s="21">
        <f t="shared" si="15"/>
        <v>6.5082139552256023E-3</v>
      </c>
      <c r="BB40" s="22">
        <f t="shared" si="20"/>
        <v>19</v>
      </c>
      <c r="BC40" s="22">
        <f t="shared" ca="1" si="16"/>
        <v>31.016000000000002</v>
      </c>
      <c r="BE40" s="225">
        <f t="shared" ca="1" si="17"/>
        <v>-633.47</v>
      </c>
      <c r="BF40" s="21">
        <f t="shared" ca="1" si="18"/>
        <v>-2.3120169991481445E-2</v>
      </c>
      <c r="BG40" s="22">
        <f t="shared" ca="1" si="21"/>
        <v>25</v>
      </c>
      <c r="BH40" s="22">
        <f t="shared" ca="1" si="19"/>
        <v>-126.694</v>
      </c>
      <c r="BJ40" s="225">
        <f t="shared" ca="1" si="22"/>
        <v>-788.54999999999984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394.4300000000012</v>
      </c>
      <c r="U41" s="165">
        <f>SUM('05'!D440:F440)</f>
        <v>0</v>
      </c>
      <c r="V41" s="151">
        <f t="shared" si="6"/>
        <v>8395.27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4495.2700000000004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595.27000000000044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-3304.7299999999996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-7204.73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-11104.73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-15004.73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-18904.73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-154.72999999999854</v>
      </c>
      <c r="BF41" s="21">
        <f t="shared" ca="1" si="18"/>
        <v>-5.6472822750594188E-3</v>
      </c>
      <c r="BG41" s="22">
        <f t="shared" ca="1" si="21"/>
        <v>24</v>
      </c>
      <c r="BH41" s="22">
        <f t="shared" ca="1" si="19"/>
        <v>-30.945999999999707</v>
      </c>
      <c r="BJ41" s="224">
        <f t="shared" ca="1" si="22"/>
        <v>-154.72999999999774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0.14767827462442085</v>
      </c>
      <c r="BG42" s="22">
        <f t="shared" ca="1" si="21"/>
        <v>3</v>
      </c>
      <c r="BH42" s="22">
        <f t="shared" ca="1" si="19"/>
        <v>809.24800000000005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633.63000000000011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683.63000000000011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733.63000000000011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783.63000000000011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833.63000000000011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883.63000000000011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933.63000000000011</v>
      </c>
      <c r="AZ43" s="152">
        <f t="shared" si="23"/>
        <v>500</v>
      </c>
      <c r="BA43" s="21">
        <f t="shared" si="15"/>
        <v>2.098340841896312E-2</v>
      </c>
      <c r="BB43" s="22">
        <f t="shared" si="20"/>
        <v>11</v>
      </c>
      <c r="BC43" s="22">
        <f t="shared" ca="1" si="16"/>
        <v>100</v>
      </c>
      <c r="BE43" s="224">
        <f t="shared" ca="1" si="17"/>
        <v>105.63000000000005</v>
      </c>
      <c r="BF43" s="21">
        <f t="shared" ca="1" si="18"/>
        <v>3.8552473774609471E-3</v>
      </c>
      <c r="BG43" s="22">
        <f t="shared" ca="1" si="21"/>
        <v>20</v>
      </c>
      <c r="BH43" s="22">
        <f t="shared" ca="1" si="19"/>
        <v>21.126000000000012</v>
      </c>
      <c r="BJ43" s="224">
        <f t="shared" ca="1" si="22"/>
        <v>-394.36999999999989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2.7102170313932764E-3</v>
      </c>
      <c r="BB45" s="22">
        <f t="shared" si="20"/>
        <v>22</v>
      </c>
      <c r="BC45" s="22">
        <f t="shared" ca="1" si="16"/>
        <v>12.916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5838.4700000000012</v>
      </c>
      <c r="U46" s="219">
        <f>SUM(U20:U45)</f>
        <v>3047.35</v>
      </c>
      <c r="V46" s="220">
        <f>SUM(V20:V45)</f>
        <v>29954.210000000003</v>
      </c>
      <c r="W46" s="218"/>
      <c r="X46" s="219">
        <f>SUM(X20:X45)</f>
        <v>0</v>
      </c>
      <c r="Y46" s="219">
        <f>SUM(Y20:Y45)</f>
        <v>0</v>
      </c>
      <c r="Z46" s="220">
        <f>SUM(Z20:Z45)</f>
        <v>29954.210000000003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29954.21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29954.21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29954.209999999992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29954.209999999992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29954.210000000003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29954.21000000001</v>
      </c>
      <c r="AZ46" s="227">
        <f>SUM(AZ20:AZ45)</f>
        <v>23828.350000000006</v>
      </c>
      <c r="BA46" s="1"/>
      <c r="BB46" s="1"/>
      <c r="BC46" s="124">
        <f ca="1">SUM(BC20:BC45)</f>
        <v>4765.6699999999992</v>
      </c>
      <c r="BE46" s="227">
        <f ca="1">SUM(BE20:BE45)</f>
        <v>27399.020000000004</v>
      </c>
      <c r="BF46" s="1"/>
      <c r="BG46" s="1"/>
      <c r="BH46" s="124">
        <f ca="1">SUM(BH20:BH45)</f>
        <v>5479.8040000000001</v>
      </c>
      <c r="BJ46" s="227">
        <f ca="1">SUM(BJ20:BJ45)</f>
        <v>3570.6700000000023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2791.1200000000013</v>
      </c>
      <c r="V47" s="125"/>
      <c r="W47" s="125">
        <f>W5-V46</f>
        <v>-11919.570000000003</v>
      </c>
      <c r="X47" s="125">
        <f>W17-X46</f>
        <v>0</v>
      </c>
      <c r="Y47" s="125">
        <f>W17-Y46</f>
        <v>0</v>
      </c>
      <c r="Z47" s="125"/>
      <c r="AA47" s="125">
        <f>AA5-Z46</f>
        <v>-14852.320000000002</v>
      </c>
      <c r="AB47" s="125">
        <f>AA17-AB46</f>
        <v>0</v>
      </c>
      <c r="AC47" s="125">
        <f>AA17-AC46</f>
        <v>0</v>
      </c>
      <c r="AD47" s="125"/>
      <c r="AE47" s="125">
        <f>AE5-AD46</f>
        <v>-14852.319999999998</v>
      </c>
      <c r="AF47" s="125">
        <f>AE17-AF46</f>
        <v>0</v>
      </c>
      <c r="AG47" s="125">
        <f>AE17-AG46</f>
        <v>0</v>
      </c>
      <c r="AH47" s="125"/>
      <c r="AI47" s="125">
        <f>AI5-AH46</f>
        <v>-14852.319999999998</v>
      </c>
      <c r="AJ47" s="125">
        <f>AI17-AJ46</f>
        <v>0</v>
      </c>
      <c r="AK47" s="125">
        <f>AI17-AK46</f>
        <v>0</v>
      </c>
      <c r="AL47" s="125"/>
      <c r="AM47" s="125">
        <f>AM5-AL46</f>
        <v>-14852.319999999991</v>
      </c>
      <c r="AN47" s="125">
        <f>AM17-AN46</f>
        <v>0</v>
      </c>
      <c r="AO47" s="125">
        <f>AM17-AO46</f>
        <v>0</v>
      </c>
      <c r="AP47" s="125"/>
      <c r="AQ47" s="125">
        <f>AQ5-AP46</f>
        <v>-14852.319999999991</v>
      </c>
      <c r="AR47" s="125">
        <f>AQ17-AR46</f>
        <v>0</v>
      </c>
      <c r="AS47" s="125">
        <f>AQ17-AS46</f>
        <v>0</v>
      </c>
      <c r="AT47" s="140"/>
      <c r="AU47" s="125">
        <f>AU5-AT46</f>
        <v>-14852.320000000002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57188.039999999994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277.43</v>
      </c>
      <c r="V50" s="119" t="s">
        <v>470</v>
      </c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0" t="s">
        <v>149</v>
      </c>
      <c r="D52" s="341"/>
      <c r="E52" s="341"/>
      <c r="F52" s="342"/>
      <c r="G52" s="340" t="s">
        <v>149</v>
      </c>
      <c r="H52" s="341"/>
      <c r="I52" s="341"/>
      <c r="J52" s="342"/>
      <c r="K52" s="340" t="s">
        <v>149</v>
      </c>
      <c r="L52" s="341"/>
      <c r="M52" s="341"/>
      <c r="N52" s="342"/>
      <c r="O52" s="340" t="s">
        <v>149</v>
      </c>
      <c r="P52" s="341"/>
      <c r="Q52" s="341"/>
      <c r="R52" s="342"/>
      <c r="S52" s="340" t="s">
        <v>149</v>
      </c>
      <c r="T52" s="341"/>
      <c r="U52" s="341"/>
      <c r="V52" s="342"/>
      <c r="W52" s="340" t="s">
        <v>149</v>
      </c>
      <c r="X52" s="341"/>
      <c r="Y52" s="341"/>
      <c r="Z52" s="342"/>
      <c r="AA52" s="340" t="s">
        <v>149</v>
      </c>
      <c r="AB52" s="341"/>
      <c r="AC52" s="341"/>
      <c r="AD52" s="342"/>
      <c r="AE52" s="340" t="s">
        <v>149</v>
      </c>
      <c r="AF52" s="341"/>
      <c r="AG52" s="341"/>
      <c r="AH52" s="342"/>
      <c r="AI52" s="340" t="s">
        <v>149</v>
      </c>
      <c r="AJ52" s="341"/>
      <c r="AK52" s="341"/>
      <c r="AL52" s="342"/>
      <c r="AM52" s="340" t="s">
        <v>149</v>
      </c>
      <c r="AN52" s="341"/>
      <c r="AO52" s="341"/>
      <c r="AP52" s="342"/>
      <c r="AQ52" s="340" t="s">
        <v>149</v>
      </c>
      <c r="AR52" s="341"/>
      <c r="AS52" s="341"/>
      <c r="AT52" s="342"/>
      <c r="AU52" s="340" t="s">
        <v>149</v>
      </c>
      <c r="AV52" s="341"/>
      <c r="AW52" s="341"/>
      <c r="AX52" s="342"/>
    </row>
    <row r="53" spans="1:62" ht="15.75" thickBot="1">
      <c r="C53" s="93" t="s">
        <v>150</v>
      </c>
      <c r="D53" s="343" t="s">
        <v>31</v>
      </c>
      <c r="E53" s="344"/>
      <c r="F53" s="94" t="s">
        <v>88</v>
      </c>
      <c r="G53" s="93" t="s">
        <v>150</v>
      </c>
      <c r="H53" s="343" t="s">
        <v>31</v>
      </c>
      <c r="I53" s="344"/>
      <c r="J53" s="94" t="s">
        <v>88</v>
      </c>
      <c r="K53" s="93" t="s">
        <v>150</v>
      </c>
      <c r="L53" s="343" t="s">
        <v>31</v>
      </c>
      <c r="M53" s="344"/>
      <c r="N53" s="94" t="s">
        <v>88</v>
      </c>
      <c r="O53" s="93" t="s">
        <v>150</v>
      </c>
      <c r="P53" s="343" t="s">
        <v>31</v>
      </c>
      <c r="Q53" s="344"/>
      <c r="R53" s="94" t="s">
        <v>88</v>
      </c>
      <c r="S53" s="93" t="s">
        <v>150</v>
      </c>
      <c r="T53" s="343" t="s">
        <v>31</v>
      </c>
      <c r="U53" s="344"/>
      <c r="V53" s="94" t="s">
        <v>88</v>
      </c>
      <c r="W53" s="93" t="s">
        <v>150</v>
      </c>
      <c r="X53" s="343" t="s">
        <v>31</v>
      </c>
      <c r="Y53" s="344"/>
      <c r="Z53" s="94" t="s">
        <v>88</v>
      </c>
      <c r="AA53" s="93" t="s">
        <v>150</v>
      </c>
      <c r="AB53" s="343" t="s">
        <v>31</v>
      </c>
      <c r="AC53" s="344"/>
      <c r="AD53" s="94" t="s">
        <v>88</v>
      </c>
      <c r="AE53" s="93" t="s">
        <v>150</v>
      </c>
      <c r="AF53" s="343" t="s">
        <v>31</v>
      </c>
      <c r="AG53" s="344"/>
      <c r="AH53" s="94" t="s">
        <v>88</v>
      </c>
      <c r="AI53" s="93" t="s">
        <v>150</v>
      </c>
      <c r="AJ53" s="343" t="s">
        <v>31</v>
      </c>
      <c r="AK53" s="344"/>
      <c r="AL53" s="94" t="s">
        <v>88</v>
      </c>
      <c r="AM53" s="93" t="s">
        <v>150</v>
      </c>
      <c r="AN53" s="343" t="s">
        <v>31</v>
      </c>
      <c r="AO53" s="344"/>
      <c r="AP53" s="94" t="s">
        <v>88</v>
      </c>
      <c r="AQ53" s="93" t="s">
        <v>150</v>
      </c>
      <c r="AR53" s="343" t="s">
        <v>31</v>
      </c>
      <c r="AS53" s="344"/>
      <c r="AT53" s="94" t="s">
        <v>88</v>
      </c>
      <c r="AU53" s="93" t="s">
        <v>150</v>
      </c>
      <c r="AV53" s="343" t="s">
        <v>31</v>
      </c>
      <c r="AW53" s="344"/>
      <c r="AX53" s="94" t="s">
        <v>88</v>
      </c>
    </row>
    <row r="54" spans="1:62">
      <c r="C54" s="95">
        <v>43495</v>
      </c>
      <c r="D54" s="345" t="s">
        <v>235</v>
      </c>
      <c r="E54" s="346"/>
      <c r="F54" s="98"/>
      <c r="G54" s="95">
        <v>43497</v>
      </c>
      <c r="H54" s="345" t="s">
        <v>270</v>
      </c>
      <c r="I54" s="346"/>
      <c r="J54" s="100">
        <v>500</v>
      </c>
      <c r="K54" s="95">
        <v>43539</v>
      </c>
      <c r="L54" s="351" t="s">
        <v>257</v>
      </c>
      <c r="M54" s="352"/>
      <c r="N54" s="100">
        <v>70</v>
      </c>
      <c r="O54" s="95"/>
      <c r="P54" s="356"/>
      <c r="Q54" s="357"/>
      <c r="R54" s="102"/>
      <c r="S54" s="95">
        <v>43594</v>
      </c>
      <c r="T54" s="351" t="s">
        <v>243</v>
      </c>
      <c r="U54" s="352"/>
      <c r="V54" s="103"/>
      <c r="W54" s="96"/>
      <c r="X54" s="366"/>
      <c r="Y54" s="367"/>
      <c r="Z54" s="104"/>
      <c r="AA54" s="95"/>
      <c r="AB54" s="358" t="s">
        <v>478</v>
      </c>
      <c r="AC54" s="359"/>
      <c r="AD54" s="239">
        <v>16</v>
      </c>
      <c r="AE54" s="95"/>
      <c r="AF54" s="370"/>
      <c r="AG54" s="371"/>
      <c r="AH54" s="100"/>
      <c r="AI54" s="95"/>
      <c r="AJ54" s="372"/>
      <c r="AK54" s="373"/>
      <c r="AL54" s="100"/>
      <c r="AM54" s="95"/>
      <c r="AN54" s="372"/>
      <c r="AO54" s="373"/>
      <c r="AP54" s="100"/>
      <c r="AQ54" s="95"/>
      <c r="AR54" s="356"/>
      <c r="AS54" s="357"/>
      <c r="AT54" s="100"/>
      <c r="AU54" s="95"/>
      <c r="AV54" s="345"/>
      <c r="AW54" s="346"/>
      <c r="AX54" s="100"/>
    </row>
    <row r="55" spans="1:62">
      <c r="C55" s="96"/>
      <c r="D55" s="349" t="s">
        <v>236</v>
      </c>
      <c r="E55" s="350"/>
      <c r="F55" s="98">
        <v>121.4</v>
      </c>
      <c r="G55" s="96">
        <v>43516</v>
      </c>
      <c r="H55" s="349" t="s">
        <v>311</v>
      </c>
      <c r="I55" s="350"/>
      <c r="J55" s="100"/>
      <c r="K55" s="96">
        <v>43553</v>
      </c>
      <c r="L55" s="349" t="s">
        <v>297</v>
      </c>
      <c r="M55" s="350"/>
      <c r="N55" s="100">
        <v>4421.9399999999996</v>
      </c>
      <c r="O55" s="96">
        <v>43565</v>
      </c>
      <c r="P55" s="349" t="s">
        <v>323</v>
      </c>
      <c r="Q55" s="350"/>
      <c r="R55" s="100">
        <v>10</v>
      </c>
      <c r="S55" s="96">
        <v>43607</v>
      </c>
      <c r="T55" s="349" t="s">
        <v>311</v>
      </c>
      <c r="U55" s="350"/>
      <c r="V55" s="100"/>
      <c r="W55" s="96"/>
      <c r="X55" s="366"/>
      <c r="Y55" s="367"/>
      <c r="Z55" s="100"/>
      <c r="AA55" s="96"/>
      <c r="AB55" s="349"/>
      <c r="AC55" s="350"/>
      <c r="AD55" s="100"/>
      <c r="AE55" s="96"/>
      <c r="AF55" s="366"/>
      <c r="AG55" s="367"/>
      <c r="AH55" s="100"/>
      <c r="AI55" s="96"/>
      <c r="AJ55" s="366"/>
      <c r="AK55" s="367"/>
      <c r="AL55" s="100"/>
      <c r="AM55" s="96"/>
      <c r="AN55" s="366"/>
      <c r="AO55" s="367"/>
      <c r="AP55" s="100"/>
      <c r="AQ55" s="96"/>
      <c r="AR55" s="349"/>
      <c r="AS55" s="350"/>
      <c r="AT55" s="100"/>
      <c r="AU55" s="96"/>
      <c r="AV55" s="349"/>
      <c r="AW55" s="350"/>
      <c r="AX55" s="100"/>
    </row>
    <row r="56" spans="1:62">
      <c r="B56" s="119"/>
      <c r="C56" s="96">
        <v>43472</v>
      </c>
      <c r="D56" s="349" t="s">
        <v>151</v>
      </c>
      <c r="E56" s="350"/>
      <c r="F56" s="98">
        <v>15</v>
      </c>
      <c r="G56" s="96">
        <v>43507</v>
      </c>
      <c r="H56" s="349" t="s">
        <v>323</v>
      </c>
      <c r="I56" s="350"/>
      <c r="J56" s="100">
        <v>10</v>
      </c>
      <c r="K56" s="96">
        <v>43529</v>
      </c>
      <c r="L56" s="349" t="s">
        <v>325</v>
      </c>
      <c r="M56" s="350"/>
      <c r="N56" s="100">
        <v>3362.6</v>
      </c>
      <c r="O56" s="96">
        <v>43576</v>
      </c>
      <c r="P56" s="358" t="s">
        <v>235</v>
      </c>
      <c r="Q56" s="359"/>
      <c r="R56" s="102"/>
      <c r="S56" s="96"/>
      <c r="T56" s="349"/>
      <c r="U56" s="350"/>
      <c r="V56" s="100"/>
      <c r="W56" s="96"/>
      <c r="X56" s="349"/>
      <c r="Y56" s="350"/>
      <c r="Z56" s="100"/>
      <c r="AA56" s="96"/>
      <c r="AB56" s="349"/>
      <c r="AC56" s="350"/>
      <c r="AD56" s="100"/>
      <c r="AE56" s="96"/>
      <c r="AF56" s="366"/>
      <c r="AG56" s="367"/>
      <c r="AH56" s="100"/>
      <c r="AI56" s="96"/>
      <c r="AJ56" s="360"/>
      <c r="AK56" s="361"/>
      <c r="AL56" s="100"/>
      <c r="AM56" s="96"/>
      <c r="AN56" s="360"/>
      <c r="AO56" s="361"/>
      <c r="AP56" s="100"/>
      <c r="AQ56" s="96"/>
      <c r="AR56" s="366"/>
      <c r="AS56" s="367"/>
      <c r="AT56" s="100"/>
      <c r="AU56" s="96"/>
      <c r="AV56" s="349"/>
      <c r="AW56" s="350"/>
      <c r="AX56" s="100"/>
    </row>
    <row r="57" spans="1:62">
      <c r="C57" s="96">
        <v>43476</v>
      </c>
      <c r="D57" s="349" t="s">
        <v>153</v>
      </c>
      <c r="E57" s="350"/>
      <c r="F57" s="98">
        <v>10</v>
      </c>
      <c r="G57" s="96">
        <v>43516</v>
      </c>
      <c r="H57" s="349" t="s">
        <v>352</v>
      </c>
      <c r="I57" s="350"/>
      <c r="J57" s="100"/>
      <c r="K57" s="96">
        <v>43533</v>
      </c>
      <c r="L57" s="349" t="s">
        <v>235</v>
      </c>
      <c r="M57" s="350"/>
      <c r="N57" s="100"/>
      <c r="O57" s="96">
        <v>43578</v>
      </c>
      <c r="P57" s="353" t="s">
        <v>390</v>
      </c>
      <c r="Q57" s="354"/>
      <c r="R57" s="100">
        <v>10</v>
      </c>
      <c r="S57" s="96"/>
      <c r="T57" s="349"/>
      <c r="U57" s="350"/>
      <c r="V57" s="100"/>
      <c r="W57" s="96"/>
      <c r="X57" s="349"/>
      <c r="Y57" s="350"/>
      <c r="Z57" s="100"/>
      <c r="AA57" s="96"/>
      <c r="AB57" s="366"/>
      <c r="AC57" s="367"/>
      <c r="AD57" s="100"/>
      <c r="AE57" s="96"/>
      <c r="AF57" s="349"/>
      <c r="AG57" s="350"/>
      <c r="AH57" s="100"/>
      <c r="AI57" s="96"/>
      <c r="AJ57" s="362"/>
      <c r="AK57" s="363"/>
      <c r="AL57" s="100"/>
      <c r="AM57" s="96"/>
      <c r="AN57" s="360"/>
      <c r="AO57" s="361"/>
      <c r="AP57" s="100"/>
      <c r="AQ57" s="96"/>
      <c r="AR57" s="349"/>
      <c r="AS57" s="350"/>
      <c r="AT57" s="100"/>
      <c r="AU57" s="96"/>
      <c r="AV57" s="349"/>
      <c r="AW57" s="350"/>
      <c r="AX57" s="100"/>
    </row>
    <row r="58" spans="1:62">
      <c r="C58" s="96">
        <v>43478</v>
      </c>
      <c r="D58" s="349" t="s">
        <v>243</v>
      </c>
      <c r="E58" s="350"/>
      <c r="F58" s="98"/>
      <c r="G58" s="96"/>
      <c r="H58" s="349"/>
      <c r="I58" s="350"/>
      <c r="J58" s="100"/>
      <c r="K58" s="96">
        <v>43536</v>
      </c>
      <c r="L58" s="349" t="s">
        <v>243</v>
      </c>
      <c r="M58" s="350"/>
      <c r="N58" s="100"/>
      <c r="O58" s="96"/>
      <c r="P58" s="349"/>
      <c r="Q58" s="350"/>
      <c r="R58" s="100"/>
      <c r="S58" s="96"/>
      <c r="T58" s="349"/>
      <c r="U58" s="350"/>
      <c r="V58" s="100"/>
      <c r="W58" s="96"/>
      <c r="X58" s="349"/>
      <c r="Y58" s="350"/>
      <c r="Z58" s="100"/>
      <c r="AA58" s="96"/>
      <c r="AB58" s="366"/>
      <c r="AC58" s="367"/>
      <c r="AD58" s="100"/>
      <c r="AE58" s="96"/>
      <c r="AF58" s="349"/>
      <c r="AG58" s="350"/>
      <c r="AH58" s="100"/>
      <c r="AI58" s="96"/>
      <c r="AJ58" s="362"/>
      <c r="AK58" s="363"/>
      <c r="AL58" s="100"/>
      <c r="AM58" s="96"/>
      <c r="AN58" s="362"/>
      <c r="AO58" s="363"/>
      <c r="AP58" s="100"/>
      <c r="AQ58" s="96"/>
      <c r="AR58" s="349"/>
      <c r="AS58" s="350"/>
      <c r="AT58" s="100"/>
      <c r="AU58" s="96"/>
      <c r="AV58" s="349"/>
      <c r="AW58" s="350"/>
      <c r="AX58" s="100"/>
    </row>
    <row r="59" spans="1:62">
      <c r="C59" s="96">
        <v>43481</v>
      </c>
      <c r="D59" s="349" t="s">
        <v>271</v>
      </c>
      <c r="E59" s="350"/>
      <c r="F59" s="98">
        <v>50</v>
      </c>
      <c r="G59" s="96"/>
      <c r="H59" s="349"/>
      <c r="I59" s="350"/>
      <c r="J59" s="100"/>
      <c r="K59" s="96"/>
      <c r="L59" s="349" t="s">
        <v>386</v>
      </c>
      <c r="M59" s="350"/>
      <c r="N59" s="100">
        <f>3.1+10.5</f>
        <v>13.6</v>
      </c>
      <c r="O59" s="96"/>
      <c r="P59" s="349"/>
      <c r="Q59" s="350"/>
      <c r="R59" s="100"/>
      <c r="S59" s="96"/>
      <c r="T59" s="360"/>
      <c r="U59" s="361"/>
      <c r="V59" s="100"/>
      <c r="W59" s="96"/>
      <c r="X59" s="360"/>
      <c r="Y59" s="361"/>
      <c r="Z59" s="100"/>
      <c r="AA59" s="96"/>
      <c r="AB59" s="360"/>
      <c r="AC59" s="361"/>
      <c r="AD59" s="100"/>
      <c r="AE59" s="96"/>
      <c r="AF59" s="349"/>
      <c r="AG59" s="350"/>
      <c r="AH59" s="100"/>
      <c r="AI59" s="96"/>
      <c r="AJ59" s="362"/>
      <c r="AK59" s="363"/>
      <c r="AL59" s="100"/>
      <c r="AM59" s="96"/>
      <c r="AN59" s="362"/>
      <c r="AO59" s="363"/>
      <c r="AP59" s="100"/>
      <c r="AQ59" s="96"/>
      <c r="AR59" s="349"/>
      <c r="AS59" s="350"/>
      <c r="AT59" s="100"/>
      <c r="AU59" s="96"/>
      <c r="AV59" s="349"/>
      <c r="AW59" s="350"/>
      <c r="AX59" s="100"/>
    </row>
    <row r="60" spans="1:62">
      <c r="C60" s="96">
        <v>43488</v>
      </c>
      <c r="D60" s="349" t="s">
        <v>290</v>
      </c>
      <c r="E60" s="350"/>
      <c r="F60" s="98"/>
      <c r="G60" s="96"/>
      <c r="H60" s="349"/>
      <c r="I60" s="350"/>
      <c r="J60" s="100"/>
      <c r="K60" s="235">
        <v>43549</v>
      </c>
      <c r="L60" s="353" t="s">
        <v>390</v>
      </c>
      <c r="M60" s="354"/>
      <c r="N60" s="236">
        <v>15</v>
      </c>
      <c r="O60" s="96"/>
      <c r="P60" s="349"/>
      <c r="Q60" s="350"/>
      <c r="R60" s="100"/>
      <c r="S60" s="96"/>
      <c r="T60" s="360"/>
      <c r="U60" s="361"/>
      <c r="V60" s="100"/>
      <c r="W60" s="96"/>
      <c r="X60" s="362"/>
      <c r="Y60" s="363"/>
      <c r="Z60" s="100"/>
      <c r="AA60" s="96"/>
      <c r="AB60" s="362"/>
      <c r="AC60" s="363"/>
      <c r="AD60" s="100"/>
      <c r="AE60" s="96"/>
      <c r="AF60" s="360"/>
      <c r="AG60" s="361"/>
      <c r="AH60" s="100"/>
      <c r="AI60" s="96"/>
      <c r="AJ60" s="362"/>
      <c r="AK60" s="363"/>
      <c r="AL60" s="100"/>
      <c r="AM60" s="96"/>
      <c r="AN60" s="362"/>
      <c r="AO60" s="363"/>
      <c r="AP60" s="100"/>
      <c r="AQ60" s="96"/>
      <c r="AR60" s="349"/>
      <c r="AS60" s="350"/>
      <c r="AT60" s="100"/>
      <c r="AU60" s="96"/>
      <c r="AV60" s="349"/>
      <c r="AW60" s="350"/>
      <c r="AX60" s="100"/>
    </row>
    <row r="61" spans="1:62">
      <c r="C61" s="96">
        <v>43490</v>
      </c>
      <c r="D61" s="349" t="s">
        <v>292</v>
      </c>
      <c r="E61" s="350"/>
      <c r="F61" s="98">
        <v>40</v>
      </c>
      <c r="G61" s="96"/>
      <c r="H61" s="349"/>
      <c r="I61" s="350"/>
      <c r="J61" s="100"/>
      <c r="K61" s="96"/>
      <c r="L61" s="355"/>
      <c r="M61" s="350"/>
      <c r="N61" s="100"/>
      <c r="O61" s="96"/>
      <c r="P61" s="349"/>
      <c r="Q61" s="350"/>
      <c r="R61" s="100"/>
      <c r="S61" s="96"/>
      <c r="T61" s="360"/>
      <c r="U61" s="361"/>
      <c r="V61" s="100"/>
      <c r="W61" s="96"/>
      <c r="X61" s="362"/>
      <c r="Y61" s="363"/>
      <c r="Z61" s="100"/>
      <c r="AA61" s="96"/>
      <c r="AB61" s="362"/>
      <c r="AC61" s="363"/>
      <c r="AD61" s="100"/>
      <c r="AE61" s="96"/>
      <c r="AF61" s="362"/>
      <c r="AG61" s="363"/>
      <c r="AH61" s="100"/>
      <c r="AI61" s="96"/>
      <c r="AJ61" s="362"/>
      <c r="AK61" s="363"/>
      <c r="AL61" s="100"/>
      <c r="AM61" s="96"/>
      <c r="AN61" s="362"/>
      <c r="AO61" s="363"/>
      <c r="AP61" s="100"/>
      <c r="AQ61" s="96"/>
      <c r="AR61" s="349"/>
      <c r="AS61" s="350"/>
      <c r="AT61" s="100"/>
      <c r="AU61" s="96"/>
      <c r="AV61" s="349"/>
      <c r="AW61" s="350"/>
      <c r="AX61" s="100"/>
    </row>
    <row r="62" spans="1:62">
      <c r="C62" s="96"/>
      <c r="D62" s="349"/>
      <c r="E62" s="350"/>
      <c r="F62" s="98"/>
      <c r="G62" s="96"/>
      <c r="H62" s="349"/>
      <c r="I62" s="350"/>
      <c r="J62" s="100"/>
      <c r="K62" s="96"/>
      <c r="L62" s="349"/>
      <c r="M62" s="350"/>
      <c r="N62" s="100"/>
      <c r="O62" s="96"/>
      <c r="P62" s="349"/>
      <c r="Q62" s="350"/>
      <c r="R62" s="100"/>
      <c r="S62" s="96"/>
      <c r="T62" s="360"/>
      <c r="U62" s="361"/>
      <c r="V62" s="100"/>
      <c r="W62" s="96"/>
      <c r="X62" s="362"/>
      <c r="Y62" s="363"/>
      <c r="Z62" s="100"/>
      <c r="AA62" s="96"/>
      <c r="AB62" s="362"/>
      <c r="AC62" s="363"/>
      <c r="AD62" s="100"/>
      <c r="AE62" s="96"/>
      <c r="AF62" s="362"/>
      <c r="AG62" s="363"/>
      <c r="AH62" s="100"/>
      <c r="AI62" s="96"/>
      <c r="AJ62" s="362"/>
      <c r="AK62" s="363"/>
      <c r="AL62" s="100"/>
      <c r="AM62" s="96"/>
      <c r="AN62" s="362"/>
      <c r="AO62" s="363"/>
      <c r="AP62" s="100"/>
      <c r="AQ62" s="96"/>
      <c r="AR62" s="349"/>
      <c r="AS62" s="350"/>
      <c r="AT62" s="100"/>
      <c r="AU62" s="96"/>
      <c r="AV62" s="349"/>
      <c r="AW62" s="350"/>
      <c r="AX62" s="100"/>
    </row>
    <row r="63" spans="1:62">
      <c r="C63" s="96"/>
      <c r="D63" s="349"/>
      <c r="E63" s="350"/>
      <c r="F63" s="98"/>
      <c r="G63" s="96"/>
      <c r="H63" s="349"/>
      <c r="I63" s="350"/>
      <c r="J63" s="100"/>
      <c r="K63" s="96"/>
      <c r="L63" s="349"/>
      <c r="M63" s="350"/>
      <c r="N63" s="100"/>
      <c r="O63" s="96"/>
      <c r="P63" s="349"/>
      <c r="Q63" s="350"/>
      <c r="R63" s="100"/>
      <c r="S63" s="96"/>
      <c r="T63" s="360"/>
      <c r="U63" s="361"/>
      <c r="V63" s="100"/>
      <c r="W63" s="96"/>
      <c r="X63" s="362"/>
      <c r="Y63" s="363"/>
      <c r="Z63" s="100"/>
      <c r="AA63" s="96"/>
      <c r="AB63" s="362"/>
      <c r="AC63" s="363"/>
      <c r="AD63" s="100"/>
      <c r="AE63" s="96"/>
      <c r="AF63" s="362"/>
      <c r="AG63" s="363"/>
      <c r="AH63" s="100"/>
      <c r="AI63" s="96"/>
      <c r="AJ63" s="362"/>
      <c r="AK63" s="363"/>
      <c r="AL63" s="100"/>
      <c r="AM63" s="96"/>
      <c r="AN63" s="362"/>
      <c r="AO63" s="363"/>
      <c r="AP63" s="100"/>
      <c r="AQ63" s="96"/>
      <c r="AR63" s="349"/>
      <c r="AS63" s="350"/>
      <c r="AT63" s="100"/>
      <c r="AU63" s="96"/>
      <c r="AV63" s="349"/>
      <c r="AW63" s="350"/>
      <c r="AX63" s="100"/>
    </row>
    <row r="64" spans="1:62">
      <c r="C64" s="96"/>
      <c r="D64" s="349"/>
      <c r="E64" s="350"/>
      <c r="F64" s="98"/>
      <c r="G64" s="96"/>
      <c r="H64" s="349"/>
      <c r="I64" s="350"/>
      <c r="J64" s="100"/>
      <c r="K64" s="96"/>
      <c r="L64" s="349"/>
      <c r="M64" s="350"/>
      <c r="N64" s="100"/>
      <c r="O64" s="96"/>
      <c r="P64" s="349"/>
      <c r="Q64" s="350"/>
      <c r="R64" s="100"/>
      <c r="S64" s="96"/>
      <c r="T64" s="360"/>
      <c r="U64" s="361"/>
      <c r="V64" s="100"/>
      <c r="W64" s="96"/>
      <c r="X64" s="362"/>
      <c r="Y64" s="363"/>
      <c r="Z64" s="100"/>
      <c r="AA64" s="96"/>
      <c r="AB64" s="362"/>
      <c r="AC64" s="363"/>
      <c r="AD64" s="100"/>
      <c r="AE64" s="96"/>
      <c r="AF64" s="362"/>
      <c r="AG64" s="363"/>
      <c r="AH64" s="100"/>
      <c r="AI64" s="96"/>
      <c r="AJ64" s="362"/>
      <c r="AK64" s="363"/>
      <c r="AL64" s="100"/>
      <c r="AM64" s="96"/>
      <c r="AN64" s="362"/>
      <c r="AO64" s="363"/>
      <c r="AP64" s="100"/>
      <c r="AQ64" s="96"/>
      <c r="AR64" s="349"/>
      <c r="AS64" s="350"/>
      <c r="AT64" s="100"/>
      <c r="AU64" s="96"/>
      <c r="AV64" s="349"/>
      <c r="AW64" s="350"/>
      <c r="AX64" s="100"/>
    </row>
    <row r="65" spans="1:50">
      <c r="C65" s="96"/>
      <c r="D65" s="349"/>
      <c r="E65" s="350"/>
      <c r="F65" s="98"/>
      <c r="G65" s="96"/>
      <c r="H65" s="349"/>
      <c r="I65" s="350"/>
      <c r="J65" s="100"/>
      <c r="K65" s="96"/>
      <c r="L65" s="349"/>
      <c r="M65" s="350"/>
      <c r="N65" s="100"/>
      <c r="O65" s="96"/>
      <c r="P65" s="349"/>
      <c r="Q65" s="350"/>
      <c r="R65" s="100"/>
      <c r="S65" s="96"/>
      <c r="T65" s="360"/>
      <c r="U65" s="361"/>
      <c r="V65" s="100"/>
      <c r="W65" s="96"/>
      <c r="X65" s="362"/>
      <c r="Y65" s="363"/>
      <c r="Z65" s="100"/>
      <c r="AA65" s="96"/>
      <c r="AB65" s="362"/>
      <c r="AC65" s="363"/>
      <c r="AD65" s="100"/>
      <c r="AE65" s="96"/>
      <c r="AF65" s="362"/>
      <c r="AG65" s="363"/>
      <c r="AH65" s="100"/>
      <c r="AI65" s="96"/>
      <c r="AJ65" s="362"/>
      <c r="AK65" s="363"/>
      <c r="AL65" s="100"/>
      <c r="AM65" s="96"/>
      <c r="AN65" s="362"/>
      <c r="AO65" s="363"/>
      <c r="AP65" s="100"/>
      <c r="AQ65" s="96"/>
      <c r="AR65" s="349"/>
      <c r="AS65" s="350"/>
      <c r="AT65" s="100"/>
      <c r="AU65" s="96"/>
      <c r="AV65" s="349"/>
      <c r="AW65" s="350"/>
      <c r="AX65" s="100"/>
    </row>
    <row r="66" spans="1:50">
      <c r="C66" s="96"/>
      <c r="D66" s="349"/>
      <c r="E66" s="350"/>
      <c r="F66" s="98"/>
      <c r="G66" s="96"/>
      <c r="H66" s="349"/>
      <c r="I66" s="350"/>
      <c r="J66" s="100"/>
      <c r="K66" s="96"/>
      <c r="L66" s="349"/>
      <c r="M66" s="350"/>
      <c r="N66" s="100"/>
      <c r="O66" s="96"/>
      <c r="P66" s="349"/>
      <c r="Q66" s="350"/>
      <c r="R66" s="100"/>
      <c r="S66" s="96"/>
      <c r="T66" s="362"/>
      <c r="U66" s="363"/>
      <c r="V66" s="100"/>
      <c r="W66" s="96"/>
      <c r="X66" s="362"/>
      <c r="Y66" s="363"/>
      <c r="Z66" s="100"/>
      <c r="AA66" s="96"/>
      <c r="AB66" s="362"/>
      <c r="AC66" s="363"/>
      <c r="AD66" s="100"/>
      <c r="AE66" s="96"/>
      <c r="AF66" s="362"/>
      <c r="AG66" s="363"/>
      <c r="AH66" s="100"/>
      <c r="AI66" s="96"/>
      <c r="AJ66" s="362"/>
      <c r="AK66" s="363"/>
      <c r="AL66" s="100"/>
      <c r="AM66" s="96"/>
      <c r="AN66" s="362"/>
      <c r="AO66" s="363"/>
      <c r="AP66" s="100"/>
      <c r="AQ66" s="96"/>
      <c r="AR66" s="349"/>
      <c r="AS66" s="350"/>
      <c r="AT66" s="100"/>
      <c r="AU66" s="96"/>
      <c r="AV66" s="349"/>
      <c r="AW66" s="350"/>
      <c r="AX66" s="100"/>
    </row>
    <row r="67" spans="1:50">
      <c r="C67" s="96"/>
      <c r="D67" s="349"/>
      <c r="E67" s="350"/>
      <c r="F67" s="98"/>
      <c r="G67" s="96"/>
      <c r="H67" s="349"/>
      <c r="I67" s="350"/>
      <c r="J67" s="100"/>
      <c r="K67" s="96"/>
      <c r="L67" s="349"/>
      <c r="M67" s="350"/>
      <c r="N67" s="100"/>
      <c r="O67" s="96"/>
      <c r="P67" s="349"/>
      <c r="Q67" s="350"/>
      <c r="R67" s="100"/>
      <c r="S67" s="96"/>
      <c r="T67" s="362"/>
      <c r="U67" s="363"/>
      <c r="V67" s="100"/>
      <c r="W67" s="96"/>
      <c r="X67" s="362"/>
      <c r="Y67" s="363"/>
      <c r="Z67" s="100"/>
      <c r="AA67" s="96"/>
      <c r="AB67" s="362"/>
      <c r="AC67" s="363"/>
      <c r="AD67" s="100"/>
      <c r="AE67" s="96"/>
      <c r="AF67" s="362"/>
      <c r="AG67" s="363"/>
      <c r="AH67" s="100"/>
      <c r="AI67" s="96"/>
      <c r="AJ67" s="362"/>
      <c r="AK67" s="363"/>
      <c r="AL67" s="100"/>
      <c r="AM67" s="96"/>
      <c r="AN67" s="362"/>
      <c r="AO67" s="363"/>
      <c r="AP67" s="100"/>
      <c r="AQ67" s="96"/>
      <c r="AR67" s="349"/>
      <c r="AS67" s="350"/>
      <c r="AT67" s="100"/>
      <c r="AU67" s="96"/>
      <c r="AV67" s="349"/>
      <c r="AW67" s="350"/>
      <c r="AX67" s="100"/>
    </row>
    <row r="68" spans="1:50">
      <c r="C68" s="96"/>
      <c r="D68" s="349"/>
      <c r="E68" s="350"/>
      <c r="F68" s="98"/>
      <c r="G68" s="96"/>
      <c r="H68" s="349"/>
      <c r="I68" s="350"/>
      <c r="J68" s="100"/>
      <c r="K68" s="96"/>
      <c r="L68" s="349"/>
      <c r="M68" s="350"/>
      <c r="N68" s="100"/>
      <c r="O68" s="96"/>
      <c r="P68" s="349"/>
      <c r="Q68" s="350"/>
      <c r="R68" s="100"/>
      <c r="S68" s="96"/>
      <c r="T68" s="362"/>
      <c r="U68" s="363"/>
      <c r="V68" s="100"/>
      <c r="W68" s="96"/>
      <c r="X68" s="362"/>
      <c r="Y68" s="363"/>
      <c r="Z68" s="100"/>
      <c r="AA68" s="96"/>
      <c r="AB68" s="362"/>
      <c r="AC68" s="363"/>
      <c r="AD68" s="100"/>
      <c r="AE68" s="96"/>
      <c r="AF68" s="362"/>
      <c r="AG68" s="363"/>
      <c r="AH68" s="100"/>
      <c r="AI68" s="96"/>
      <c r="AJ68" s="362"/>
      <c r="AK68" s="363"/>
      <c r="AL68" s="100"/>
      <c r="AM68" s="96"/>
      <c r="AN68" s="362"/>
      <c r="AO68" s="363"/>
      <c r="AP68" s="100"/>
      <c r="AQ68" s="96"/>
      <c r="AR68" s="349"/>
      <c r="AS68" s="350"/>
      <c r="AT68" s="100"/>
      <c r="AU68" s="96"/>
      <c r="AV68" s="349"/>
      <c r="AW68" s="350"/>
      <c r="AX68" s="100"/>
    </row>
    <row r="69" spans="1:50">
      <c r="C69" s="96"/>
      <c r="D69" s="349"/>
      <c r="E69" s="350"/>
      <c r="F69" s="98"/>
      <c r="G69" s="96"/>
      <c r="H69" s="349"/>
      <c r="I69" s="350"/>
      <c r="J69" s="100"/>
      <c r="K69" s="96"/>
      <c r="L69" s="349"/>
      <c r="M69" s="350"/>
      <c r="N69" s="100"/>
      <c r="O69" s="96"/>
      <c r="P69" s="349"/>
      <c r="Q69" s="350"/>
      <c r="R69" s="100"/>
      <c r="S69" s="96"/>
      <c r="T69" s="362"/>
      <c r="U69" s="363"/>
      <c r="V69" s="100"/>
      <c r="W69" s="96"/>
      <c r="X69" s="362"/>
      <c r="Y69" s="363"/>
      <c r="Z69" s="100"/>
      <c r="AA69" s="96"/>
      <c r="AB69" s="362"/>
      <c r="AC69" s="363"/>
      <c r="AD69" s="100"/>
      <c r="AE69" s="96"/>
      <c r="AF69" s="362"/>
      <c r="AG69" s="363"/>
      <c r="AH69" s="100"/>
      <c r="AI69" s="96"/>
      <c r="AJ69" s="362"/>
      <c r="AK69" s="363"/>
      <c r="AL69" s="100"/>
      <c r="AM69" s="96"/>
      <c r="AN69" s="362"/>
      <c r="AO69" s="363"/>
      <c r="AP69" s="100"/>
      <c r="AQ69" s="96"/>
      <c r="AR69" s="349"/>
      <c r="AS69" s="350"/>
      <c r="AT69" s="100"/>
      <c r="AU69" s="96"/>
      <c r="AV69" s="349"/>
      <c r="AW69" s="350"/>
      <c r="AX69" s="100"/>
    </row>
    <row r="70" spans="1:50">
      <c r="C70" s="96"/>
      <c r="D70" s="349"/>
      <c r="E70" s="350"/>
      <c r="F70" s="98"/>
      <c r="G70" s="96"/>
      <c r="H70" s="349"/>
      <c r="I70" s="350"/>
      <c r="J70" s="100"/>
      <c r="K70" s="96"/>
      <c r="L70" s="349"/>
      <c r="M70" s="350"/>
      <c r="N70" s="100"/>
      <c r="O70" s="96"/>
      <c r="P70" s="349"/>
      <c r="Q70" s="350"/>
      <c r="R70" s="100"/>
      <c r="S70" s="96"/>
      <c r="T70" s="349" t="s">
        <v>568</v>
      </c>
      <c r="U70" s="350"/>
      <c r="V70" s="100">
        <f>4448.85</f>
        <v>4448.8500000000004</v>
      </c>
      <c r="W70" s="96"/>
      <c r="X70" s="349" t="s">
        <v>566</v>
      </c>
      <c r="Y70" s="350"/>
      <c r="Z70" s="100">
        <f>3289.11+270.87</f>
        <v>3559.98</v>
      </c>
      <c r="AA70" s="96"/>
      <c r="AB70" s="362"/>
      <c r="AC70" s="363"/>
      <c r="AD70" s="100"/>
      <c r="AE70" s="96"/>
      <c r="AF70" s="362"/>
      <c r="AG70" s="363"/>
      <c r="AH70" s="100"/>
      <c r="AI70" s="96"/>
      <c r="AJ70" s="362"/>
      <c r="AK70" s="363"/>
      <c r="AL70" s="100"/>
      <c r="AM70" s="96"/>
      <c r="AN70" s="362"/>
      <c r="AO70" s="363"/>
      <c r="AP70" s="100"/>
      <c r="AQ70" s="96"/>
      <c r="AR70" s="349"/>
      <c r="AS70" s="350"/>
      <c r="AT70" s="100"/>
      <c r="AU70" s="96"/>
      <c r="AV70" s="349"/>
      <c r="AW70" s="350"/>
      <c r="AX70" s="100"/>
    </row>
    <row r="71" spans="1:50" ht="15.75" thickBot="1">
      <c r="C71" s="97"/>
      <c r="D71" s="347"/>
      <c r="E71" s="348"/>
      <c r="F71" s="99"/>
      <c r="G71" s="97"/>
      <c r="H71" s="347"/>
      <c r="I71" s="348"/>
      <c r="J71" s="101"/>
      <c r="K71" s="97"/>
      <c r="L71" s="347"/>
      <c r="M71" s="348"/>
      <c r="N71" s="101"/>
      <c r="O71" s="97"/>
      <c r="P71" s="347"/>
      <c r="Q71" s="348"/>
      <c r="R71" s="101"/>
      <c r="S71" s="97"/>
      <c r="T71" s="368" t="s">
        <v>569</v>
      </c>
      <c r="U71" s="369"/>
      <c r="V71" s="101">
        <f>V70-O8</f>
        <v>1878.2900000000004</v>
      </c>
      <c r="W71" s="97"/>
      <c r="X71" s="368" t="s">
        <v>567</v>
      </c>
      <c r="Y71" s="369"/>
      <c r="Z71" s="101">
        <f>Z70-1484.91-429.89</f>
        <v>1645.1799999999998</v>
      </c>
      <c r="AA71" s="97"/>
      <c r="AB71" s="364"/>
      <c r="AC71" s="365"/>
      <c r="AD71" s="101"/>
      <c r="AE71" s="97"/>
      <c r="AF71" s="364"/>
      <c r="AG71" s="365"/>
      <c r="AH71" s="101"/>
      <c r="AI71" s="97"/>
      <c r="AJ71" s="364"/>
      <c r="AK71" s="365"/>
      <c r="AL71" s="101"/>
      <c r="AM71" s="97"/>
      <c r="AN71" s="364"/>
      <c r="AO71" s="365"/>
      <c r="AP71" s="101"/>
      <c r="AQ71" s="97"/>
      <c r="AR71" s="347"/>
      <c r="AS71" s="348"/>
      <c r="AT71" s="101"/>
      <c r="AU71" s="97"/>
      <c r="AV71" s="347"/>
      <c r="AW71" s="348"/>
      <c r="AX71" s="101"/>
    </row>
    <row r="72" spans="1:50">
      <c r="F72">
        <f>8-6.91</f>
        <v>1.0899999999999999</v>
      </c>
      <c r="V72">
        <f>V71/V70</f>
        <v>0.42219674747406638</v>
      </c>
      <c r="Z72">
        <f>Z71/Z70</f>
        <v>0.46213180972926809</v>
      </c>
    </row>
    <row r="73" spans="1:50">
      <c r="D73">
        <v>75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23</v>
      </c>
      <c r="D75">
        <f>C75*D74</f>
        <v>74.193548387096769</v>
      </c>
      <c r="Z75" s="111"/>
    </row>
    <row r="76" spans="1:50">
      <c r="D76">
        <f>D75-D73</f>
        <v>-0.80645161290323131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82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/>
      <c r="L5" s="405"/>
      <c r="M5" s="1"/>
      <c r="N5" s="1"/>
      <c r="R5" s="3"/>
    </row>
    <row r="6" spans="1:22" ht="15.75">
      <c r="A6" s="112">
        <f>'08'!A6+(B6-SUM(D6:F6))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88">
        <v>550</v>
      </c>
      <c r="L6" s="389"/>
      <c r="M6" s="1" t="s">
        <v>165</v>
      </c>
      <c r="N6" s="1"/>
      <c r="R6" s="3"/>
    </row>
    <row r="7" spans="1:22" ht="15.75">
      <c r="A7" s="112">
        <f>'08'!A7+(B7-SUM(D7:F7))</f>
        <v>313.39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88"/>
      <c r="L7" s="389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88">
        <v>7000</v>
      </c>
      <c r="L8" s="389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88">
        <v>659.77</v>
      </c>
      <c r="L9" s="389"/>
      <c r="M9" s="1"/>
      <c r="N9" s="1"/>
      <c r="R9" s="3"/>
    </row>
    <row r="10" spans="1:22" ht="15.75">
      <c r="A10" s="112">
        <f>'08'!A10+(B10-SUM(D10:F10))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88">
        <v>1800.04</v>
      </c>
      <c r="L10" s="389"/>
      <c r="M10" s="1" t="s">
        <v>156</v>
      </c>
      <c r="N10" s="1"/>
      <c r="R10" s="3"/>
    </row>
    <row r="11" spans="1:22" ht="15.75">
      <c r="A11" s="112">
        <f>'08'!A11+(B11-SUM(D11:F11))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88"/>
      <c r="L11" s="389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90">
        <f>SUM(K5:K18)</f>
        <v>15101.890000000001</v>
      </c>
      <c r="L19" s="391"/>
      <c r="M19" s="1"/>
      <c r="N19" s="1"/>
      <c r="R19" s="3"/>
    </row>
    <row r="20" spans="1:18" ht="16.5" thickBot="1">
      <c r="A20" s="112">
        <f>SUM(A6:A15)</f>
        <v>2813.7599999999998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82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/>
      <c r="K25" s="397"/>
      <c r="L25" s="198"/>
      <c r="M25" s="1"/>
      <c r="R25" s="3"/>
    </row>
    <row r="26" spans="1:18" ht="15.75">
      <c r="A26" s="112">
        <f>'08'!A26+(B26-SUM(D26:F26))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94"/>
      <c r="J26" s="398"/>
      <c r="K26" s="399"/>
      <c r="L26" s="199"/>
      <c r="M26" s="1"/>
      <c r="R26" s="3"/>
    </row>
    <row r="27" spans="1:18" ht="15.75">
      <c r="A27" s="112">
        <f>'08'!A27+(B27-SUM(D27:F27))</f>
        <v>726.02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94"/>
      <c r="J27" s="398"/>
      <c r="K27" s="399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95"/>
      <c r="J29" s="400"/>
      <c r="K29" s="401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/>
      <c r="K30" s="39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/>
      <c r="K31" s="39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/>
      <c r="K32" s="39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01"/>
      <c r="M39" s="1"/>
      <c r="R39" s="3"/>
    </row>
    <row r="40" spans="1:18" ht="16.5" thickBot="1">
      <c r="A40" s="112">
        <f>SUM(A26:A35)</f>
        <v>4824.0300000000007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/>
      <c r="K40" s="39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19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19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199"/>
      <c r="M43" s="1"/>
      <c r="R43" s="3"/>
    </row>
    <row r="44" spans="1:18" ht="15.75">
      <c r="A44" s="1"/>
      <c r="B44" s="374" t="s">
        <v>8</v>
      </c>
      <c r="C44" s="375"/>
      <c r="D44" s="382" t="s">
        <v>9</v>
      </c>
      <c r="E44" s="382"/>
      <c r="F44" s="382"/>
      <c r="G44" s="375"/>
      <c r="H44" s="1"/>
      <c r="I44" s="395"/>
      <c r="J44" s="400"/>
      <c r="K44" s="40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/>
      <c r="K45" s="39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94"/>
      <c r="J46" s="398"/>
      <c r="K46" s="39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94"/>
      <c r="J47" s="398"/>
      <c r="K47" s="39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94"/>
      <c r="J48" s="398"/>
      <c r="K48" s="39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95"/>
      <c r="J49" s="400"/>
      <c r="K49" s="40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93" t="str">
        <f>AÑO!A13</f>
        <v>Gubernamental</v>
      </c>
      <c r="J50" s="396"/>
      <c r="K50" s="39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94"/>
      <c r="J51" s="398"/>
      <c r="K51" s="39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94"/>
      <c r="J52" s="398"/>
      <c r="K52" s="39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94"/>
      <c r="J53" s="398"/>
      <c r="K53" s="39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95"/>
      <c r="J54" s="400"/>
      <c r="K54" s="40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93" t="str">
        <f>AÑO!A14</f>
        <v>Mutualite/DKV</v>
      </c>
      <c r="J55" s="396"/>
      <c r="K55" s="39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/>
      <c r="K60" s="39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19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19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199"/>
      <c r="M63" s="1"/>
      <c r="R63" s="3"/>
    </row>
    <row r="64" spans="1:18" ht="15.75">
      <c r="A64" s="1"/>
      <c r="B64" s="374" t="s">
        <v>8</v>
      </c>
      <c r="C64" s="375"/>
      <c r="D64" s="382" t="s">
        <v>9</v>
      </c>
      <c r="E64" s="382"/>
      <c r="F64" s="382"/>
      <c r="G64" s="375"/>
      <c r="H64" s="1"/>
      <c r="I64" s="395"/>
      <c r="J64" s="400"/>
      <c r="K64" s="40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94"/>
      <c r="J66" s="398"/>
      <c r="K66" s="39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94"/>
      <c r="J67" s="398"/>
      <c r="K67" s="39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94"/>
      <c r="J68" s="398"/>
      <c r="K68" s="39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82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82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283.84000000000003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2594.1800000000012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1900.8200000000002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82" t="s">
        <v>9</v>
      </c>
      <c r="E124" s="382"/>
      <c r="F124" s="382"/>
      <c r="G124" s="37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82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82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82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82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82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2:7" ht="15" customHeight="1" thickBot="1">
      <c r="B243" s="385"/>
      <c r="C243" s="386"/>
      <c r="D243" s="386"/>
      <c r="E243" s="386"/>
      <c r="F243" s="386"/>
      <c r="G243" s="387"/>
    </row>
    <row r="244" spans="2:7" ht="15" customHeight="1">
      <c r="B244" s="374" t="s">
        <v>8</v>
      </c>
      <c r="C244" s="375"/>
      <c r="D244" s="382" t="s">
        <v>9</v>
      </c>
      <c r="E244" s="382"/>
      <c r="F244" s="382"/>
      <c r="G244" s="37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2:7" ht="15" customHeight="1" thickBot="1">
      <c r="B263" s="385"/>
      <c r="C263" s="386"/>
      <c r="D263" s="386"/>
      <c r="E263" s="386"/>
      <c r="F263" s="386"/>
      <c r="G263" s="387"/>
    </row>
    <row r="264" spans="2:7">
      <c r="B264" s="374" t="s">
        <v>8</v>
      </c>
      <c r="C264" s="375"/>
      <c r="D264" s="382" t="s">
        <v>9</v>
      </c>
      <c r="E264" s="382"/>
      <c r="F264" s="382"/>
      <c r="G264" s="37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82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82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83"/>
      <c r="D322" s="383"/>
      <c r="E322" s="383"/>
      <c r="F322" s="383"/>
      <c r="G322" s="384"/>
    </row>
    <row r="323" spans="2:7" ht="15" customHeight="1" thickBot="1">
      <c r="B323" s="385"/>
      <c r="C323" s="386"/>
      <c r="D323" s="386"/>
      <c r="E323" s="386"/>
      <c r="F323" s="386"/>
      <c r="G323" s="387"/>
    </row>
    <row r="324" spans="2:7">
      <c r="B324" s="374" t="s">
        <v>8</v>
      </c>
      <c r="C324" s="375"/>
      <c r="D324" s="382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82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82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83"/>
      <c r="D382" s="383"/>
      <c r="E382" s="383"/>
      <c r="F382" s="383"/>
      <c r="G382" s="384"/>
    </row>
    <row r="383" spans="2:7" ht="15" customHeight="1" thickBot="1">
      <c r="B383" s="385"/>
      <c r="C383" s="386"/>
      <c r="D383" s="386"/>
      <c r="E383" s="386"/>
      <c r="F383" s="386"/>
      <c r="G383" s="387"/>
    </row>
    <row r="384" spans="2:7">
      <c r="B384" s="374" t="s">
        <v>8</v>
      </c>
      <c r="C384" s="375"/>
      <c r="D384" s="382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82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7" ht="15" customHeight="1" thickBot="1">
      <c r="B423" s="379"/>
      <c r="C423" s="380"/>
      <c r="D423" s="380"/>
      <c r="E423" s="380"/>
      <c r="F423" s="380"/>
      <c r="G423" s="381"/>
    </row>
    <row r="424" spans="1:7">
      <c r="B424" s="374" t="s">
        <v>8</v>
      </c>
      <c r="C424" s="375"/>
      <c r="D424" s="382" t="s">
        <v>9</v>
      </c>
      <c r="E424" s="382"/>
      <c r="F424" s="382"/>
      <c r="G424" s="375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485.22999999999996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82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82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/>
      <c r="L5" s="405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88">
        <v>550</v>
      </c>
      <c r="L6" s="389"/>
      <c r="M6" s="1" t="s">
        <v>165</v>
      </c>
      <c r="N6" s="1"/>
      <c r="R6" s="3"/>
    </row>
    <row r="7" spans="1:22" ht="15.75">
      <c r="A7" s="112">
        <f>'09'!A7+(B7-SUM(D7:F7))</f>
        <v>383.57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88"/>
      <c r="L7" s="389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88">
        <v>7000</v>
      </c>
      <c r="L8" s="38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88">
        <v>659.77</v>
      </c>
      <c r="L9" s="389"/>
      <c r="M9" s="1"/>
      <c r="N9" s="1"/>
      <c r="R9" s="3"/>
    </row>
    <row r="10" spans="1:22" ht="15.75">
      <c r="A10" s="112">
        <f>'09'!A10+(B10-SUM(D10:F10))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88">
        <v>1800.04</v>
      </c>
      <c r="L10" s="389"/>
      <c r="M10" s="1" t="s">
        <v>156</v>
      </c>
      <c r="N10" s="1"/>
      <c r="R10" s="3"/>
    </row>
    <row r="11" spans="1:22" ht="15.75">
      <c r="A11" s="112">
        <f>'09'!A11+(B11-SUM(D11:F11))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88"/>
      <c r="L11" s="389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90">
        <f>SUM(K5:K18)</f>
        <v>15101.890000000001</v>
      </c>
      <c r="L19" s="391"/>
      <c r="M19" s="1"/>
      <c r="N19" s="1"/>
      <c r="R19" s="3"/>
    </row>
    <row r="20" spans="1:18" ht="16.5" thickBot="1">
      <c r="A20" s="112">
        <f>SUM(A6:A15)</f>
        <v>3357.76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82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/>
      <c r="K25" s="397"/>
      <c r="L25" s="198"/>
      <c r="M25" s="1"/>
      <c r="R25" s="3"/>
    </row>
    <row r="26" spans="1:18" ht="15.75">
      <c r="A26" s="112">
        <f>'09'!A26+(B26-SUM(D26:F26))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94"/>
      <c r="J26" s="398"/>
      <c r="K26" s="399"/>
      <c r="L26" s="199"/>
      <c r="M26" s="1"/>
      <c r="R26" s="3"/>
    </row>
    <row r="27" spans="1:18" ht="15.75">
      <c r="A27" s="112">
        <f>'09'!A27+(B27-SUM(D27:F27))</f>
        <v>896.02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94"/>
      <c r="J27" s="398"/>
      <c r="K27" s="399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95"/>
      <c r="J29" s="400"/>
      <c r="K29" s="401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/>
      <c r="K30" s="39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/>
      <c r="K31" s="39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/>
      <c r="K32" s="39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01"/>
      <c r="M39" s="1"/>
      <c r="R39" s="3"/>
    </row>
    <row r="40" spans="1:18" ht="16.5" thickBot="1">
      <c r="A40" s="112">
        <f>SUM(A26:A35)</f>
        <v>5952.0300000000007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/>
      <c r="K40" s="39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19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19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199"/>
      <c r="M43" s="1"/>
      <c r="R43" s="3"/>
    </row>
    <row r="44" spans="1:18" ht="15.75">
      <c r="A44" s="1"/>
      <c r="B44" s="374" t="s">
        <v>8</v>
      </c>
      <c r="C44" s="375"/>
      <c r="D44" s="382" t="s">
        <v>9</v>
      </c>
      <c r="E44" s="382"/>
      <c r="F44" s="382"/>
      <c r="G44" s="375"/>
      <c r="H44" s="1"/>
      <c r="I44" s="395"/>
      <c r="J44" s="400"/>
      <c r="K44" s="40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/>
      <c r="K45" s="39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94"/>
      <c r="J46" s="398"/>
      <c r="K46" s="39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94"/>
      <c r="J47" s="398"/>
      <c r="K47" s="39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94"/>
      <c r="J48" s="398"/>
      <c r="K48" s="39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95"/>
      <c r="J49" s="400"/>
      <c r="K49" s="40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93" t="str">
        <f>AÑO!A13</f>
        <v>Gubernamental</v>
      </c>
      <c r="J50" s="396"/>
      <c r="K50" s="39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94"/>
      <c r="J51" s="398"/>
      <c r="K51" s="39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94"/>
      <c r="J52" s="398"/>
      <c r="K52" s="39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94"/>
      <c r="J53" s="398"/>
      <c r="K53" s="39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95"/>
      <c r="J54" s="400"/>
      <c r="K54" s="40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93" t="str">
        <f>AÑO!A14</f>
        <v>Mutualite/DKV</v>
      </c>
      <c r="J55" s="396"/>
      <c r="K55" s="39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/>
      <c r="K60" s="39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19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19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199"/>
      <c r="M63" s="1"/>
      <c r="R63" s="3"/>
    </row>
    <row r="64" spans="1:18" ht="15.75">
      <c r="A64" s="1"/>
      <c r="B64" s="374" t="s">
        <v>8</v>
      </c>
      <c r="C64" s="375"/>
      <c r="D64" s="382" t="s">
        <v>9</v>
      </c>
      <c r="E64" s="382"/>
      <c r="F64" s="382"/>
      <c r="G64" s="375"/>
      <c r="H64" s="1"/>
      <c r="I64" s="395"/>
      <c r="J64" s="400"/>
      <c r="K64" s="40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94"/>
      <c r="J66" s="398"/>
      <c r="K66" s="39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94"/>
      <c r="J67" s="398"/>
      <c r="K67" s="39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94"/>
      <c r="J68" s="398"/>
      <c r="K68" s="39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82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82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354.84000000000003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2619.7100000000014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2280.29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82" t="s">
        <v>9</v>
      </c>
      <c r="E124" s="382"/>
      <c r="F124" s="382"/>
      <c r="G124" s="37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82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82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82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82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82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2:7" ht="15" customHeight="1" thickBot="1">
      <c r="B243" s="385"/>
      <c r="C243" s="386"/>
      <c r="D243" s="386"/>
      <c r="E243" s="386"/>
      <c r="F243" s="386"/>
      <c r="G243" s="387"/>
    </row>
    <row r="244" spans="2:7" ht="15" customHeight="1">
      <c r="B244" s="374" t="s">
        <v>8</v>
      </c>
      <c r="C244" s="375"/>
      <c r="D244" s="382" t="s">
        <v>9</v>
      </c>
      <c r="E244" s="382"/>
      <c r="F244" s="382"/>
      <c r="G244" s="37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2:7" ht="15" customHeight="1" thickBot="1">
      <c r="B263" s="385"/>
      <c r="C263" s="386"/>
      <c r="D263" s="386"/>
      <c r="E263" s="386"/>
      <c r="F263" s="386"/>
      <c r="G263" s="387"/>
    </row>
    <row r="264" spans="2:7">
      <c r="B264" s="374" t="s">
        <v>8</v>
      </c>
      <c r="C264" s="375"/>
      <c r="D264" s="382" t="s">
        <v>9</v>
      </c>
      <c r="E264" s="382"/>
      <c r="F264" s="382"/>
      <c r="G264" s="37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82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82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83"/>
      <c r="D322" s="383"/>
      <c r="E322" s="383"/>
      <c r="F322" s="383"/>
      <c r="G322" s="384"/>
    </row>
    <row r="323" spans="2:7" ht="15" customHeight="1" thickBot="1">
      <c r="B323" s="385"/>
      <c r="C323" s="386"/>
      <c r="D323" s="386"/>
      <c r="E323" s="386"/>
      <c r="F323" s="386"/>
      <c r="G323" s="387"/>
    </row>
    <row r="324" spans="2:7">
      <c r="B324" s="374" t="s">
        <v>8</v>
      </c>
      <c r="C324" s="375"/>
      <c r="D324" s="382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82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82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83"/>
      <c r="D382" s="383"/>
      <c r="E382" s="383"/>
      <c r="F382" s="383"/>
      <c r="G382" s="384"/>
    </row>
    <row r="383" spans="2:7" ht="15" customHeight="1" thickBot="1">
      <c r="B383" s="385"/>
      <c r="C383" s="386"/>
      <c r="D383" s="386"/>
      <c r="E383" s="386"/>
      <c r="F383" s="386"/>
      <c r="G383" s="387"/>
    </row>
    <row r="384" spans="2:7">
      <c r="B384" s="374" t="s">
        <v>8</v>
      </c>
      <c r="C384" s="375"/>
      <c r="D384" s="382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82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7" ht="15" customHeight="1" thickBot="1">
      <c r="B423" s="379"/>
      <c r="C423" s="380"/>
      <c r="D423" s="380"/>
      <c r="E423" s="380"/>
      <c r="F423" s="380"/>
      <c r="G423" s="381"/>
    </row>
    <row r="424" spans="1:7">
      <c r="B424" s="374" t="s">
        <v>8</v>
      </c>
      <c r="C424" s="375"/>
      <c r="D424" s="382" t="s">
        <v>9</v>
      </c>
      <c r="E424" s="382"/>
      <c r="F424" s="382"/>
      <c r="G424" s="375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505.22999999999996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228.4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82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82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/>
      <c r="L5" s="405"/>
      <c r="M5" s="1"/>
      <c r="N5" s="1"/>
      <c r="R5" s="3"/>
    </row>
    <row r="6" spans="1:22" ht="15.75">
      <c r="A6" s="112">
        <f>'10'!A6+(B6-SUM(D6:F6))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88">
        <v>550</v>
      </c>
      <c r="L6" s="389"/>
      <c r="M6" s="1" t="s">
        <v>165</v>
      </c>
      <c r="N6" s="1"/>
      <c r="R6" s="3"/>
    </row>
    <row r="7" spans="1:22" ht="15.75">
      <c r="A7" s="112">
        <f>'10'!A7+(B7-SUM(D7:F7))</f>
        <v>453.75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88"/>
      <c r="L7" s="389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88">
        <v>7000</v>
      </c>
      <c r="L8" s="38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88">
        <v>659.77</v>
      </c>
      <c r="L9" s="389"/>
      <c r="M9" s="1"/>
      <c r="N9" s="1"/>
      <c r="R9" s="3"/>
    </row>
    <row r="10" spans="1:22" ht="15.75">
      <c r="A10" s="112">
        <f>'10'!A10+(B10-SUM(D10:F10))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88">
        <v>1800.04</v>
      </c>
      <c r="L10" s="389"/>
      <c r="M10" s="1" t="s">
        <v>156</v>
      </c>
      <c r="N10" s="1"/>
      <c r="R10" s="3"/>
    </row>
    <row r="11" spans="1:22" ht="15.75">
      <c r="A11" s="112">
        <f>'10'!A11+(B11-SUM(D11:F11))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88"/>
      <c r="L11" s="389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90">
        <f>SUM(K5:K18)</f>
        <v>15101.890000000001</v>
      </c>
      <c r="L19" s="391"/>
      <c r="M19" s="1"/>
      <c r="N19" s="1"/>
      <c r="R19" s="3"/>
    </row>
    <row r="20" spans="1:18" ht="16.5" thickBot="1">
      <c r="A20" s="112">
        <f>SUM(A6:A15)</f>
        <v>3901.76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82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/>
      <c r="K25" s="397"/>
      <c r="L25" s="198"/>
      <c r="M25" s="1"/>
      <c r="R25" s="3"/>
    </row>
    <row r="26" spans="1:18" ht="15.75">
      <c r="A26" s="112">
        <f>'10'!A26+(B26-SUM(D26:F26))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94"/>
      <c r="J26" s="398"/>
      <c r="K26" s="399"/>
      <c r="L26" s="199"/>
      <c r="M26" s="1"/>
      <c r="R26" s="3"/>
    </row>
    <row r="27" spans="1:18" ht="15.75">
      <c r="A27" s="112">
        <f>'10'!A27+(B27-SUM(D27:F27))</f>
        <v>1066.02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94"/>
      <c r="J27" s="398"/>
      <c r="K27" s="399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95"/>
      <c r="J29" s="400"/>
      <c r="K29" s="401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/>
      <c r="K30" s="39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/>
      <c r="K31" s="39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/>
      <c r="K32" s="39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01"/>
      <c r="M39" s="1"/>
      <c r="R39" s="3"/>
    </row>
    <row r="40" spans="1:18" ht="16.5" thickBot="1">
      <c r="A40" s="112">
        <f>SUM(A26:A35)</f>
        <v>7080.0300000000007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/>
      <c r="K40" s="39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19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19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199"/>
      <c r="M43" s="1"/>
      <c r="R43" s="3"/>
    </row>
    <row r="44" spans="1:18" ht="15.75">
      <c r="A44" s="1"/>
      <c r="B44" s="374" t="s">
        <v>8</v>
      </c>
      <c r="C44" s="375"/>
      <c r="D44" s="382" t="s">
        <v>9</v>
      </c>
      <c r="E44" s="382"/>
      <c r="F44" s="382"/>
      <c r="G44" s="375"/>
      <c r="H44" s="1"/>
      <c r="I44" s="395"/>
      <c r="J44" s="400"/>
      <c r="K44" s="40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/>
      <c r="K45" s="39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94"/>
      <c r="J46" s="398"/>
      <c r="K46" s="39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94"/>
      <c r="J47" s="398"/>
      <c r="K47" s="39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94"/>
      <c r="J48" s="398"/>
      <c r="K48" s="39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95"/>
      <c r="J49" s="400"/>
      <c r="K49" s="40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93" t="str">
        <f>AÑO!A13</f>
        <v>Gubernamental</v>
      </c>
      <c r="J50" s="396"/>
      <c r="K50" s="39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94"/>
      <c r="J51" s="398"/>
      <c r="K51" s="39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94"/>
      <c r="J52" s="398"/>
      <c r="K52" s="39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94"/>
      <c r="J53" s="398"/>
      <c r="K53" s="39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95"/>
      <c r="J54" s="400"/>
      <c r="K54" s="40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93" t="str">
        <f>AÑO!A14</f>
        <v>Mutualite/DKV</v>
      </c>
      <c r="J55" s="396"/>
      <c r="K55" s="39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/>
      <c r="K60" s="39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19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19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199"/>
      <c r="M63" s="1"/>
      <c r="R63" s="3"/>
    </row>
    <row r="64" spans="1:18" ht="15.75">
      <c r="A64" s="1"/>
      <c r="B64" s="374" t="s">
        <v>8</v>
      </c>
      <c r="C64" s="375"/>
      <c r="D64" s="382" t="s">
        <v>9</v>
      </c>
      <c r="E64" s="382"/>
      <c r="F64" s="382"/>
      <c r="G64" s="375"/>
      <c r="H64" s="1"/>
      <c r="I64" s="395"/>
      <c r="J64" s="400"/>
      <c r="K64" s="40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94"/>
      <c r="J66" s="398"/>
      <c r="K66" s="39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94"/>
      <c r="J67" s="398"/>
      <c r="K67" s="39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94"/>
      <c r="J68" s="398"/>
      <c r="K68" s="39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82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82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425.84000000000003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2645.2400000000016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2659.76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82" t="s">
        <v>9</v>
      </c>
      <c r="E124" s="382"/>
      <c r="F124" s="382"/>
      <c r="G124" s="37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82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82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82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82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82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2:7" ht="15" customHeight="1" thickBot="1">
      <c r="B243" s="385"/>
      <c r="C243" s="386"/>
      <c r="D243" s="386"/>
      <c r="E243" s="386"/>
      <c r="F243" s="386"/>
      <c r="G243" s="387"/>
    </row>
    <row r="244" spans="2:7" ht="15" customHeight="1">
      <c r="B244" s="374" t="s">
        <v>8</v>
      </c>
      <c r="C244" s="375"/>
      <c r="D244" s="382" t="s">
        <v>9</v>
      </c>
      <c r="E244" s="382"/>
      <c r="F244" s="382"/>
      <c r="G244" s="37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2:7" ht="15" customHeight="1" thickBot="1">
      <c r="B263" s="385"/>
      <c r="C263" s="386"/>
      <c r="D263" s="386"/>
      <c r="E263" s="386"/>
      <c r="F263" s="386"/>
      <c r="G263" s="387"/>
    </row>
    <row r="264" spans="2:7">
      <c r="B264" s="374" t="s">
        <v>8</v>
      </c>
      <c r="C264" s="375"/>
      <c r="D264" s="382" t="s">
        <v>9</v>
      </c>
      <c r="E264" s="382"/>
      <c r="F264" s="382"/>
      <c r="G264" s="37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82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82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83"/>
      <c r="D322" s="383"/>
      <c r="E322" s="383"/>
      <c r="F322" s="383"/>
      <c r="G322" s="384"/>
    </row>
    <row r="323" spans="2:7" ht="15" customHeight="1" thickBot="1">
      <c r="B323" s="385"/>
      <c r="C323" s="386"/>
      <c r="D323" s="386"/>
      <c r="E323" s="386"/>
      <c r="F323" s="386"/>
      <c r="G323" s="387"/>
    </row>
    <row r="324" spans="2:7">
      <c r="B324" s="374" t="s">
        <v>8</v>
      </c>
      <c r="C324" s="375"/>
      <c r="D324" s="382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82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82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83"/>
      <c r="D382" s="383"/>
      <c r="E382" s="383"/>
      <c r="F382" s="383"/>
      <c r="G382" s="384"/>
    </row>
    <row r="383" spans="2:7" ht="15" customHeight="1" thickBot="1">
      <c r="B383" s="385"/>
      <c r="C383" s="386"/>
      <c r="D383" s="386"/>
      <c r="E383" s="386"/>
      <c r="F383" s="386"/>
      <c r="G383" s="387"/>
    </row>
    <row r="384" spans="2:7">
      <c r="B384" s="374" t="s">
        <v>8</v>
      </c>
      <c r="C384" s="375"/>
      <c r="D384" s="382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82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7" ht="15" customHeight="1" thickBot="1">
      <c r="B423" s="379"/>
      <c r="C423" s="380"/>
      <c r="D423" s="380"/>
      <c r="E423" s="380"/>
      <c r="F423" s="380"/>
      <c r="G423" s="381"/>
    </row>
    <row r="424" spans="1:7">
      <c r="B424" s="374" t="s">
        <v>8</v>
      </c>
      <c r="C424" s="375"/>
      <c r="D424" s="382" t="s">
        <v>9</v>
      </c>
      <c r="E424" s="382"/>
      <c r="F424" s="382"/>
      <c r="G424" s="375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525.23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82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82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/>
      <c r="L5" s="405"/>
      <c r="M5" s="1"/>
      <c r="N5" s="1"/>
      <c r="R5" s="3"/>
    </row>
    <row r="6" spans="1:22" ht="15.75">
      <c r="A6" s="112">
        <f>'11'!A6+(B6-SUM(D6:F6))</f>
        <v>3209.7000000000003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88">
        <v>550</v>
      </c>
      <c r="L6" s="389"/>
      <c r="M6" s="1" t="s">
        <v>165</v>
      </c>
      <c r="N6" s="1"/>
      <c r="R6" s="3"/>
    </row>
    <row r="7" spans="1:22" ht="15.75">
      <c r="A7" s="112">
        <f>'11'!A7+(B7-SUM(D7:F7))</f>
        <v>523.93000000000006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88"/>
      <c r="L7" s="389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88">
        <v>7000</v>
      </c>
      <c r="L8" s="38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88">
        <v>659.77</v>
      </c>
      <c r="L9" s="389"/>
      <c r="M9" s="1"/>
      <c r="N9" s="1"/>
      <c r="R9" s="3"/>
    </row>
    <row r="10" spans="1:22" ht="15.75">
      <c r="A10" s="112">
        <f>'11'!A10+(B10-SUM(D10:F10))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88">
        <v>1800.04</v>
      </c>
      <c r="L10" s="389"/>
      <c r="M10" s="1" t="s">
        <v>156</v>
      </c>
      <c r="N10" s="1"/>
      <c r="R10" s="3"/>
    </row>
    <row r="11" spans="1:22" ht="15.75">
      <c r="A11" s="112">
        <f>'11'!A11+(B11-SUM(D11:F11))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88"/>
      <c r="L11" s="389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90">
        <f>SUM(K5:K18)</f>
        <v>15101.890000000001</v>
      </c>
      <c r="L19" s="391"/>
      <c r="M19" s="1"/>
      <c r="N19" s="1"/>
      <c r="R19" s="3"/>
    </row>
    <row r="20" spans="1:18" ht="16.5" thickBot="1">
      <c r="A20" s="112">
        <f>SUM(A6:A15)</f>
        <v>4445.76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82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/>
      <c r="K25" s="397"/>
      <c r="L25" s="198"/>
      <c r="M25" s="1"/>
      <c r="R25" s="3"/>
    </row>
    <row r="26" spans="1:18" ht="15.75">
      <c r="A26" s="112">
        <f>'11'!A26+(B26-SUM(D26:F26))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94"/>
      <c r="J26" s="398"/>
      <c r="K26" s="399"/>
      <c r="L26" s="199"/>
      <c r="M26" s="1"/>
      <c r="R26" s="3"/>
    </row>
    <row r="27" spans="1:18" ht="15.75">
      <c r="A27" s="112">
        <f>'11'!A27+(B27-SUM(D27:F27))</f>
        <v>1236.02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94"/>
      <c r="J27" s="398"/>
      <c r="K27" s="399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95"/>
      <c r="J29" s="400"/>
      <c r="K29" s="401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/>
      <c r="K30" s="39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/>
      <c r="K31" s="39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/>
      <c r="K32" s="39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01"/>
      <c r="M39" s="1"/>
      <c r="R39" s="3"/>
    </row>
    <row r="40" spans="1:18" ht="16.5" thickBot="1">
      <c r="A40" s="112">
        <f>SUM(A26:A35)</f>
        <v>8208.0300000000007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/>
      <c r="K40" s="39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19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19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199"/>
      <c r="M43" s="1"/>
      <c r="R43" s="3"/>
    </row>
    <row r="44" spans="1:18" ht="15.75">
      <c r="A44" s="1"/>
      <c r="B44" s="374" t="s">
        <v>8</v>
      </c>
      <c r="C44" s="375"/>
      <c r="D44" s="382" t="s">
        <v>9</v>
      </c>
      <c r="E44" s="382"/>
      <c r="F44" s="382"/>
      <c r="G44" s="375"/>
      <c r="H44" s="1"/>
      <c r="I44" s="395"/>
      <c r="J44" s="400"/>
      <c r="K44" s="40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/>
      <c r="K45" s="39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94"/>
      <c r="J46" s="398"/>
      <c r="K46" s="39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94"/>
      <c r="J47" s="398"/>
      <c r="K47" s="39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94"/>
      <c r="J48" s="398"/>
      <c r="K48" s="39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95"/>
      <c r="J49" s="400"/>
      <c r="K49" s="40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93" t="str">
        <f>AÑO!A13</f>
        <v>Gubernamental</v>
      </c>
      <c r="J50" s="396"/>
      <c r="K50" s="39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94"/>
      <c r="J51" s="398"/>
      <c r="K51" s="39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94"/>
      <c r="J52" s="398"/>
      <c r="K52" s="39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94"/>
      <c r="J53" s="398"/>
      <c r="K53" s="39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95"/>
      <c r="J54" s="400"/>
      <c r="K54" s="40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93" t="str">
        <f>AÑO!A14</f>
        <v>Mutualite/DKV</v>
      </c>
      <c r="J55" s="396"/>
      <c r="K55" s="39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/>
      <c r="K60" s="39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19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19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199"/>
      <c r="M63" s="1"/>
      <c r="R63" s="3"/>
    </row>
    <row r="64" spans="1:18" ht="15.75">
      <c r="A64" s="1"/>
      <c r="B64" s="374" t="s">
        <v>8</v>
      </c>
      <c r="C64" s="375"/>
      <c r="D64" s="382" t="s">
        <v>9</v>
      </c>
      <c r="E64" s="382"/>
      <c r="F64" s="382"/>
      <c r="G64" s="375"/>
      <c r="H64" s="1"/>
      <c r="I64" s="395"/>
      <c r="J64" s="400"/>
      <c r="K64" s="40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94"/>
      <c r="J66" s="398"/>
      <c r="K66" s="39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94"/>
      <c r="J67" s="398"/>
      <c r="K67" s="39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94"/>
      <c r="J68" s="398"/>
      <c r="K68" s="39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82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82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496.84000000000003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2670.7700000000018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3039.23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82" t="s">
        <v>9</v>
      </c>
      <c r="E124" s="382"/>
      <c r="F124" s="382"/>
      <c r="G124" s="37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82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82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82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82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82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2:7" ht="15" customHeight="1" thickBot="1">
      <c r="B243" s="385"/>
      <c r="C243" s="386"/>
      <c r="D243" s="386"/>
      <c r="E243" s="386"/>
      <c r="F243" s="386"/>
      <c r="G243" s="387"/>
    </row>
    <row r="244" spans="2:7" ht="15" customHeight="1">
      <c r="B244" s="374" t="s">
        <v>8</v>
      </c>
      <c r="C244" s="375"/>
      <c r="D244" s="382" t="s">
        <v>9</v>
      </c>
      <c r="E244" s="382"/>
      <c r="F244" s="382"/>
      <c r="G244" s="37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2:7" ht="15" customHeight="1" thickBot="1">
      <c r="B263" s="385"/>
      <c r="C263" s="386"/>
      <c r="D263" s="386"/>
      <c r="E263" s="386"/>
      <c r="F263" s="386"/>
      <c r="G263" s="387"/>
    </row>
    <row r="264" spans="2:7">
      <c r="B264" s="374" t="s">
        <v>8</v>
      </c>
      <c r="C264" s="375"/>
      <c r="D264" s="382" t="s">
        <v>9</v>
      </c>
      <c r="E264" s="382"/>
      <c r="F264" s="382"/>
      <c r="G264" s="37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82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82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83"/>
      <c r="D322" s="383"/>
      <c r="E322" s="383"/>
      <c r="F322" s="383"/>
      <c r="G322" s="384"/>
    </row>
    <row r="323" spans="2:7" ht="15" customHeight="1" thickBot="1">
      <c r="B323" s="385"/>
      <c r="C323" s="386"/>
      <c r="D323" s="386"/>
      <c r="E323" s="386"/>
      <c r="F323" s="386"/>
      <c r="G323" s="387"/>
    </row>
    <row r="324" spans="2:7">
      <c r="B324" s="374" t="s">
        <v>8</v>
      </c>
      <c r="C324" s="375"/>
      <c r="D324" s="382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82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82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83"/>
      <c r="D382" s="383"/>
      <c r="E382" s="383"/>
      <c r="F382" s="383"/>
      <c r="G382" s="384"/>
    </row>
    <row r="383" spans="2:7" ht="15" customHeight="1" thickBot="1">
      <c r="B383" s="385"/>
      <c r="C383" s="386"/>
      <c r="D383" s="386"/>
      <c r="E383" s="386"/>
      <c r="F383" s="386"/>
      <c r="G383" s="387"/>
    </row>
    <row r="384" spans="2:7">
      <c r="B384" s="374" t="s">
        <v>8</v>
      </c>
      <c r="C384" s="375"/>
      <c r="D384" s="382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82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7" ht="15" customHeight="1" thickBot="1">
      <c r="B423" s="379"/>
      <c r="C423" s="380"/>
      <c r="D423" s="380"/>
      <c r="E423" s="380"/>
      <c r="F423" s="380"/>
      <c r="G423" s="381"/>
    </row>
    <row r="424" spans="1:7">
      <c r="B424" s="374" t="s">
        <v>8</v>
      </c>
      <c r="C424" s="375"/>
      <c r="D424" s="382" t="s">
        <v>9</v>
      </c>
      <c r="E424" s="382"/>
      <c r="F424" s="382"/>
      <c r="G424" s="375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82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G21" sqref="G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7" workbookViewId="0">
      <selection activeCell="S31" sqref="S31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504</v>
      </c>
      <c r="B1" s="240"/>
      <c r="C1" s="241"/>
      <c r="D1" s="427"/>
      <c r="E1" s="242"/>
      <c r="F1" s="243" t="s">
        <v>505</v>
      </c>
      <c r="G1" s="244"/>
      <c r="H1" s="244"/>
      <c r="I1" s="244"/>
      <c r="J1" s="244"/>
      <c r="K1" s="245" t="s">
        <v>506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507</v>
      </c>
      <c r="B2" s="252" t="s">
        <v>508</v>
      </c>
      <c r="C2" s="252" t="s">
        <v>509</v>
      </c>
      <c r="D2" s="428" t="s">
        <v>564</v>
      </c>
      <c r="E2" s="252" t="s">
        <v>510</v>
      </c>
      <c r="F2" s="253" t="s">
        <v>511</v>
      </c>
      <c r="G2" s="254" t="s">
        <v>512</v>
      </c>
      <c r="H2" s="254" t="s">
        <v>513</v>
      </c>
      <c r="I2" s="254" t="s">
        <v>514</v>
      </c>
      <c r="J2" s="254" t="s">
        <v>7</v>
      </c>
      <c r="K2" s="255" t="s">
        <v>511</v>
      </c>
      <c r="L2" s="256" t="s">
        <v>512</v>
      </c>
      <c r="M2" s="256" t="s">
        <v>514</v>
      </c>
      <c r="N2" s="257" t="s">
        <v>7</v>
      </c>
      <c r="O2" s="258" t="s">
        <v>7</v>
      </c>
      <c r="P2" s="259" t="s">
        <v>515</v>
      </c>
      <c r="Q2" s="259" t="s">
        <v>95</v>
      </c>
      <c r="R2" s="260" t="s">
        <v>516</v>
      </c>
      <c r="S2" s="261"/>
    </row>
    <row r="3" spans="1:26">
      <c r="A3" s="262" t="s">
        <v>517</v>
      </c>
      <c r="B3" s="262" t="s">
        <v>518</v>
      </c>
      <c r="C3" s="263">
        <v>5600</v>
      </c>
      <c r="D3" s="429">
        <f ca="1">_xlfn.DAYS(K3,F3)</f>
        <v>1400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43609</v>
      </c>
      <c r="L3" s="263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538</v>
      </c>
    </row>
    <row r="4" spans="1:26">
      <c r="A4" s="262" t="s">
        <v>519</v>
      </c>
      <c r="B4" s="262" t="s">
        <v>413</v>
      </c>
      <c r="C4" s="263">
        <v>4090</v>
      </c>
      <c r="D4" s="429">
        <f ca="1">_xlfn.DAYS(K4,F4)</f>
        <v>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43609</v>
      </c>
      <c r="L4" s="263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538</v>
      </c>
    </row>
    <row r="5" spans="1:26">
      <c r="A5" s="262" t="s">
        <v>519</v>
      </c>
      <c r="B5" s="262" t="s">
        <v>520</v>
      </c>
      <c r="C5" s="263">
        <v>5100</v>
      </c>
      <c r="D5" s="429">
        <f ca="1">_xlfn.DAYS(K5,F5)</f>
        <v>455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43609</v>
      </c>
      <c r="L5" s="263">
        <v>30.27</v>
      </c>
      <c r="M5" s="264">
        <f>(H5*L5)</f>
        <v>5932.92</v>
      </c>
      <c r="N5" s="264">
        <f>-(IF((M5*0.0075)&lt;30,30,(M5*0.0075)) + (M5*0.0035))</f>
        <v>-65.262119999999996</v>
      </c>
      <c r="O5" s="272">
        <f>J5+N5</f>
        <v>-121.27499999999999</v>
      </c>
      <c r="P5" s="273">
        <f>M5-E5+N5</f>
        <v>719.56499999999994</v>
      </c>
      <c r="Q5" s="274">
        <f>P5/E5</f>
        <v>0.13977311924488819</v>
      </c>
      <c r="R5" s="275" t="s">
        <v>538</v>
      </c>
    </row>
    <row r="6" spans="1:26">
      <c r="A6" s="262"/>
      <c r="B6" s="262"/>
      <c r="C6" s="263"/>
      <c r="D6" s="429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429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429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430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16"/>
      <c r="B10" s="417"/>
      <c r="C10" s="417"/>
      <c r="D10" s="417"/>
      <c r="E10" s="417"/>
      <c r="F10" s="417"/>
      <c r="G10" s="417"/>
      <c r="H10" s="417"/>
      <c r="I10" s="417"/>
      <c r="J10" s="417"/>
      <c r="K10" s="417"/>
      <c r="L10" s="417"/>
      <c r="M10" s="417"/>
      <c r="N10" s="417"/>
      <c r="O10" s="417"/>
      <c r="P10" s="417"/>
      <c r="Q10" s="417"/>
      <c r="R10" s="417"/>
    </row>
    <row r="11" spans="1:26">
      <c r="A11" s="418" t="s">
        <v>521</v>
      </c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</row>
    <row r="12" spans="1:26">
      <c r="A12" s="290" t="s">
        <v>507</v>
      </c>
      <c r="B12" s="290" t="s">
        <v>508</v>
      </c>
      <c r="C12" s="290" t="s">
        <v>509</v>
      </c>
      <c r="D12" s="431" t="s">
        <v>564</v>
      </c>
      <c r="E12" s="290" t="s">
        <v>510</v>
      </c>
      <c r="F12" s="291" t="s">
        <v>511</v>
      </c>
      <c r="G12" s="292" t="s">
        <v>512</v>
      </c>
      <c r="H12" s="292" t="s">
        <v>513</v>
      </c>
      <c r="I12" s="292" t="s">
        <v>514</v>
      </c>
      <c r="J12" s="292" t="s">
        <v>7</v>
      </c>
      <c r="K12" s="293" t="s">
        <v>511</v>
      </c>
      <c r="L12" s="294" t="s">
        <v>512</v>
      </c>
      <c r="M12" s="294" t="s">
        <v>514</v>
      </c>
      <c r="N12" s="295" t="s">
        <v>7</v>
      </c>
      <c r="O12" s="296" t="s">
        <v>7</v>
      </c>
      <c r="P12" s="297" t="s">
        <v>515</v>
      </c>
      <c r="Q12" s="297" t="s">
        <v>95</v>
      </c>
      <c r="R12" s="298" t="s">
        <v>516</v>
      </c>
      <c r="S12" s="261"/>
      <c r="W12" s="437" t="s">
        <v>534</v>
      </c>
      <c r="X12" s="437" t="s">
        <v>535</v>
      </c>
      <c r="Y12" s="437" t="s">
        <v>536</v>
      </c>
      <c r="Z12" s="437" t="s">
        <v>537</v>
      </c>
    </row>
    <row r="13" spans="1:26">
      <c r="A13" s="262" t="s">
        <v>517</v>
      </c>
      <c r="B13" s="262" t="s">
        <v>522</v>
      </c>
      <c r="C13" s="263">
        <v>4000</v>
      </c>
      <c r="D13" s="429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522</v>
      </c>
      <c r="W13" s="39">
        <f ca="1">D13/D$43</f>
        <v>4.0390879478827364E-2</v>
      </c>
      <c r="X13" s="119">
        <f ca="1">W13*E13</f>
        <v>162.341807752443</v>
      </c>
      <c r="Y13" s="38"/>
    </row>
    <row r="14" spans="1:26">
      <c r="A14" s="262" t="s">
        <v>517</v>
      </c>
      <c r="B14" s="262" t="s">
        <v>522</v>
      </c>
      <c r="C14" s="263"/>
      <c r="D14" s="429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523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517</v>
      </c>
      <c r="B15" s="262" t="s">
        <v>524</v>
      </c>
      <c r="C15" s="263"/>
      <c r="D15" s="429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524</v>
      </c>
      <c r="W15" s="39">
        <f t="shared" ca="1" si="1"/>
        <v>3.5830618892508145E-2</v>
      </c>
      <c r="X15" s="119">
        <f t="shared" ca="1" si="2"/>
        <v>0</v>
      </c>
    </row>
    <row r="16" spans="1:26">
      <c r="A16" s="262" t="s">
        <v>517</v>
      </c>
      <c r="B16" s="262" t="s">
        <v>525</v>
      </c>
      <c r="C16" s="263"/>
      <c r="D16" s="429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525</v>
      </c>
      <c r="W16" s="39">
        <f t="shared" ca="1" si="1"/>
        <v>9.120521172638436E-3</v>
      </c>
      <c r="X16" s="119">
        <f t="shared" ca="1" si="2"/>
        <v>0</v>
      </c>
    </row>
    <row r="17" spans="1:24">
      <c r="A17" s="262"/>
      <c r="B17" s="262"/>
      <c r="C17" s="263"/>
      <c r="D17" s="429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526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429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527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517</v>
      </c>
      <c r="B19" s="262" t="s">
        <v>525</v>
      </c>
      <c r="C19" s="263">
        <v>4400</v>
      </c>
      <c r="D19" s="429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525</v>
      </c>
      <c r="W19" s="39">
        <f t="shared" ca="1" si="1"/>
        <v>0.56612377850162865</v>
      </c>
      <c r="X19" s="119">
        <f t="shared" ca="1" si="2"/>
        <v>2504.1918765342025</v>
      </c>
    </row>
    <row r="20" spans="1:24">
      <c r="A20" s="262" t="s">
        <v>517</v>
      </c>
      <c r="B20" s="262" t="s">
        <v>525</v>
      </c>
      <c r="C20" s="263">
        <v>605</v>
      </c>
      <c r="D20" s="429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565</v>
      </c>
      <c r="W20" s="39">
        <f t="shared" ca="1" si="1"/>
        <v>0.41172638436482084</v>
      </c>
      <c r="X20" s="119">
        <f t="shared" ca="1" si="2"/>
        <v>247.2828664495114</v>
      </c>
    </row>
    <row r="21" spans="1:24">
      <c r="A21" s="262" t="s">
        <v>517</v>
      </c>
      <c r="B21" s="262" t="s">
        <v>525</v>
      </c>
      <c r="C21" s="263"/>
      <c r="D21" s="429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528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429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526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429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529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517</v>
      </c>
      <c r="B24" s="262" t="s">
        <v>525</v>
      </c>
      <c r="C24" s="263"/>
      <c r="D24" s="429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530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517</v>
      </c>
      <c r="B25" s="262" t="s">
        <v>525</v>
      </c>
      <c r="C25" s="263">
        <v>600</v>
      </c>
      <c r="D25" s="429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525</v>
      </c>
      <c r="W25" s="39">
        <f t="shared" ca="1" si="1"/>
        <v>0.18762214983713354</v>
      </c>
      <c r="X25" s="119">
        <f t="shared" ca="1" si="2"/>
        <v>114.06736748403908</v>
      </c>
    </row>
    <row r="26" spans="1:24">
      <c r="A26" s="262"/>
      <c r="B26" s="262"/>
      <c r="C26" s="263"/>
      <c r="D26" s="429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531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429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531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519</v>
      </c>
      <c r="B28" s="262" t="s">
        <v>520</v>
      </c>
      <c r="C28" s="263">
        <v>5100</v>
      </c>
      <c r="D28" s="429">
        <f t="shared" ca="1" si="0"/>
        <v>455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43609</v>
      </c>
      <c r="L28" s="302">
        <v>25</v>
      </c>
      <c r="M28" s="264">
        <f>(H28*L28)</f>
        <v>4900</v>
      </c>
      <c r="N28" s="264">
        <f>-(IF((M28*0.0075)&lt;30,30,(M28*0.0075)) + (M28*0.0035))</f>
        <v>-53.900000000000006</v>
      </c>
      <c r="O28" s="272">
        <f>J28+N28</f>
        <v>-109.91288</v>
      </c>
      <c r="P28" s="273">
        <f ca="1">IF(K28=0,0,M28-E28+N28)</f>
        <v>-301.99288000000013</v>
      </c>
      <c r="Q28" s="274">
        <f ca="1">P28/E28</f>
        <v>-5.8661117240759675E-2</v>
      </c>
      <c r="R28" s="275" t="s">
        <v>520</v>
      </c>
      <c r="S28" s="59">
        <f ca="1">Q28+Q29+Q30+Q34</f>
        <v>-3.4255963151931343E-2</v>
      </c>
      <c r="W28" s="39">
        <f t="shared" ca="1" si="1"/>
        <v>0.29641693811074921</v>
      </c>
      <c r="X28" s="119">
        <f t="shared" ca="1" si="2"/>
        <v>1525.9819285993487</v>
      </c>
    </row>
    <row r="29" spans="1:24">
      <c r="A29" s="262" t="s">
        <v>519</v>
      </c>
      <c r="B29" s="262" t="s">
        <v>520</v>
      </c>
      <c r="C29" s="263"/>
      <c r="D29" s="429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474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519</v>
      </c>
      <c r="B30" s="262" t="s">
        <v>520</v>
      </c>
      <c r="C30" s="263"/>
      <c r="D30" s="429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474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519</v>
      </c>
      <c r="B31" s="262"/>
      <c r="C31" s="263"/>
      <c r="D31" s="429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532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519</v>
      </c>
      <c r="B32" s="262"/>
      <c r="C32" s="263"/>
      <c r="D32" s="429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</f>
        <v>-9.7999999999999989</v>
      </c>
      <c r="Q32" s="274"/>
      <c r="R32" s="275" t="s">
        <v>533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519</v>
      </c>
      <c r="B33" s="262" t="s">
        <v>413</v>
      </c>
      <c r="C33" s="263">
        <v>4090</v>
      </c>
      <c r="D33" s="429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1.4332247557003257E-2</v>
      </c>
      <c r="X33" s="119">
        <f t="shared" ca="1" si="2"/>
        <v>59.179658892508137</v>
      </c>
    </row>
    <row r="34" spans="1:26">
      <c r="A34" s="262" t="s">
        <v>519</v>
      </c>
      <c r="B34" s="262" t="s">
        <v>520</v>
      </c>
      <c r="C34" s="263"/>
      <c r="D34" s="429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474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519</v>
      </c>
      <c r="B35" s="262" t="s">
        <v>413</v>
      </c>
      <c r="C35" s="263">
        <v>4090</v>
      </c>
      <c r="D35" s="429">
        <f t="shared" ca="1" si="0"/>
        <v>4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43609</v>
      </c>
      <c r="L35" s="302">
        <v>63.5</v>
      </c>
      <c r="M35" s="264">
        <f>(H35*L35)</f>
        <v>3937</v>
      </c>
      <c r="N35" s="264">
        <f>-(IF((M35*0.0075)&lt;30,30,(M35*0.0075)) + (M35*0.0035))</f>
        <v>-43.779499999999999</v>
      </c>
      <c r="O35" s="272">
        <f>J35+N35</f>
        <v>-88.266359999999992</v>
      </c>
      <c r="P35" s="273">
        <f ca="1">IF(K35=0,0,M35-E35+N35)</f>
        <v>-195.52636000000018</v>
      </c>
      <c r="Q35" s="274">
        <f ca="1">P35/E35</f>
        <v>-4.7820607803536211E-2</v>
      </c>
      <c r="R35" s="275" t="s">
        <v>413</v>
      </c>
      <c r="W35" s="39">
        <f t="shared" ca="1" si="1"/>
        <v>2.6058631921824105E-3</v>
      </c>
      <c r="X35" s="119">
        <f t="shared" ca="1" si="2"/>
        <v>10.654714944625407</v>
      </c>
    </row>
    <row r="36" spans="1:26">
      <c r="A36" s="262"/>
      <c r="B36" s="262"/>
      <c r="C36" s="263"/>
      <c r="D36" s="429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429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429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429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429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429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420"/>
      <c r="B42" s="421"/>
      <c r="C42" s="422"/>
      <c r="D42" s="432">
        <f ca="1">SUM(D13:D41)</f>
        <v>2401</v>
      </c>
      <c r="E42" s="422">
        <f>SUM(E13:E41)</f>
        <v>51327.545465999996</v>
      </c>
      <c r="F42" s="425"/>
      <c r="G42" s="422"/>
      <c r="H42" s="423"/>
      <c r="I42" s="422"/>
      <c r="J42" s="426">
        <f>SUM(J13:J41)</f>
        <v>-231.578036</v>
      </c>
      <c r="K42" s="421"/>
      <c r="L42" s="421"/>
      <c r="M42" s="421"/>
      <c r="N42" s="426">
        <f>SUM(N13:N41)</f>
        <v>-368.26075900000001</v>
      </c>
      <c r="O42" s="422">
        <f>SUM(O13:O41)</f>
        <v>-554.45889699999998</v>
      </c>
      <c r="P42" s="422">
        <f ca="1">SUM(P13:P41)</f>
        <v>3163.3394829999997</v>
      </c>
      <c r="Q42" s="433">
        <f ca="1">SUM(Q13:Q41)</f>
        <v>3.8168839811167743</v>
      </c>
      <c r="R42" s="424"/>
      <c r="W42" s="434">
        <f ca="1">SUM(W13:W41)</f>
        <v>1.5641693811074917</v>
      </c>
      <c r="X42" s="435">
        <f ca="1">SUM(X13:X41)</f>
        <v>4623.7002206566776</v>
      </c>
      <c r="Y42" s="436">
        <f ca="1">P42/X42</f>
        <v>0.68415756472869449</v>
      </c>
      <c r="Z42" s="436">
        <f ca="1">Y42/(D$43/365)</f>
        <v>0.16268241767164396</v>
      </c>
    </row>
    <row r="43" spans="1:26">
      <c r="C43" s="119" t="s">
        <v>572</v>
      </c>
      <c r="D43" s="46">
        <f ca="1">_xlfn.DAYS(TODAY(),F13)</f>
        <v>1535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539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540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541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542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543</v>
      </c>
      <c r="T62" s="41" t="s">
        <v>544</v>
      </c>
      <c r="U62" s="38"/>
    </row>
    <row r="63" spans="3:28" ht="15.75">
      <c r="G63" s="38"/>
      <c r="R63" t="s">
        <v>545</v>
      </c>
      <c r="S63" s="309" t="s">
        <v>546</v>
      </c>
      <c r="T63" s="310"/>
      <c r="U63" s="38"/>
    </row>
    <row r="64" spans="3:28">
      <c r="F64" s="38"/>
      <c r="G64" s="38"/>
      <c r="R64" t="s">
        <v>547</v>
      </c>
      <c r="S64" s="309" t="s">
        <v>548</v>
      </c>
      <c r="T64" t="s">
        <v>549</v>
      </c>
    </row>
    <row r="65" spans="6:21">
      <c r="F65" s="38"/>
      <c r="G65" s="38"/>
      <c r="H65" s="38"/>
      <c r="K65" t="s">
        <v>550</v>
      </c>
      <c r="S65" s="38"/>
      <c r="T65" t="s">
        <v>551</v>
      </c>
      <c r="U65" s="38"/>
    </row>
    <row r="66" spans="6:21">
      <c r="K66" s="311">
        <v>43587</v>
      </c>
      <c r="S66" s="306"/>
    </row>
    <row r="67" spans="6:21">
      <c r="K67" t="s">
        <v>552</v>
      </c>
      <c r="S67" s="312"/>
    </row>
    <row r="68" spans="6:21">
      <c r="K68" t="s">
        <v>553</v>
      </c>
      <c r="M68" t="s">
        <v>148</v>
      </c>
      <c r="S68" s="309"/>
      <c r="T68">
        <f>5000/12</f>
        <v>416.66666666666669</v>
      </c>
    </row>
    <row r="69" spans="6:21">
      <c r="K69" t="s">
        <v>554</v>
      </c>
      <c r="T69">
        <f>2.2/T68</f>
        <v>5.28E-3</v>
      </c>
    </row>
    <row r="70" spans="6:21">
      <c r="K70" t="s">
        <v>555</v>
      </c>
      <c r="T70">
        <f>100*T69</f>
        <v>0.52800000000000002</v>
      </c>
    </row>
    <row r="71" spans="6:21">
      <c r="K71" t="s">
        <v>556</v>
      </c>
      <c r="T71">
        <f>2.2*12</f>
        <v>26.400000000000002</v>
      </c>
    </row>
    <row r="72" spans="6:21">
      <c r="K72" t="s">
        <v>557</v>
      </c>
    </row>
    <row r="73" spans="6:21">
      <c r="K73" t="s">
        <v>558</v>
      </c>
    </row>
    <row r="74" spans="6:21">
      <c r="K74" t="s">
        <v>559</v>
      </c>
    </row>
    <row r="75" spans="6:21">
      <c r="K75" t="s">
        <v>560</v>
      </c>
    </row>
    <row r="76" spans="6:21">
      <c r="K76" t="s">
        <v>561</v>
      </c>
    </row>
    <row r="77" spans="6:21">
      <c r="K77" t="s">
        <v>562</v>
      </c>
    </row>
    <row r="78" spans="6:21">
      <c r="K78" t="s">
        <v>563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8" sqref="D8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39" t="s">
        <v>578</v>
      </c>
      <c r="B1" s="439"/>
      <c r="C1" s="439"/>
      <c r="D1" s="439"/>
      <c r="E1" s="439"/>
    </row>
    <row r="2" spans="1:5">
      <c r="A2" s="440" t="s">
        <v>574</v>
      </c>
      <c r="B2" s="441" t="s">
        <v>88</v>
      </c>
      <c r="C2" s="441" t="s">
        <v>575</v>
      </c>
      <c r="D2" s="441" t="s">
        <v>576</v>
      </c>
      <c r="E2" s="270"/>
    </row>
    <row r="3" spans="1:5">
      <c r="A3" s="442" t="s">
        <v>52</v>
      </c>
      <c r="B3" s="443">
        <f>1094.26</f>
        <v>1094.26</v>
      </c>
      <c r="C3" s="305">
        <f>B3/B$7</f>
        <v>0.27057113044166298</v>
      </c>
      <c r="D3" s="443">
        <f>D$7*C3</f>
        <v>-53.031941566565941</v>
      </c>
      <c r="E3" s="275"/>
    </row>
    <row r="4" spans="1:5">
      <c r="A4" s="442" t="s">
        <v>26</v>
      </c>
      <c r="B4" s="443">
        <v>1350</v>
      </c>
      <c r="C4" s="305">
        <f t="shared" ref="C4:C6" si="0">B4/B$7</f>
        <v>0.33380643183178133</v>
      </c>
      <c r="D4" s="443">
        <f t="shared" ref="D4:D6" si="1">D$7*C4</f>
        <v>-65.426060639029146</v>
      </c>
      <c r="E4" s="275"/>
    </row>
    <row r="5" spans="1:5">
      <c r="A5" s="442" t="s">
        <v>171</v>
      </c>
      <c r="B5" s="443">
        <v>550</v>
      </c>
      <c r="C5" s="305">
        <f t="shared" si="0"/>
        <v>0.1359952129685035</v>
      </c>
      <c r="D5" s="443">
        <f t="shared" si="1"/>
        <v>-26.655061741826685</v>
      </c>
      <c r="E5" s="275"/>
    </row>
    <row r="6" spans="1:5">
      <c r="A6" s="442" t="s">
        <v>50</v>
      </c>
      <c r="B6" s="443">
        <v>1050</v>
      </c>
      <c r="C6" s="305">
        <f t="shared" si="0"/>
        <v>0.25962722475805217</v>
      </c>
      <c r="D6" s="443">
        <f t="shared" si="1"/>
        <v>-50.886936052578221</v>
      </c>
      <c r="E6" s="275"/>
    </row>
    <row r="7" spans="1:5">
      <c r="A7" s="442" t="s">
        <v>5</v>
      </c>
      <c r="B7" s="443">
        <f>SUM(B3:B6)</f>
        <v>4044.26</v>
      </c>
      <c r="C7" s="305">
        <f>SUM(C3:C6)</f>
        <v>1</v>
      </c>
      <c r="D7" s="444">
        <v>-196</v>
      </c>
      <c r="E7" s="275" t="s">
        <v>577</v>
      </c>
    </row>
    <row r="8" spans="1:5">
      <c r="A8" s="442"/>
      <c r="B8" s="443"/>
      <c r="C8" s="445"/>
      <c r="D8" s="445"/>
      <c r="E8" s="275"/>
    </row>
    <row r="9" spans="1:5">
      <c r="A9" s="442"/>
      <c r="B9" s="443"/>
      <c r="C9" s="445"/>
      <c r="D9" s="445"/>
      <c r="E9" s="275"/>
    </row>
    <row r="10" spans="1:5">
      <c r="A10" s="442"/>
      <c r="B10" s="445"/>
      <c r="C10" s="445"/>
      <c r="D10" s="445"/>
      <c r="E10" s="275"/>
    </row>
    <row r="11" spans="1:5">
      <c r="A11" s="442" t="s">
        <v>155</v>
      </c>
      <c r="B11" s="443">
        <v>5092.08</v>
      </c>
      <c r="C11" s="445"/>
      <c r="D11" s="445"/>
      <c r="E11" s="275"/>
    </row>
    <row r="12" spans="1:5">
      <c r="A12" s="446" t="s">
        <v>5</v>
      </c>
      <c r="B12" s="447">
        <f>B7+B11</f>
        <v>9136.34</v>
      </c>
      <c r="C12" s="437"/>
      <c r="D12" s="437"/>
      <c r="E12" s="289"/>
    </row>
    <row r="15" spans="1:5">
      <c r="A15" s="418" t="s">
        <v>607</v>
      </c>
      <c r="B15" s="418"/>
      <c r="C15" s="418"/>
      <c r="D15" s="418"/>
      <c r="E15" s="418"/>
    </row>
    <row r="17" spans="1:4">
      <c r="A17" s="438" t="s">
        <v>579</v>
      </c>
    </row>
    <row r="19" spans="1:4">
      <c r="A19" t="s">
        <v>580</v>
      </c>
    </row>
    <row r="20" spans="1:4">
      <c r="A20" t="s">
        <v>581</v>
      </c>
    </row>
    <row r="21" spans="1:4">
      <c r="A21" t="s">
        <v>582</v>
      </c>
    </row>
    <row r="22" spans="1:4">
      <c r="A22" t="s">
        <v>583</v>
      </c>
    </row>
    <row r="23" spans="1:4">
      <c r="A23" t="s">
        <v>584</v>
      </c>
    </row>
    <row r="24" spans="1:4">
      <c r="A24" t="s">
        <v>585</v>
      </c>
    </row>
    <row r="25" spans="1:4">
      <c r="A25" t="s">
        <v>586</v>
      </c>
    </row>
    <row r="30" spans="1:4">
      <c r="A30" s="438" t="s">
        <v>587</v>
      </c>
      <c r="B30" s="438" t="s">
        <v>588</v>
      </c>
      <c r="C30" s="438" t="s">
        <v>589</v>
      </c>
      <c r="D30" s="438" t="s">
        <v>590</v>
      </c>
    </row>
    <row r="32" spans="1:4">
      <c r="A32" t="s">
        <v>591</v>
      </c>
      <c r="B32" t="s">
        <v>592</v>
      </c>
      <c r="C32" t="s">
        <v>593</v>
      </c>
      <c r="D32" t="s">
        <v>594</v>
      </c>
    </row>
    <row r="33" spans="1:4">
      <c r="A33" t="s">
        <v>595</v>
      </c>
      <c r="B33" t="s">
        <v>596</v>
      </c>
      <c r="C33" t="s">
        <v>597</v>
      </c>
      <c r="D33" t="s">
        <v>592</v>
      </c>
    </row>
    <row r="34" spans="1:4">
      <c r="A34" t="s">
        <v>598</v>
      </c>
      <c r="B34" t="s">
        <v>599</v>
      </c>
      <c r="C34" t="s">
        <v>600</v>
      </c>
      <c r="D34" t="s">
        <v>594</v>
      </c>
    </row>
    <row r="35" spans="1:4">
      <c r="A35" t="s">
        <v>601</v>
      </c>
      <c r="B35" t="s">
        <v>592</v>
      </c>
      <c r="C35" t="s">
        <v>597</v>
      </c>
      <c r="D35" t="s">
        <v>602</v>
      </c>
    </row>
    <row r="36" spans="1:4">
      <c r="A36" t="s">
        <v>425</v>
      </c>
      <c r="B36" t="s">
        <v>592</v>
      </c>
      <c r="C36" t="s">
        <v>593</v>
      </c>
      <c r="D36" t="s">
        <v>602</v>
      </c>
    </row>
    <row r="37" spans="1:4">
      <c r="A37" t="s">
        <v>603</v>
      </c>
      <c r="B37" t="s">
        <v>594</v>
      </c>
      <c r="C37" t="s">
        <v>600</v>
      </c>
      <c r="D37" t="s">
        <v>599</v>
      </c>
    </row>
    <row r="38" spans="1:4">
      <c r="A38" t="s">
        <v>604</v>
      </c>
      <c r="B38" t="s">
        <v>592</v>
      </c>
      <c r="C38" t="s">
        <v>600</v>
      </c>
      <c r="D38" t="s">
        <v>592</v>
      </c>
    </row>
    <row r="39" spans="1:4">
      <c r="A39" t="s">
        <v>605</v>
      </c>
      <c r="B39" t="s">
        <v>594</v>
      </c>
      <c r="C39" t="s">
        <v>593</v>
      </c>
      <c r="D39" t="s">
        <v>592</v>
      </c>
    </row>
    <row r="40" spans="1:4">
      <c r="A40" t="s">
        <v>606</v>
      </c>
      <c r="B40" t="s">
        <v>594</v>
      </c>
      <c r="C40" t="s">
        <v>593</v>
      </c>
      <c r="D40" t="s">
        <v>599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82" t="s">
        <v>9</v>
      </c>
      <c r="E4" s="382"/>
      <c r="F4" s="382"/>
      <c r="G4" s="375"/>
      <c r="H4" s="222">
        <v>2018</v>
      </c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04">
        <v>2901.68</v>
      </c>
      <c r="L5" s="40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88">
        <v>620.05999999999995</v>
      </c>
      <c r="L6" s="389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88">
        <v>8035.29</v>
      </c>
      <c r="L7" s="389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88">
        <v>7000</v>
      </c>
      <c r="L8" s="38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88">
        <v>659.39</v>
      </c>
      <c r="L9" s="389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88">
        <v>1800.04</v>
      </c>
      <c r="L10" s="389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88">
        <f>240+35</f>
        <v>275</v>
      </c>
      <c r="L11" s="389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90">
        <f>SUM(K5:K18)</f>
        <v>26383.54</v>
      </c>
      <c r="L19" s="39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12"/>
      <c r="I22" s="392" t="s">
        <v>6</v>
      </c>
      <c r="J22" s="383"/>
      <c r="K22" s="383"/>
      <c r="L22" s="384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12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82" t="s">
        <v>9</v>
      </c>
      <c r="E24" s="382"/>
      <c r="F24" s="382"/>
      <c r="G24" s="375"/>
      <c r="H24" s="112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393" t="str">
        <f>AÑO!A8</f>
        <v>Manolo Salario</v>
      </c>
      <c r="J25" s="396" t="s">
        <v>291</v>
      </c>
      <c r="K25" s="39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94"/>
      <c r="J26" s="398"/>
      <c r="K26" s="39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94"/>
      <c r="J27" s="398"/>
      <c r="K27" s="39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94"/>
      <c r="J28" s="398"/>
      <c r="K28" s="39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95"/>
      <c r="J29" s="400"/>
      <c r="K29" s="401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393" t="str">
        <f>AÑO!A9</f>
        <v>Rocío Salario</v>
      </c>
      <c r="J30" s="396" t="s">
        <v>238</v>
      </c>
      <c r="K30" s="39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94"/>
      <c r="J31" s="398" t="s">
        <v>256</v>
      </c>
      <c r="K31" s="39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94"/>
      <c r="J32" s="406" t="s">
        <v>267</v>
      </c>
      <c r="K32" s="39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94"/>
      <c r="J33" s="398"/>
      <c r="K33" s="39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95"/>
      <c r="J34" s="400"/>
      <c r="K34" s="40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93" t="s">
        <v>218</v>
      </c>
      <c r="J35" s="396" t="s">
        <v>306</v>
      </c>
      <c r="K35" s="39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94"/>
      <c r="J36" s="398"/>
      <c r="K36" s="39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94"/>
      <c r="J37" s="398"/>
      <c r="K37" s="39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94"/>
      <c r="J38" s="398"/>
      <c r="K38" s="39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95"/>
      <c r="J39" s="400"/>
      <c r="K39" s="401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93" t="str">
        <f>AÑO!A11</f>
        <v>Finanazas</v>
      </c>
      <c r="J40" s="396" t="s">
        <v>239</v>
      </c>
      <c r="K40" s="39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94"/>
      <c r="J41" s="398" t="s">
        <v>240</v>
      </c>
      <c r="K41" s="399"/>
      <c r="L41" s="229">
        <v>1.87</v>
      </c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12"/>
      <c r="I42" s="394"/>
      <c r="J42" s="398" t="s">
        <v>269</v>
      </c>
      <c r="K42" s="399"/>
      <c r="L42" s="229">
        <v>0.02</v>
      </c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12"/>
      <c r="I43" s="394"/>
      <c r="J43" s="398"/>
      <c r="K43" s="399"/>
      <c r="L43" s="229"/>
      <c r="M43" s="1"/>
      <c r="R43" s="3"/>
    </row>
    <row r="44" spans="1:18" ht="15.75">
      <c r="A44" s="1"/>
      <c r="B44" s="374" t="s">
        <v>8</v>
      </c>
      <c r="C44" s="375"/>
      <c r="D44" s="382" t="s">
        <v>9</v>
      </c>
      <c r="E44" s="382"/>
      <c r="F44" s="382"/>
      <c r="G44" s="375"/>
      <c r="H44" s="112"/>
      <c r="I44" s="395"/>
      <c r="J44" s="400"/>
      <c r="K44" s="40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393" t="str">
        <f>AÑO!A12</f>
        <v>Regalos</v>
      </c>
      <c r="J45" s="396" t="s">
        <v>299</v>
      </c>
      <c r="K45" s="39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394"/>
      <c r="J46" s="398"/>
      <c r="K46" s="39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394"/>
      <c r="J47" s="398"/>
      <c r="K47" s="39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394"/>
      <c r="J48" s="398"/>
      <c r="K48" s="39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395"/>
      <c r="J49" s="400"/>
      <c r="K49" s="401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393" t="str">
        <f>AÑO!A13</f>
        <v>Gubernamental</v>
      </c>
      <c r="J50" s="396" t="s">
        <v>259</v>
      </c>
      <c r="K50" s="39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394"/>
      <c r="J51" s="398"/>
      <c r="K51" s="39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394"/>
      <c r="J52" s="398"/>
      <c r="K52" s="39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394"/>
      <c r="J53" s="398"/>
      <c r="K53" s="39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395"/>
      <c r="J54" s="400"/>
      <c r="K54" s="401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393" t="str">
        <f>AÑO!A14</f>
        <v>Mutualite/DKV</v>
      </c>
      <c r="J55" s="396"/>
      <c r="K55" s="39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394"/>
      <c r="J56" s="398"/>
      <c r="K56" s="39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394"/>
      <c r="J57" s="398"/>
      <c r="K57" s="39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394"/>
      <c r="J58" s="398"/>
      <c r="K58" s="39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95"/>
      <c r="J59" s="400"/>
      <c r="K59" s="401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93" t="str">
        <f>AÑO!A15</f>
        <v>Alquiler Cartama</v>
      </c>
      <c r="J60" s="396"/>
      <c r="K60" s="39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94"/>
      <c r="J61" s="398"/>
      <c r="K61" s="399"/>
      <c r="L61" s="22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12"/>
      <c r="I62" s="394"/>
      <c r="J62" s="398"/>
      <c r="K62" s="399"/>
      <c r="L62" s="22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12"/>
      <c r="I63" s="394"/>
      <c r="J63" s="398"/>
      <c r="K63" s="399"/>
      <c r="L63" s="229"/>
      <c r="M63" s="1"/>
      <c r="R63" s="3"/>
    </row>
    <row r="64" spans="1:18" ht="15.75">
      <c r="A64" s="1"/>
      <c r="B64" s="374" t="s">
        <v>8</v>
      </c>
      <c r="C64" s="375"/>
      <c r="D64" s="382" t="s">
        <v>9</v>
      </c>
      <c r="E64" s="382"/>
      <c r="F64" s="382"/>
      <c r="G64" s="375"/>
      <c r="H64" s="112"/>
      <c r="I64" s="395"/>
      <c r="J64" s="400"/>
      <c r="K64" s="40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393" t="str">
        <f>AÑO!A16</f>
        <v>Otros</v>
      </c>
      <c r="J65" s="396" t="s">
        <v>296</v>
      </c>
      <c r="K65" s="39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394"/>
      <c r="J66" s="398"/>
      <c r="K66" s="39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94"/>
      <c r="J67" s="398"/>
      <c r="K67" s="39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394"/>
      <c r="J68" s="398"/>
      <c r="K68" s="39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9"/>
      <c r="J69" s="410"/>
      <c r="K69" s="4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12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12"/>
      <c r="M83" s="1"/>
      <c r="R83" s="3"/>
    </row>
    <row r="84" spans="1:18" ht="15.75">
      <c r="A84" s="1"/>
      <c r="B84" s="374" t="s">
        <v>8</v>
      </c>
      <c r="C84" s="375"/>
      <c r="D84" s="382" t="s">
        <v>9</v>
      </c>
      <c r="E84" s="382"/>
      <c r="F84" s="382"/>
      <c r="G84" s="375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12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12"/>
      <c r="M103" s="1"/>
      <c r="R103" s="3"/>
    </row>
    <row r="104" spans="1:18" ht="15.75">
      <c r="A104" s="1"/>
      <c r="B104" s="374" t="s">
        <v>8</v>
      </c>
      <c r="C104" s="375"/>
      <c r="D104" s="382" t="s">
        <v>9</v>
      </c>
      <c r="E104" s="382"/>
      <c r="F104" s="382"/>
      <c r="G104" s="375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12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12"/>
      <c r="M123" s="1"/>
      <c r="R123" s="3"/>
    </row>
    <row r="124" spans="1:18" ht="15.75">
      <c r="A124" s="1"/>
      <c r="B124" s="374" t="s">
        <v>8</v>
      </c>
      <c r="C124" s="375"/>
      <c r="D124" s="382" t="s">
        <v>9</v>
      </c>
      <c r="E124" s="382"/>
      <c r="F124" s="382"/>
      <c r="G124" s="375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12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12"/>
      <c r="M143" s="1"/>
      <c r="R143" s="3"/>
    </row>
    <row r="144" spans="1:18" ht="15.75">
      <c r="A144" s="1"/>
      <c r="B144" s="374" t="s">
        <v>8</v>
      </c>
      <c r="C144" s="375"/>
      <c r="D144" s="382" t="s">
        <v>9</v>
      </c>
      <c r="E144" s="382"/>
      <c r="F144" s="382"/>
      <c r="G144" s="375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82" t="s">
        <v>9</v>
      </c>
      <c r="E164" s="382"/>
      <c r="F164" s="382"/>
      <c r="G164" s="375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82" t="s">
        <v>9</v>
      </c>
      <c r="E184" s="382"/>
      <c r="F184" s="382"/>
      <c r="G184" s="375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  <c r="H202" s="112"/>
    </row>
    <row r="203" spans="2:12" ht="15" customHeight="1" thickBot="1">
      <c r="B203" s="385"/>
      <c r="C203" s="386"/>
      <c r="D203" s="386"/>
      <c r="E203" s="386"/>
      <c r="F203" s="386"/>
      <c r="G203" s="387"/>
      <c r="H203" s="112"/>
    </row>
    <row r="204" spans="2:12" ht="15.75">
      <c r="B204" s="374" t="s">
        <v>8</v>
      </c>
      <c r="C204" s="375"/>
      <c r="D204" s="382" t="s">
        <v>9</v>
      </c>
      <c r="E204" s="382"/>
      <c r="F204" s="382"/>
      <c r="G204" s="375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76" t="str">
        <f>AÑO!A31</f>
        <v>Deportes</v>
      </c>
      <c r="C222" s="383"/>
      <c r="D222" s="383"/>
      <c r="E222" s="383"/>
      <c r="F222" s="383"/>
      <c r="G222" s="384"/>
      <c r="H222" s="112"/>
    </row>
    <row r="223" spans="2:8" ht="15" customHeight="1" thickBot="1">
      <c r="B223" s="385"/>
      <c r="C223" s="386"/>
      <c r="D223" s="386"/>
      <c r="E223" s="386"/>
      <c r="F223" s="386"/>
      <c r="G223" s="387"/>
      <c r="H223" s="112"/>
    </row>
    <row r="224" spans="2:8" ht="15.75">
      <c r="B224" s="374" t="s">
        <v>8</v>
      </c>
      <c r="C224" s="375"/>
      <c r="D224" s="382" t="s">
        <v>9</v>
      </c>
      <c r="E224" s="382"/>
      <c r="F224" s="382"/>
      <c r="G224" s="375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76" t="str">
        <f>AÑO!A32</f>
        <v>Hogar</v>
      </c>
      <c r="C242" s="383"/>
      <c r="D242" s="383"/>
      <c r="E242" s="383"/>
      <c r="F242" s="383"/>
      <c r="G242" s="384"/>
      <c r="H242" s="112"/>
    </row>
    <row r="243" spans="2:8" ht="15" customHeight="1" thickBot="1">
      <c r="B243" s="385"/>
      <c r="C243" s="386"/>
      <c r="D243" s="386"/>
      <c r="E243" s="386"/>
      <c r="F243" s="386"/>
      <c r="G243" s="387"/>
      <c r="H243" s="112"/>
    </row>
    <row r="244" spans="2:8" ht="15" customHeight="1">
      <c r="B244" s="374" t="s">
        <v>8</v>
      </c>
      <c r="C244" s="375"/>
      <c r="D244" s="382" t="s">
        <v>9</v>
      </c>
      <c r="E244" s="382"/>
      <c r="F244" s="382"/>
      <c r="G244" s="375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76" t="str">
        <f>AÑO!A33</f>
        <v>Formación</v>
      </c>
      <c r="C262" s="383"/>
      <c r="D262" s="383"/>
      <c r="E262" s="383"/>
      <c r="F262" s="383"/>
      <c r="G262" s="384"/>
      <c r="H262" s="112"/>
    </row>
    <row r="263" spans="2:8" ht="15" customHeight="1" thickBot="1">
      <c r="B263" s="385"/>
      <c r="C263" s="386"/>
      <c r="D263" s="386"/>
      <c r="E263" s="386"/>
      <c r="F263" s="386"/>
      <c r="G263" s="387"/>
      <c r="H263" s="112"/>
    </row>
    <row r="264" spans="2:8" ht="15.75">
      <c r="B264" s="374" t="s">
        <v>8</v>
      </c>
      <c r="C264" s="375"/>
      <c r="D264" s="382" t="s">
        <v>9</v>
      </c>
      <c r="E264" s="382"/>
      <c r="F264" s="382"/>
      <c r="G264" s="375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  <c r="H282" s="112"/>
    </row>
    <row r="283" spans="2:8" ht="15" customHeight="1" thickBot="1">
      <c r="B283" s="385"/>
      <c r="C283" s="386"/>
      <c r="D283" s="386"/>
      <c r="E283" s="386"/>
      <c r="F283" s="386"/>
      <c r="G283" s="387"/>
      <c r="H283" s="112"/>
    </row>
    <row r="284" spans="2:8" ht="15.75">
      <c r="B284" s="374" t="s">
        <v>8</v>
      </c>
      <c r="C284" s="375"/>
      <c r="D284" s="382" t="s">
        <v>9</v>
      </c>
      <c r="E284" s="382"/>
      <c r="F284" s="382"/>
      <c r="G284" s="375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  <c r="H302" s="112"/>
    </row>
    <row r="303" spans="2:8" ht="15" customHeight="1" thickBot="1">
      <c r="B303" s="385"/>
      <c r="C303" s="386"/>
      <c r="D303" s="386"/>
      <c r="E303" s="386"/>
      <c r="F303" s="386"/>
      <c r="G303" s="387"/>
      <c r="H303" s="112"/>
    </row>
    <row r="304" spans="2:8" ht="15.75">
      <c r="B304" s="374" t="s">
        <v>8</v>
      </c>
      <c r="C304" s="375"/>
      <c r="D304" s="382" t="s">
        <v>9</v>
      </c>
      <c r="E304" s="382"/>
      <c r="F304" s="382"/>
      <c r="G304" s="375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76" t="str">
        <f>AÑO!A36</f>
        <v>Nenas</v>
      </c>
      <c r="C322" s="383"/>
      <c r="D322" s="383"/>
      <c r="E322" s="383"/>
      <c r="F322" s="383"/>
      <c r="G322" s="384"/>
      <c r="H322" s="112"/>
    </row>
    <row r="323" spans="2:8" ht="15" customHeight="1" thickBot="1">
      <c r="B323" s="385"/>
      <c r="C323" s="386"/>
      <c r="D323" s="386"/>
      <c r="E323" s="386"/>
      <c r="F323" s="386"/>
      <c r="G323" s="387"/>
      <c r="H323" s="112"/>
    </row>
    <row r="324" spans="2:8" ht="15.75">
      <c r="B324" s="374" t="s">
        <v>8</v>
      </c>
      <c r="C324" s="375"/>
      <c r="D324" s="382" t="s">
        <v>9</v>
      </c>
      <c r="E324" s="382"/>
      <c r="F324" s="382"/>
      <c r="G324" s="375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76" t="str">
        <f>AÑO!A37</f>
        <v>Impuestos</v>
      </c>
      <c r="C342" s="383"/>
      <c r="D342" s="383"/>
      <c r="E342" s="383"/>
      <c r="F342" s="383"/>
      <c r="G342" s="384"/>
      <c r="H342" s="112"/>
    </row>
    <row r="343" spans="2:8" ht="15" customHeight="1" thickBot="1">
      <c r="B343" s="385"/>
      <c r="C343" s="386"/>
      <c r="D343" s="386"/>
      <c r="E343" s="386"/>
      <c r="F343" s="386"/>
      <c r="G343" s="387"/>
      <c r="H343" s="112"/>
    </row>
    <row r="344" spans="2:8" ht="15.75">
      <c r="B344" s="374" t="s">
        <v>8</v>
      </c>
      <c r="C344" s="375"/>
      <c r="D344" s="382" t="s">
        <v>9</v>
      </c>
      <c r="E344" s="382"/>
      <c r="F344" s="382"/>
      <c r="G344" s="375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76" t="str">
        <f>AÑO!A38</f>
        <v>Gastos Curros</v>
      </c>
      <c r="C362" s="383"/>
      <c r="D362" s="383"/>
      <c r="E362" s="383"/>
      <c r="F362" s="383"/>
      <c r="G362" s="384"/>
      <c r="H362" s="112"/>
    </row>
    <row r="363" spans="2:8" ht="15" customHeight="1" thickBot="1">
      <c r="B363" s="385"/>
      <c r="C363" s="386"/>
      <c r="D363" s="386"/>
      <c r="E363" s="386"/>
      <c r="F363" s="386"/>
      <c r="G363" s="387"/>
      <c r="H363" s="112"/>
    </row>
    <row r="364" spans="2:8" ht="15.75">
      <c r="B364" s="374" t="s">
        <v>8</v>
      </c>
      <c r="C364" s="375"/>
      <c r="D364" s="382" t="s">
        <v>9</v>
      </c>
      <c r="E364" s="382"/>
      <c r="F364" s="382"/>
      <c r="G364" s="375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76" t="str">
        <f>AÑO!A39</f>
        <v>Dreamed Holidays</v>
      </c>
      <c r="C382" s="383"/>
      <c r="D382" s="383"/>
      <c r="E382" s="383"/>
      <c r="F382" s="383"/>
      <c r="G382" s="384"/>
      <c r="H382" s="112"/>
    </row>
    <row r="383" spans="2:8" ht="15" customHeight="1" thickBot="1">
      <c r="B383" s="385"/>
      <c r="C383" s="386"/>
      <c r="D383" s="386"/>
      <c r="E383" s="386"/>
      <c r="F383" s="386"/>
      <c r="G383" s="387"/>
      <c r="H383" s="112"/>
    </row>
    <row r="384" spans="2:8" ht="15.75">
      <c r="B384" s="374" t="s">
        <v>8</v>
      </c>
      <c r="C384" s="375"/>
      <c r="D384" s="382" t="s">
        <v>9</v>
      </c>
      <c r="E384" s="382"/>
      <c r="F384" s="382"/>
      <c r="G384" s="375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76" t="str">
        <f>AÑO!A40</f>
        <v>Financieros</v>
      </c>
      <c r="C402" s="383"/>
      <c r="D402" s="383"/>
      <c r="E402" s="383"/>
      <c r="F402" s="383"/>
      <c r="G402" s="384"/>
      <c r="H402" s="112"/>
    </row>
    <row r="403" spans="2:8" ht="15" customHeight="1" thickBot="1">
      <c r="B403" s="385"/>
      <c r="C403" s="386"/>
      <c r="D403" s="386"/>
      <c r="E403" s="386"/>
      <c r="F403" s="386"/>
      <c r="G403" s="387"/>
      <c r="H403" s="112"/>
    </row>
    <row r="404" spans="2:8" ht="15.75">
      <c r="B404" s="374" t="s">
        <v>8</v>
      </c>
      <c r="C404" s="375"/>
      <c r="D404" s="382" t="s">
        <v>9</v>
      </c>
      <c r="E404" s="382"/>
      <c r="F404" s="382"/>
      <c r="G404" s="375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76" t="str">
        <f>AÑO!A41</f>
        <v>Ahorros Colchón</v>
      </c>
      <c r="C422" s="377"/>
      <c r="D422" s="377"/>
      <c r="E422" s="377"/>
      <c r="F422" s="377"/>
      <c r="G422" s="378"/>
      <c r="H422" s="112"/>
    </row>
    <row r="423" spans="1:8" ht="15" customHeight="1" thickBot="1">
      <c r="B423" s="379"/>
      <c r="C423" s="380"/>
      <c r="D423" s="380"/>
      <c r="E423" s="380"/>
      <c r="F423" s="380"/>
      <c r="G423" s="381"/>
      <c r="H423" s="112"/>
    </row>
    <row r="424" spans="1:8" ht="15.75">
      <c r="B424" s="374" t="s">
        <v>8</v>
      </c>
      <c r="C424" s="375"/>
      <c r="D424" s="382" t="s">
        <v>9</v>
      </c>
      <c r="E424" s="382"/>
      <c r="F424" s="382"/>
      <c r="G424" s="375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76" t="str">
        <f>AÑO!A42</f>
        <v>Dinero Bloqueado</v>
      </c>
      <c r="C442" s="377"/>
      <c r="D442" s="377"/>
      <c r="E442" s="377"/>
      <c r="F442" s="377"/>
      <c r="G442" s="378"/>
      <c r="H442" s="112"/>
    </row>
    <row r="443" spans="2:8" ht="15" customHeight="1" thickBot="1">
      <c r="B443" s="379"/>
      <c r="C443" s="380"/>
      <c r="D443" s="380"/>
      <c r="E443" s="380"/>
      <c r="F443" s="380"/>
      <c r="G443" s="381"/>
      <c r="H443" s="112"/>
    </row>
    <row r="444" spans="2:8" ht="15.75">
      <c r="B444" s="374" t="s">
        <v>8</v>
      </c>
      <c r="C444" s="375"/>
      <c r="D444" s="382" t="s">
        <v>9</v>
      </c>
      <c r="E444" s="382"/>
      <c r="F444" s="382"/>
      <c r="G444" s="375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76" t="str">
        <f>AÑO!A43</f>
        <v>Cartama Finanazas</v>
      </c>
      <c r="C462" s="377"/>
      <c r="D462" s="377"/>
      <c r="E462" s="377"/>
      <c r="F462" s="377"/>
      <c r="G462" s="378"/>
      <c r="H462" s="112"/>
    </row>
    <row r="463" spans="2:8" ht="15" customHeight="1" thickBot="1">
      <c r="B463" s="379"/>
      <c r="C463" s="380"/>
      <c r="D463" s="380"/>
      <c r="E463" s="380"/>
      <c r="F463" s="380"/>
      <c r="G463" s="381"/>
      <c r="H463" s="112"/>
    </row>
    <row r="464" spans="2:8" ht="15.75">
      <c r="B464" s="374" t="s">
        <v>8</v>
      </c>
      <c r="C464" s="375"/>
      <c r="D464" s="382" t="s">
        <v>9</v>
      </c>
      <c r="E464" s="382"/>
      <c r="F464" s="382"/>
      <c r="G464" s="375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76" t="str">
        <f>AÑO!A44</f>
        <v>NULO</v>
      </c>
      <c r="C482" s="377"/>
      <c r="D482" s="377"/>
      <c r="E482" s="377"/>
      <c r="F482" s="377"/>
      <c r="G482" s="378"/>
      <c r="H482" s="112"/>
    </row>
    <row r="483" spans="2:8" ht="15" customHeight="1" thickBot="1">
      <c r="B483" s="379"/>
      <c r="C483" s="380"/>
      <c r="D483" s="380"/>
      <c r="E483" s="380"/>
      <c r="F483" s="380"/>
      <c r="G483" s="381"/>
      <c r="H483" s="112"/>
    </row>
    <row r="484" spans="2:8" ht="15.75">
      <c r="B484" s="374" t="s">
        <v>8</v>
      </c>
      <c r="C484" s="375"/>
      <c r="D484" s="382" t="s">
        <v>9</v>
      </c>
      <c r="E484" s="382"/>
      <c r="F484" s="382"/>
      <c r="G484" s="375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76" t="str">
        <f>AÑO!A45</f>
        <v>OTROS</v>
      </c>
      <c r="C502" s="377"/>
      <c r="D502" s="377"/>
      <c r="E502" s="377"/>
      <c r="F502" s="377"/>
      <c r="G502" s="378"/>
      <c r="H502" s="112"/>
    </row>
    <row r="503" spans="2:8" ht="15" customHeight="1" thickBot="1">
      <c r="B503" s="379"/>
      <c r="C503" s="380"/>
      <c r="D503" s="380"/>
      <c r="E503" s="380"/>
      <c r="F503" s="380"/>
      <c r="G503" s="381"/>
      <c r="H503" s="112"/>
    </row>
    <row r="504" spans="2:8" ht="15.75">
      <c r="B504" s="374" t="s">
        <v>8</v>
      </c>
      <c r="C504" s="375"/>
      <c r="D504" s="382" t="s">
        <v>9</v>
      </c>
      <c r="E504" s="382"/>
      <c r="F504" s="382"/>
      <c r="G504" s="375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82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>
        <f>2397.48-4.45</f>
        <v>2393.0300000000002</v>
      </c>
      <c r="L5" s="40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88">
        <v>620.08000000000004</v>
      </c>
      <c r="L6" s="389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88">
        <f>7340.23-4.45</f>
        <v>7335.78</v>
      </c>
      <c r="L7" s="389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88">
        <v>7001.87</v>
      </c>
      <c r="L8" s="38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88">
        <v>669.52</v>
      </c>
      <c r="L9" s="389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88">
        <v>1802.02</v>
      </c>
      <c r="L10" s="389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88">
        <f>160+155</f>
        <v>315</v>
      </c>
      <c r="L11" s="389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90">
        <f>SUM(K5:K18)</f>
        <v>25229.379999999997</v>
      </c>
      <c r="L19" s="39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82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 t="s">
        <v>402</v>
      </c>
      <c r="K25" s="39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94"/>
      <c r="J26" s="398"/>
      <c r="K26" s="39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94"/>
      <c r="J27" s="398"/>
      <c r="K27" s="39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95"/>
      <c r="J29" s="400"/>
      <c r="K29" s="401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 t="s">
        <v>314</v>
      </c>
      <c r="K30" s="39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 t="s">
        <v>319</v>
      </c>
      <c r="K31" s="39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 t="s">
        <v>328</v>
      </c>
      <c r="K32" s="39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 t="s">
        <v>314</v>
      </c>
      <c r="K33" s="39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 t="s">
        <v>359</v>
      </c>
      <c r="K35" s="39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/>
      <c r="K40" s="39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19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19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199"/>
      <c r="M43" s="1"/>
      <c r="R43" s="3"/>
    </row>
    <row r="44" spans="1:18" ht="15.75">
      <c r="A44" s="1"/>
      <c r="B44" s="374" t="s">
        <v>8</v>
      </c>
      <c r="C44" s="375"/>
      <c r="D44" s="382" t="s">
        <v>9</v>
      </c>
      <c r="E44" s="382"/>
      <c r="F44" s="382"/>
      <c r="G44" s="375"/>
      <c r="H44" s="1"/>
      <c r="I44" s="395"/>
      <c r="J44" s="400"/>
      <c r="K44" s="40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 t="s">
        <v>160</v>
      </c>
      <c r="K45" s="39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394"/>
      <c r="J46" s="398"/>
      <c r="K46" s="39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394"/>
      <c r="J47" s="398"/>
      <c r="K47" s="39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394"/>
      <c r="J48" s="398"/>
      <c r="K48" s="39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395"/>
      <c r="J49" s="400"/>
      <c r="K49" s="401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393" t="str">
        <f>AÑO!A13</f>
        <v>Gubernamental</v>
      </c>
      <c r="J50" s="396" t="s">
        <v>259</v>
      </c>
      <c r="K50" s="39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394"/>
      <c r="J51" s="398"/>
      <c r="K51" s="39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394"/>
      <c r="J52" s="398"/>
      <c r="K52" s="39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394"/>
      <c r="J53" s="398"/>
      <c r="K53" s="39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395"/>
      <c r="J54" s="400"/>
      <c r="K54" s="401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393" t="str">
        <f>AÑO!A14</f>
        <v>Mutualite/DKV</v>
      </c>
      <c r="J55" s="396"/>
      <c r="K55" s="39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93" t="str">
        <f>AÑO!A15</f>
        <v>Alquiler Cartama</v>
      </c>
      <c r="J60" s="396" t="s">
        <v>315</v>
      </c>
      <c r="K60" s="39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19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19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199"/>
      <c r="M63" s="1"/>
      <c r="R63" s="3"/>
    </row>
    <row r="64" spans="1:18" ht="15.75">
      <c r="A64" s="1"/>
      <c r="B64" s="374" t="s">
        <v>8</v>
      </c>
      <c r="C64" s="375"/>
      <c r="D64" s="382" t="s">
        <v>9</v>
      </c>
      <c r="E64" s="382"/>
      <c r="F64" s="382"/>
      <c r="G64" s="375"/>
      <c r="H64" s="1"/>
      <c r="I64" s="395"/>
      <c r="J64" s="400"/>
      <c r="K64" s="401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394"/>
      <c r="J66" s="398"/>
      <c r="K66" s="39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394"/>
      <c r="J67" s="398"/>
      <c r="K67" s="39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394"/>
      <c r="J68" s="398"/>
      <c r="K68" s="39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9"/>
      <c r="J69" s="410"/>
      <c r="K69" s="4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82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82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82" t="s">
        <v>9</v>
      </c>
      <c r="E124" s="382"/>
      <c r="F124" s="382"/>
      <c r="G124" s="37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82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82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82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82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82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2:7" ht="15" customHeight="1" thickBot="1">
      <c r="B243" s="385"/>
      <c r="C243" s="386"/>
      <c r="D243" s="386"/>
      <c r="E243" s="386"/>
      <c r="F243" s="386"/>
      <c r="G243" s="387"/>
    </row>
    <row r="244" spans="2:7" ht="15" customHeight="1">
      <c r="B244" s="374" t="s">
        <v>8</v>
      </c>
      <c r="C244" s="375"/>
      <c r="D244" s="382" t="s">
        <v>9</v>
      </c>
      <c r="E244" s="382"/>
      <c r="F244" s="382"/>
      <c r="G244" s="37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2:7" ht="15" customHeight="1" thickBot="1">
      <c r="B263" s="385"/>
      <c r="C263" s="386"/>
      <c r="D263" s="386"/>
      <c r="E263" s="386"/>
      <c r="F263" s="386"/>
      <c r="G263" s="387"/>
    </row>
    <row r="264" spans="2:7">
      <c r="B264" s="374" t="s">
        <v>8</v>
      </c>
      <c r="C264" s="375"/>
      <c r="D264" s="382" t="s">
        <v>9</v>
      </c>
      <c r="E264" s="382"/>
      <c r="F264" s="382"/>
      <c r="G264" s="37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82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82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83"/>
      <c r="D322" s="383"/>
      <c r="E322" s="383"/>
      <c r="F322" s="383"/>
      <c r="G322" s="384"/>
    </row>
    <row r="323" spans="2:7" ht="15" customHeight="1" thickBot="1">
      <c r="B323" s="385"/>
      <c r="C323" s="386"/>
      <c r="D323" s="386"/>
      <c r="E323" s="386"/>
      <c r="F323" s="386"/>
      <c r="G323" s="387"/>
    </row>
    <row r="324" spans="2:7">
      <c r="B324" s="374" t="s">
        <v>8</v>
      </c>
      <c r="C324" s="375"/>
      <c r="D324" s="382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82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82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83"/>
      <c r="D382" s="383"/>
      <c r="E382" s="383"/>
      <c r="F382" s="383"/>
      <c r="G382" s="384"/>
    </row>
    <row r="383" spans="2:7" ht="15" customHeight="1" thickBot="1">
      <c r="B383" s="385"/>
      <c r="C383" s="386"/>
      <c r="D383" s="386"/>
      <c r="E383" s="386"/>
      <c r="F383" s="386"/>
      <c r="G383" s="387"/>
    </row>
    <row r="384" spans="2:7">
      <c r="B384" s="374" t="s">
        <v>8</v>
      </c>
      <c r="C384" s="375"/>
      <c r="D384" s="382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82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8" ht="15" customHeight="1" thickBot="1">
      <c r="B423" s="379"/>
      <c r="C423" s="380"/>
      <c r="D423" s="380"/>
      <c r="E423" s="380"/>
      <c r="F423" s="380"/>
      <c r="G423" s="381"/>
    </row>
    <row r="424" spans="1:8">
      <c r="B424" s="374" t="s">
        <v>8</v>
      </c>
      <c r="C424" s="375"/>
      <c r="D424" s="382" t="s">
        <v>9</v>
      </c>
      <c r="E424" s="382"/>
      <c r="F424" s="382"/>
      <c r="G424" s="375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82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82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>
        <v>1559.34</v>
      </c>
      <c r="L5" s="40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88">
        <v>620.08000000000004</v>
      </c>
      <c r="L6" s="389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88">
        <v>8577.0300000000007</v>
      </c>
      <c r="L7" s="389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88">
        <v>3501.87</v>
      </c>
      <c r="L8" s="389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88">
        <v>4167.34</v>
      </c>
      <c r="L9" s="389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88">
        <v>1802.02</v>
      </c>
      <c r="L10" s="389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88">
        <v>255</v>
      </c>
      <c r="L11" s="389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90">
        <f>SUM(K5:K18)</f>
        <v>25574.760000000002</v>
      </c>
      <c r="L19" s="39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82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 t="s">
        <v>402</v>
      </c>
      <c r="K25" s="39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94"/>
      <c r="J26" s="398"/>
      <c r="K26" s="39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94"/>
      <c r="J27" s="398"/>
      <c r="K27" s="39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95"/>
      <c r="J29" s="400"/>
      <c r="K29" s="401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 t="s">
        <v>363</v>
      </c>
      <c r="K30" s="39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 t="s">
        <v>238</v>
      </c>
      <c r="K31" s="39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 t="s">
        <v>328</v>
      </c>
      <c r="K32" s="39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/>
      <c r="K40" s="39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19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19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199"/>
      <c r="M43" s="1"/>
      <c r="R43" s="3"/>
    </row>
    <row r="44" spans="1:18" ht="15.75">
      <c r="A44" s="1"/>
      <c r="B44" s="374" t="s">
        <v>8</v>
      </c>
      <c r="C44" s="375"/>
      <c r="D44" s="382" t="s">
        <v>9</v>
      </c>
      <c r="E44" s="382"/>
      <c r="F44" s="382"/>
      <c r="G44" s="375"/>
      <c r="H44" s="1"/>
      <c r="I44" s="395"/>
      <c r="J44" s="400"/>
      <c r="K44" s="40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 t="s">
        <v>380</v>
      </c>
      <c r="K45" s="39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394"/>
      <c r="J46" s="398" t="s">
        <v>160</v>
      </c>
      <c r="K46" s="39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394"/>
      <c r="J47" s="398"/>
      <c r="K47" s="39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394"/>
      <c r="J48" s="398"/>
      <c r="K48" s="39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395"/>
      <c r="J49" s="400"/>
      <c r="K49" s="401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393" t="str">
        <f>AÑO!A13</f>
        <v>Gubernamental</v>
      </c>
      <c r="J50" s="396" t="s">
        <v>259</v>
      </c>
      <c r="K50" s="39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394"/>
      <c r="J51" s="398" t="s">
        <v>418</v>
      </c>
      <c r="K51" s="39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394"/>
      <c r="J52" s="398"/>
      <c r="K52" s="39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394"/>
      <c r="J53" s="398"/>
      <c r="K53" s="39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395"/>
      <c r="J54" s="400"/>
      <c r="K54" s="401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393" t="str">
        <f>AÑO!A14</f>
        <v>Mutualite/DKV</v>
      </c>
      <c r="J55" s="412" t="str">
        <f>G306</f>
        <v>12/03 Chirec</v>
      </c>
      <c r="K55" s="39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 t="s">
        <v>367</v>
      </c>
      <c r="K60" s="39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19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19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199"/>
      <c r="M63" s="1"/>
      <c r="R63" s="3"/>
    </row>
    <row r="64" spans="1:18" ht="15.75">
      <c r="A64" s="1"/>
      <c r="B64" s="374" t="s">
        <v>8</v>
      </c>
      <c r="C64" s="375"/>
      <c r="D64" s="382" t="s">
        <v>9</v>
      </c>
      <c r="E64" s="382"/>
      <c r="F64" s="382"/>
      <c r="G64" s="375"/>
      <c r="H64" s="1"/>
      <c r="I64" s="395"/>
      <c r="J64" s="400"/>
      <c r="K64" s="401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394"/>
      <c r="J66" s="398"/>
      <c r="K66" s="39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394"/>
      <c r="J67" s="398"/>
      <c r="K67" s="39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394"/>
      <c r="J68" s="398"/>
      <c r="K68" s="39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9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82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82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82" t="s">
        <v>9</v>
      </c>
      <c r="E124" s="382"/>
      <c r="F124" s="382"/>
      <c r="G124" s="37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82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82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82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82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82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1:8" ht="15" customHeight="1" thickBot="1">
      <c r="B243" s="385"/>
      <c r="C243" s="386"/>
      <c r="D243" s="386"/>
      <c r="E243" s="386"/>
      <c r="F243" s="386"/>
      <c r="G243" s="387"/>
    </row>
    <row r="244" spans="1:8" ht="15" customHeight="1">
      <c r="B244" s="374" t="s">
        <v>8</v>
      </c>
      <c r="C244" s="375"/>
      <c r="D244" s="382" t="s">
        <v>9</v>
      </c>
      <c r="E244" s="382"/>
      <c r="F244" s="382"/>
      <c r="G244" s="375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1:7" ht="15" customHeight="1" thickBot="1">
      <c r="B263" s="385"/>
      <c r="C263" s="386"/>
      <c r="D263" s="386"/>
      <c r="E263" s="386"/>
      <c r="F263" s="386"/>
      <c r="G263" s="387"/>
    </row>
    <row r="264" spans="1:7">
      <c r="B264" s="374" t="s">
        <v>8</v>
      </c>
      <c r="C264" s="375"/>
      <c r="D264" s="382" t="s">
        <v>9</v>
      </c>
      <c r="E264" s="382"/>
      <c r="F264" s="382"/>
      <c r="G264" s="375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82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82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83"/>
      <c r="D322" s="383"/>
      <c r="E322" s="383"/>
      <c r="F322" s="383"/>
      <c r="G322" s="384"/>
    </row>
    <row r="323" spans="2:7" ht="15" customHeight="1" thickBot="1">
      <c r="B323" s="385"/>
      <c r="C323" s="386"/>
      <c r="D323" s="386"/>
      <c r="E323" s="386"/>
      <c r="F323" s="386"/>
      <c r="G323" s="387"/>
    </row>
    <row r="324" spans="2:7">
      <c r="B324" s="374" t="s">
        <v>8</v>
      </c>
      <c r="C324" s="375"/>
      <c r="D324" s="382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82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82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83"/>
      <c r="D382" s="383"/>
      <c r="E382" s="383"/>
      <c r="F382" s="383"/>
      <c r="G382" s="384"/>
    </row>
    <row r="383" spans="2:7" ht="15" customHeight="1" thickBot="1">
      <c r="B383" s="385"/>
      <c r="C383" s="386"/>
      <c r="D383" s="386"/>
      <c r="E383" s="386"/>
      <c r="F383" s="386"/>
      <c r="G383" s="387"/>
    </row>
    <row r="384" spans="2:7">
      <c r="B384" s="374" t="s">
        <v>8</v>
      </c>
      <c r="C384" s="375"/>
      <c r="D384" s="382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82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7" ht="15" customHeight="1" thickBot="1">
      <c r="B423" s="379"/>
      <c r="C423" s="380"/>
      <c r="D423" s="380"/>
      <c r="E423" s="380"/>
      <c r="F423" s="380"/>
      <c r="G423" s="381"/>
    </row>
    <row r="424" spans="1:7">
      <c r="B424" s="374" t="s">
        <v>8</v>
      </c>
      <c r="C424" s="375"/>
      <c r="D424" s="382" t="s">
        <v>9</v>
      </c>
      <c r="E424" s="382"/>
      <c r="F424" s="382"/>
      <c r="G424" s="375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82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6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74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>
        <v>861.84</v>
      </c>
      <c r="L5" s="40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388">
        <v>620.08000000000004</v>
      </c>
      <c r="L6" s="389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88">
        <v>10075.709999999999</v>
      </c>
      <c r="L7" s="389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88">
        <v>3501.87</v>
      </c>
      <c r="L8" s="38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88">
        <v>35.96</v>
      </c>
      <c r="L9" s="389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88">
        <v>1802.02</v>
      </c>
      <c r="L10" s="389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88">
        <v>370</v>
      </c>
      <c r="L11" s="389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f>5092.08+4084.2</f>
        <v>9176.2799999999988</v>
      </c>
      <c r="L12" s="389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3">
        <f>SUM(K5:K18)</f>
        <v>26443.759999999998</v>
      </c>
      <c r="L19" s="414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74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 t="s">
        <v>402</v>
      </c>
      <c r="K25" s="39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94"/>
      <c r="J26" s="398"/>
      <c r="K26" s="39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94"/>
      <c r="J27" s="398"/>
      <c r="K27" s="39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95"/>
      <c r="J29" s="400"/>
      <c r="K29" s="401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 t="s">
        <v>363</v>
      </c>
      <c r="K30" s="39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 t="s">
        <v>431</v>
      </c>
      <c r="K31" s="39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 t="s">
        <v>328</v>
      </c>
      <c r="K32" s="39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 t="s">
        <v>425</v>
      </c>
      <c r="K40" s="39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 t="s">
        <v>445</v>
      </c>
      <c r="K41" s="399"/>
      <c r="L41" s="229">
        <v>352.82</v>
      </c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 t="s">
        <v>60</v>
      </c>
      <c r="K42" s="399"/>
      <c r="L42" s="229">
        <v>0.02</v>
      </c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229"/>
      <c r="M43" s="1"/>
      <c r="R43" s="3"/>
    </row>
    <row r="44" spans="1:18" ht="15.75">
      <c r="A44" s="1"/>
      <c r="B44" s="374" t="s">
        <v>8</v>
      </c>
      <c r="C44" s="375"/>
      <c r="D44" s="374" t="s">
        <v>9</v>
      </c>
      <c r="E44" s="382"/>
      <c r="F44" s="382"/>
      <c r="G44" s="375"/>
      <c r="H44" s="1"/>
      <c r="I44" s="395"/>
      <c r="J44" s="400"/>
      <c r="K44" s="40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/>
      <c r="K45" s="39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394"/>
      <c r="J46" s="398"/>
      <c r="K46" s="39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394"/>
      <c r="J47" s="398"/>
      <c r="K47" s="399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394"/>
      <c r="J48" s="398"/>
      <c r="K48" s="399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395"/>
      <c r="J49" s="400"/>
      <c r="K49" s="401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393" t="str">
        <f>AÑO!A13</f>
        <v>Gubernamental</v>
      </c>
      <c r="J50" s="396" t="s">
        <v>434</v>
      </c>
      <c r="K50" s="39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94"/>
      <c r="J51" s="398"/>
      <c r="K51" s="39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94"/>
      <c r="J52" s="398"/>
      <c r="K52" s="39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94"/>
      <c r="J53" s="398"/>
      <c r="K53" s="39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95"/>
      <c r="J54" s="400"/>
      <c r="K54" s="40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93" t="str">
        <f>AÑO!A14</f>
        <v>Mutualite/DKV</v>
      </c>
      <c r="J55" s="412" t="str">
        <f>'03'!G307</f>
        <v>22/03 Chirec</v>
      </c>
      <c r="K55" s="39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415" t="str">
        <f>'03'!G309</f>
        <v>26/03 Ginecologa</v>
      </c>
      <c r="K56" s="39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 t="s">
        <v>449</v>
      </c>
      <c r="K57" s="39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/>
      <c r="K60" s="39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22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22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229"/>
      <c r="M63" s="1"/>
      <c r="R63" s="3"/>
    </row>
    <row r="64" spans="1:18" ht="15.75">
      <c r="A64" s="1"/>
      <c r="B64" s="374" t="s">
        <v>8</v>
      </c>
      <c r="C64" s="375"/>
      <c r="D64" s="374" t="s">
        <v>9</v>
      </c>
      <c r="E64" s="382"/>
      <c r="F64" s="382"/>
      <c r="G64" s="375"/>
      <c r="H64" s="1"/>
      <c r="I64" s="395"/>
      <c r="J64" s="400"/>
      <c r="K64" s="40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394"/>
      <c r="J66" s="398"/>
      <c r="K66" s="399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394"/>
      <c r="J67" s="398"/>
      <c r="K67" s="39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94"/>
      <c r="J68" s="398"/>
      <c r="K68" s="39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74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74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74" t="s">
        <v>9</v>
      </c>
      <c r="E124" s="382"/>
      <c r="F124" s="382"/>
      <c r="G124" s="375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74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74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74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74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74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1:7" ht="15" customHeight="1" thickBot="1">
      <c r="B243" s="385"/>
      <c r="C243" s="386"/>
      <c r="D243" s="386"/>
      <c r="E243" s="386"/>
      <c r="F243" s="386"/>
      <c r="G243" s="387"/>
    </row>
    <row r="244" spans="1:7" ht="15" customHeight="1">
      <c r="B244" s="374" t="s">
        <v>8</v>
      </c>
      <c r="C244" s="375"/>
      <c r="D244" s="374" t="s">
        <v>9</v>
      </c>
      <c r="E244" s="382"/>
      <c r="F244" s="382"/>
      <c r="G244" s="375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1:7" ht="15" customHeight="1" thickBot="1">
      <c r="B263" s="385"/>
      <c r="C263" s="386"/>
      <c r="D263" s="386"/>
      <c r="E263" s="386"/>
      <c r="F263" s="386"/>
      <c r="G263" s="387"/>
    </row>
    <row r="264" spans="1:7">
      <c r="B264" s="374" t="s">
        <v>8</v>
      </c>
      <c r="C264" s="375"/>
      <c r="D264" s="374" t="s">
        <v>9</v>
      </c>
      <c r="E264" s="382"/>
      <c r="F264" s="382"/>
      <c r="G264" s="375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74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74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77"/>
      <c r="D322" s="377"/>
      <c r="E322" s="377"/>
      <c r="F322" s="377"/>
      <c r="G322" s="378"/>
    </row>
    <row r="323" spans="2:7" ht="15" customHeight="1" thickBot="1">
      <c r="B323" s="379"/>
      <c r="C323" s="380"/>
      <c r="D323" s="380"/>
      <c r="E323" s="380"/>
      <c r="F323" s="380"/>
      <c r="G323" s="381"/>
    </row>
    <row r="324" spans="2:7">
      <c r="B324" s="374" t="s">
        <v>8</v>
      </c>
      <c r="C324" s="375"/>
      <c r="D324" s="374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74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74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77"/>
      <c r="D382" s="377"/>
      <c r="E382" s="377"/>
      <c r="F382" s="377"/>
      <c r="G382" s="378"/>
    </row>
    <row r="383" spans="2:7" ht="15" customHeight="1" thickBot="1">
      <c r="B383" s="379"/>
      <c r="C383" s="380"/>
      <c r="D383" s="380"/>
      <c r="E383" s="380"/>
      <c r="F383" s="380"/>
      <c r="G383" s="381"/>
    </row>
    <row r="384" spans="2:7">
      <c r="B384" s="374" t="s">
        <v>8</v>
      </c>
      <c r="C384" s="375"/>
      <c r="D384" s="374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74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7" ht="15" customHeight="1" thickBot="1">
      <c r="B423" s="379"/>
      <c r="C423" s="380"/>
      <c r="D423" s="380"/>
      <c r="E423" s="380"/>
      <c r="F423" s="380"/>
      <c r="G423" s="381"/>
    </row>
    <row r="424" spans="1:7">
      <c r="B424" s="374" t="s">
        <v>8</v>
      </c>
      <c r="C424" s="375"/>
      <c r="D424" s="374" t="s">
        <v>9</v>
      </c>
      <c r="E424" s="382"/>
      <c r="F424" s="382"/>
      <c r="G424" s="375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74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90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74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>
        <v>1773.93</v>
      </c>
      <c r="L5" s="405"/>
      <c r="M5" s="1"/>
      <c r="N5" s="1"/>
      <c r="R5" s="3"/>
    </row>
    <row r="6" spans="1:22" ht="15.75">
      <c r="A6" s="112">
        <f>'04'!A6+(B6-SUM(D6:F6))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88">
        <v>620.1</v>
      </c>
      <c r="L6" s="389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88">
        <v>7144.52</v>
      </c>
      <c r="L7" s="389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88">
        <v>10005.620000000001</v>
      </c>
      <c r="L8" s="38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88">
        <v>514.82000000000005</v>
      </c>
      <c r="L9" s="389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88">
        <v>1802.02</v>
      </c>
      <c r="L10" s="389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88">
        <f>210</f>
        <v>210</v>
      </c>
      <c r="L11" s="389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3">
        <f>SUM(K5:K18)</f>
        <v>27163.090000000004</v>
      </c>
      <c r="L19" s="414"/>
      <c r="M19" s="1"/>
      <c r="N19" s="1"/>
      <c r="R19" s="3"/>
    </row>
    <row r="20" spans="1:18" ht="16.5" thickBot="1">
      <c r="A20" s="112">
        <f>SUM(A6:A15)</f>
        <v>637.76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74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 t="s">
        <v>402</v>
      </c>
      <c r="K25" s="397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94"/>
      <c r="J26" s="398"/>
      <c r="K26" s="399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94"/>
      <c r="J27" s="398"/>
      <c r="K27" s="39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394"/>
      <c r="J28" s="398"/>
      <c r="K28" s="39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95"/>
      <c r="J29" s="400"/>
      <c r="K29" s="401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 t="s">
        <v>431</v>
      </c>
      <c r="K30" s="39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 t="s">
        <v>363</v>
      </c>
      <c r="K31" s="39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 t="s">
        <v>328</v>
      </c>
      <c r="K32" s="39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 t="s">
        <v>474</v>
      </c>
      <c r="K40" s="39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22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22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229"/>
      <c r="M43" s="1"/>
      <c r="R43" s="3"/>
    </row>
    <row r="44" spans="1:18" ht="15.75">
      <c r="A44" s="1"/>
      <c r="B44" s="374" t="s">
        <v>8</v>
      </c>
      <c r="C44" s="375"/>
      <c r="D44" s="374" t="s">
        <v>9</v>
      </c>
      <c r="E44" s="382"/>
      <c r="F44" s="382"/>
      <c r="G44" s="375"/>
      <c r="H44" s="1"/>
      <c r="I44" s="395"/>
      <c r="J44" s="400"/>
      <c r="K44" s="40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/>
      <c r="K45" s="39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473</v>
      </c>
      <c r="H46" s="1"/>
      <c r="I46" s="394"/>
      <c r="J46" s="398"/>
      <c r="K46" s="39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476</v>
      </c>
      <c r="H47" s="1"/>
      <c r="I47" s="394"/>
      <c r="J47" s="398"/>
      <c r="K47" s="399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483</v>
      </c>
      <c r="H48" s="1"/>
      <c r="I48" s="394"/>
      <c r="J48" s="398"/>
      <c r="K48" s="39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484</v>
      </c>
      <c r="H49" s="1"/>
      <c r="I49" s="395"/>
      <c r="J49" s="400"/>
      <c r="K49" s="401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492</v>
      </c>
      <c r="H50" s="1"/>
      <c r="I50" s="393" t="str">
        <f>AÑO!A13</f>
        <v>Gubernamental</v>
      </c>
      <c r="J50" s="396" t="s">
        <v>485</v>
      </c>
      <c r="K50" s="39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493</v>
      </c>
      <c r="H51" s="1"/>
      <c r="I51" s="394"/>
      <c r="J51" s="398"/>
      <c r="K51" s="39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497</v>
      </c>
      <c r="H52" s="1"/>
      <c r="I52" s="394"/>
      <c r="J52" s="398"/>
      <c r="K52" s="399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500</v>
      </c>
      <c r="H53" s="1"/>
      <c r="I53" s="394"/>
      <c r="J53" s="398"/>
      <c r="K53" s="39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95"/>
      <c r="J54" s="400"/>
      <c r="K54" s="40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93" t="str">
        <f>AÑO!A14</f>
        <v>Mutualite/DKV</v>
      </c>
      <c r="J55" s="396" t="s">
        <v>479</v>
      </c>
      <c r="K55" s="39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270.63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/>
      <c r="K60" s="39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22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22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229"/>
      <c r="M63" s="1"/>
      <c r="R63" s="3"/>
    </row>
    <row r="64" spans="1:18" ht="15.75">
      <c r="A64" s="1"/>
      <c r="B64" s="374" t="s">
        <v>8</v>
      </c>
      <c r="C64" s="375"/>
      <c r="D64" s="374" t="s">
        <v>9</v>
      </c>
      <c r="E64" s="382"/>
      <c r="F64" s="382"/>
      <c r="G64" s="375"/>
      <c r="H64" s="1"/>
      <c r="I64" s="395"/>
      <c r="J64" s="400"/>
      <c r="K64" s="40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231"/>
      <c r="M65" s="1"/>
      <c r="R65" s="3"/>
    </row>
    <row r="66" spans="1:18" ht="15.75">
      <c r="A66" s="112">
        <f>'04'!A66+(B66-SUM(D66:F78))</f>
        <v>31.33000000000002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472</v>
      </c>
      <c r="H66" s="1"/>
      <c r="I66" s="394"/>
      <c r="J66" s="398"/>
      <c r="K66" s="39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481</v>
      </c>
      <c r="H67" s="1"/>
      <c r="I67" s="394"/>
      <c r="J67" s="398"/>
      <c r="K67" s="39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482</v>
      </c>
      <c r="H68" s="1"/>
      <c r="I68" s="394"/>
      <c r="J68" s="398"/>
      <c r="K68" s="39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490</v>
      </c>
      <c r="H69" s="1"/>
      <c r="I69" s="409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491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101.33000000000001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74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494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503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116.85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74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2450.0600000000004</v>
      </c>
      <c r="B109" s="134">
        <f>67.53+100</f>
        <v>167.53</v>
      </c>
      <c r="C109" s="18" t="s">
        <v>571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-505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74" t="s">
        <v>9</v>
      </c>
      <c r="E124" s="382"/>
      <c r="F124" s="382"/>
      <c r="G124" s="375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74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74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500</v>
      </c>
      <c r="C167" s="16" t="s">
        <v>570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700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74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74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74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1:7" ht="15" customHeight="1" thickBot="1">
      <c r="B243" s="385"/>
      <c r="C243" s="386"/>
      <c r="D243" s="386"/>
      <c r="E243" s="386"/>
      <c r="F243" s="386"/>
      <c r="G243" s="387"/>
    </row>
    <row r="244" spans="1:7" ht="15" customHeight="1">
      <c r="B244" s="374" t="s">
        <v>8</v>
      </c>
      <c r="C244" s="375"/>
      <c r="D244" s="374" t="s">
        <v>9</v>
      </c>
      <c r="E244" s="382"/>
      <c r="F244" s="382"/>
      <c r="G244" s="375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493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501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808.13</v>
      </c>
      <c r="B257" s="134">
        <f>40+499</f>
        <v>539</v>
      </c>
      <c r="C257" s="16" t="s">
        <v>432</v>
      </c>
      <c r="D257" s="137"/>
      <c r="E257" s="138"/>
      <c r="F257" s="138"/>
      <c r="G257" s="16"/>
    </row>
    <row r="258" spans="1:8" ht="15.75">
      <c r="A258" s="112">
        <f>'04'!A258+(B258-SUM(D258:F258))</f>
        <v>75</v>
      </c>
      <c r="B258" s="134">
        <v>50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8" ht="16.5" thickBot="1">
      <c r="A260" s="112">
        <f>SUM(A246:A255)</f>
        <v>76.150000000000006</v>
      </c>
      <c r="B260" s="135">
        <f>SUM(B246:B259)</f>
        <v>644</v>
      </c>
      <c r="C260" s="17" t="s">
        <v>53</v>
      </c>
      <c r="D260" s="135">
        <f>SUM(D246:D259)</f>
        <v>58.57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1:8" ht="15" customHeight="1" thickBot="1">
      <c r="B263" s="385"/>
      <c r="C263" s="386"/>
      <c r="D263" s="386"/>
      <c r="E263" s="386"/>
      <c r="F263" s="386"/>
      <c r="G263" s="387"/>
    </row>
    <row r="264" spans="1:8">
      <c r="B264" s="374" t="s">
        <v>8</v>
      </c>
      <c r="C264" s="375"/>
      <c r="D264" s="374" t="s">
        <v>9</v>
      </c>
      <c r="E264" s="382"/>
      <c r="F264" s="382"/>
      <c r="G264" s="375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480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74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488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137.85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74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479</v>
      </c>
    </row>
    <row r="308" spans="2:7">
      <c r="B308" s="134">
        <v>17.45</v>
      </c>
      <c r="C308" s="27" t="s">
        <v>489</v>
      </c>
      <c r="D308" s="137"/>
      <c r="E308" s="138"/>
      <c r="F308" s="138"/>
      <c r="G308" s="16"/>
    </row>
    <row r="309" spans="2:7">
      <c r="B309" s="134">
        <v>120</v>
      </c>
      <c r="C309" s="16" t="s">
        <v>570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267.45</v>
      </c>
      <c r="C320" s="17" t="s">
        <v>53</v>
      </c>
      <c r="D320" s="135">
        <f>SUM(D306:D319)</f>
        <v>4.4000000000000004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76" t="str">
        <f>AÑO!A36</f>
        <v>Nenas</v>
      </c>
      <c r="C322" s="377"/>
      <c r="D322" s="377"/>
      <c r="E322" s="377"/>
      <c r="F322" s="377"/>
      <c r="G322" s="378"/>
    </row>
    <row r="323" spans="2:7" ht="15" customHeight="1" thickBot="1">
      <c r="B323" s="379"/>
      <c r="C323" s="380"/>
      <c r="D323" s="380"/>
      <c r="E323" s="380"/>
      <c r="F323" s="380"/>
      <c r="G323" s="381"/>
    </row>
    <row r="324" spans="2:7">
      <c r="B324" s="374" t="s">
        <v>8</v>
      </c>
      <c r="C324" s="375"/>
      <c r="D324" s="374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74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74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</f>
        <v>26.099999999999998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9.0500000000000007</v>
      </c>
      <c r="F380" s="135">
        <f>SUM(F366:F379)</f>
        <v>26.099999999999998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76" t="str">
        <f>AÑO!A39</f>
        <v>Dreamed Holidays</v>
      </c>
      <c r="C382" s="377"/>
      <c r="D382" s="377"/>
      <c r="E382" s="377"/>
      <c r="F382" s="377"/>
      <c r="G382" s="378"/>
    </row>
    <row r="383" spans="2:7" ht="15" customHeight="1" thickBot="1">
      <c r="B383" s="379"/>
      <c r="C383" s="380"/>
      <c r="D383" s="380"/>
      <c r="E383" s="380"/>
      <c r="F383" s="380"/>
      <c r="G383" s="381"/>
    </row>
    <row r="384" spans="2:7">
      <c r="B384" s="374" t="s">
        <v>8</v>
      </c>
      <c r="C384" s="375"/>
      <c r="D384" s="374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74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475</v>
      </c>
    </row>
    <row r="407" spans="2:7">
      <c r="B407" s="134">
        <v>45.86</v>
      </c>
      <c r="C407" s="16" t="s">
        <v>474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502</v>
      </c>
    </row>
    <row r="409" spans="2:7">
      <c r="B409" s="134">
        <v>29.29</v>
      </c>
      <c r="C409" s="16" t="s">
        <v>570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-969.11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8" ht="15" customHeight="1" thickBot="1">
      <c r="B423" s="379"/>
      <c r="C423" s="380"/>
      <c r="D423" s="380"/>
      <c r="E423" s="380"/>
      <c r="F423" s="380"/>
      <c r="G423" s="381"/>
    </row>
    <row r="424" spans="1:8">
      <c r="B424" s="374" t="s">
        <v>8</v>
      </c>
      <c r="C424" s="375"/>
      <c r="D424" s="374" t="s">
        <v>9</v>
      </c>
      <c r="E424" s="382"/>
      <c r="F424" s="382"/>
      <c r="G424" s="375"/>
    </row>
    <row r="425" spans="1:8">
      <c r="A425" s="113">
        <f>AÑO!S17</f>
        <v>5838.4700000000012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394.4300000000012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</f>
        <v>1378.29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B431" s="134"/>
      <c r="C431" s="16"/>
      <c r="D431" s="137"/>
      <c r="E431" s="138"/>
      <c r="F431" s="138"/>
      <c r="G431" s="16"/>
      <c r="H431" s="113">
        <f>H430-A430</f>
        <v>500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394.4300000000012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74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50" workbookViewId="0">
      <selection activeCell="B259" sqref="B25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74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/>
      <c r="L5" s="405"/>
      <c r="M5" s="1"/>
      <c r="N5" s="1"/>
      <c r="R5" s="3"/>
    </row>
    <row r="6" spans="1:22" ht="15.75">
      <c r="A6" s="112">
        <f>'05'!A6+(B6-SUM(D6:F6))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88">
        <v>620.1</v>
      </c>
      <c r="L6" s="389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88"/>
      <c r="L7" s="389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88">
        <v>10005.620000000001</v>
      </c>
      <c r="L8" s="389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88">
        <v>514.82000000000005</v>
      </c>
      <c r="L9" s="389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88">
        <v>1802.02</v>
      </c>
      <c r="L10" s="389"/>
      <c r="M10" s="1" t="s">
        <v>156</v>
      </c>
      <c r="N10" s="1"/>
      <c r="R10" s="3"/>
    </row>
    <row r="11" spans="1:22" ht="15.75">
      <c r="A11" s="112">
        <f>'05'!A11+(B11-SUM(D11:F11))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88"/>
      <c r="L11" s="389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3">
        <f>SUM(K5:K18)</f>
        <v>18034.64</v>
      </c>
      <c r="L19" s="414"/>
      <c r="M19" s="1"/>
      <c r="N19" s="1"/>
      <c r="R19" s="3"/>
    </row>
    <row r="20" spans="1:18" ht="16.5" thickBot="1">
      <c r="A20" s="112">
        <f>SUM(A6:A15)</f>
        <v>1181.76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74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/>
      <c r="K25" s="397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94"/>
      <c r="J26" s="398"/>
      <c r="K26" s="399"/>
      <c r="L26" s="229"/>
      <c r="M26" s="1"/>
      <c r="R26" s="3"/>
    </row>
    <row r="27" spans="1:18" ht="15.75">
      <c r="A27" s="112">
        <f>'05'!A27+(B27-SUM(D27:F27))</f>
        <v>216.01999999999998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94"/>
      <c r="J27" s="398"/>
      <c r="K27" s="39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95"/>
      <c r="J29" s="400"/>
      <c r="K29" s="401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/>
      <c r="K30" s="39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/>
      <c r="K31" s="39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/>
      <c r="K32" s="39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30"/>
      <c r="M39" s="1"/>
      <c r="R39" s="3"/>
    </row>
    <row r="40" spans="1:18" ht="16.5" thickBot="1">
      <c r="A40" s="112">
        <f>SUM(A26:A35)</f>
        <v>1440.03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/>
      <c r="K40" s="39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22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22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229"/>
      <c r="M43" s="1"/>
      <c r="R43" s="3"/>
    </row>
    <row r="44" spans="1:18" ht="15.75">
      <c r="A44" s="1"/>
      <c r="B44" s="374" t="s">
        <v>8</v>
      </c>
      <c r="C44" s="375"/>
      <c r="D44" s="374" t="s">
        <v>9</v>
      </c>
      <c r="E44" s="382"/>
      <c r="F44" s="382"/>
      <c r="G44" s="375"/>
      <c r="H44" s="1"/>
      <c r="I44" s="395"/>
      <c r="J44" s="400"/>
      <c r="K44" s="40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/>
      <c r="K45" s="397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394"/>
      <c r="J46" s="398"/>
      <c r="K46" s="39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94"/>
      <c r="J47" s="398"/>
      <c r="K47" s="399"/>
      <c r="L47" s="229"/>
      <c r="M47" s="1"/>
      <c r="R47" s="3"/>
    </row>
    <row r="48" spans="1:18" ht="15.75">
      <c r="A48" s="1"/>
      <c r="B48" s="134"/>
      <c r="C48" s="16" t="s">
        <v>487</v>
      </c>
      <c r="D48" s="137"/>
      <c r="E48" s="138"/>
      <c r="F48" s="138"/>
      <c r="G48" s="16"/>
      <c r="H48" s="1"/>
      <c r="I48" s="394"/>
      <c r="J48" s="398"/>
      <c r="K48" s="39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95"/>
      <c r="J49" s="400"/>
      <c r="K49" s="401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93" t="str">
        <f>AÑO!A13</f>
        <v>Gubernamental</v>
      </c>
      <c r="J50" s="396"/>
      <c r="K50" s="39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94"/>
      <c r="J51" s="398"/>
      <c r="K51" s="39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94"/>
      <c r="J52" s="398"/>
      <c r="K52" s="39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94"/>
      <c r="J53" s="398"/>
      <c r="K53" s="39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95"/>
      <c r="J54" s="400"/>
      <c r="K54" s="40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93" t="str">
        <f>AÑO!A14</f>
        <v>Mutualite/DKV</v>
      </c>
      <c r="J55" s="396"/>
      <c r="K55" s="39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/>
      <c r="K60" s="39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22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22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229"/>
      <c r="M63" s="1"/>
      <c r="R63" s="3"/>
    </row>
    <row r="64" spans="1:18" ht="15.75">
      <c r="A64" s="1"/>
      <c r="B64" s="374" t="s">
        <v>8</v>
      </c>
      <c r="C64" s="375"/>
      <c r="D64" s="374" t="s">
        <v>9</v>
      </c>
      <c r="E64" s="382"/>
      <c r="F64" s="382"/>
      <c r="G64" s="375"/>
      <c r="H64" s="1"/>
      <c r="I64" s="395"/>
      <c r="J64" s="400"/>
      <c r="K64" s="40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231"/>
      <c r="M65" s="1"/>
      <c r="R65" s="3"/>
    </row>
    <row r="66" spans="1:18" ht="15.75">
      <c r="A66" s="112">
        <f>'05'!A66+(B66-SUM(D66:F78))</f>
        <v>191.33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94"/>
      <c r="J66" s="398"/>
      <c r="K66" s="39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94"/>
      <c r="J67" s="398"/>
      <c r="K67" s="39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94"/>
      <c r="J68" s="398"/>
      <c r="K68" s="39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271.33000000000004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74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74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2517.5900000000006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74" t="s">
        <v>9</v>
      </c>
      <c r="E124" s="382"/>
      <c r="F124" s="382"/>
      <c r="G124" s="375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62.5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74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74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74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74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74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1:7" ht="15" customHeight="1" thickBot="1">
      <c r="B243" s="385"/>
      <c r="C243" s="386"/>
      <c r="D243" s="386"/>
      <c r="E243" s="386"/>
      <c r="F243" s="386"/>
      <c r="G243" s="387"/>
    </row>
    <row r="244" spans="1:7" ht="15" customHeight="1">
      <c r="B244" s="374" t="s">
        <v>8</v>
      </c>
      <c r="C244" s="375"/>
      <c r="D244" s="374" t="s">
        <v>9</v>
      </c>
      <c r="E244" s="382"/>
      <c r="F244" s="382"/>
      <c r="G244" s="375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121.15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'05'!A257+(B257-SUM(D257:F266))</f>
        <v>828.13</v>
      </c>
      <c r="B257" s="134">
        <v>20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'05'!A258+(B258-SUM(D258:F267))</f>
        <v>100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SUM(A246:A255)</f>
        <v>121.15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1:7" ht="15" customHeight="1" thickBot="1">
      <c r="B263" s="385"/>
      <c r="C263" s="386"/>
      <c r="D263" s="386"/>
      <c r="E263" s="386"/>
      <c r="F263" s="386"/>
      <c r="G263" s="387"/>
    </row>
    <row r="264" spans="1:7">
      <c r="B264" s="374" t="s">
        <v>8</v>
      </c>
      <c r="C264" s="375"/>
      <c r="D264" s="374" t="s">
        <v>9</v>
      </c>
      <c r="E264" s="382"/>
      <c r="F264" s="382"/>
      <c r="G264" s="375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74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74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77"/>
      <c r="D322" s="377"/>
      <c r="E322" s="377"/>
      <c r="F322" s="377"/>
      <c r="G322" s="378"/>
    </row>
    <row r="323" spans="2:7" ht="15" customHeight="1" thickBot="1">
      <c r="B323" s="379"/>
      <c r="C323" s="380"/>
      <c r="D323" s="380"/>
      <c r="E323" s="380"/>
      <c r="F323" s="380"/>
      <c r="G323" s="381"/>
    </row>
    <row r="324" spans="2:7">
      <c r="B324" s="374" t="s">
        <v>8</v>
      </c>
      <c r="C324" s="375"/>
      <c r="D324" s="374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74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74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77"/>
      <c r="D382" s="377"/>
      <c r="E382" s="377"/>
      <c r="F382" s="377"/>
      <c r="G382" s="378"/>
    </row>
    <row r="383" spans="2:7" ht="15" customHeight="1" thickBot="1">
      <c r="B383" s="379"/>
      <c r="C383" s="380"/>
      <c r="D383" s="380"/>
      <c r="E383" s="380"/>
      <c r="F383" s="380"/>
      <c r="G383" s="381"/>
    </row>
    <row r="384" spans="2:7">
      <c r="B384" s="374" t="s">
        <v>8</v>
      </c>
      <c r="C384" s="375"/>
      <c r="D384" s="374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74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7" ht="15" customHeight="1" thickBot="1">
      <c r="B423" s="379"/>
      <c r="C423" s="380"/>
      <c r="D423" s="380"/>
      <c r="E423" s="380"/>
      <c r="F423" s="380"/>
      <c r="G423" s="381"/>
    </row>
    <row r="424" spans="1:7">
      <c r="B424" s="374" t="s">
        <v>8</v>
      </c>
      <c r="C424" s="375"/>
      <c r="D424" s="374" t="s">
        <v>9</v>
      </c>
      <c r="E424" s="382"/>
      <c r="F424" s="382"/>
      <c r="G424" s="375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</f>
        <v>208.4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633.63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74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0" workbookViewId="0">
      <selection activeCell="F15" sqref="F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82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/>
      <c r="L5" s="405"/>
      <c r="M5" s="1"/>
      <c r="N5" s="1"/>
      <c r="R5" s="3"/>
    </row>
    <row r="6" spans="1:22" ht="15.75">
      <c r="A6" s="112">
        <f>'06'!A6+(B6-SUM(D6:F6))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88">
        <v>550</v>
      </c>
      <c r="L6" s="389"/>
      <c r="M6" s="1" t="s">
        <v>165</v>
      </c>
      <c r="N6" s="1"/>
      <c r="R6" s="3"/>
    </row>
    <row r="7" spans="1:22" ht="15.75">
      <c r="A7" s="112">
        <f>'06'!A7+(B7-SUM(D7:F7))</f>
        <v>173.02999999999997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88"/>
      <c r="L7" s="389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88">
        <v>7000</v>
      </c>
      <c r="L8" s="38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88">
        <v>659.77</v>
      </c>
      <c r="L9" s="389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88">
        <v>1800.04</v>
      </c>
      <c r="L10" s="389"/>
      <c r="M10" s="1" t="s">
        <v>156</v>
      </c>
      <c r="N10" s="1"/>
      <c r="R10" s="3"/>
    </row>
    <row r="11" spans="1:22" ht="15.75">
      <c r="A11" s="112">
        <f>'06'!A11+(B11-SUM(D11:F11))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88"/>
      <c r="L11" s="389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90">
        <f>SUM(K5:K18)</f>
        <v>15101.890000000001</v>
      </c>
      <c r="L19" s="391"/>
      <c r="M19" s="1"/>
      <c r="N19" s="1"/>
      <c r="R19" s="3"/>
    </row>
    <row r="20" spans="1:18" ht="16.5" thickBot="1">
      <c r="A20" s="112">
        <f>SUM(A6:A15)</f>
        <v>1725.76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82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/>
      <c r="K25" s="397"/>
      <c r="L25" s="198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94"/>
      <c r="J26" s="398"/>
      <c r="K26" s="399"/>
      <c r="L26" s="199"/>
      <c r="M26" s="1"/>
      <c r="R26" s="3"/>
    </row>
    <row r="27" spans="1:18" ht="15.75">
      <c r="A27" s="112">
        <f>'06'!A27+(B27-SUM(D27:F27))</f>
        <v>386.02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94"/>
      <c r="J27" s="398"/>
      <c r="K27" s="399"/>
      <c r="L27" s="19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19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95"/>
      <c r="J29" s="400"/>
      <c r="K29" s="401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/>
      <c r="K30" s="39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/>
      <c r="K31" s="39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/>
      <c r="K32" s="39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01"/>
      <c r="M39" s="1"/>
      <c r="R39" s="3"/>
    </row>
    <row r="40" spans="1:18" ht="16.5" thickBot="1">
      <c r="A40" s="112">
        <f>SUM(A26:A35)</f>
        <v>2568.0299999999997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/>
      <c r="K40" s="39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19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19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199"/>
      <c r="M43" s="1"/>
      <c r="R43" s="3"/>
    </row>
    <row r="44" spans="1:18" ht="15.75">
      <c r="A44" s="1"/>
      <c r="B44" s="374" t="s">
        <v>8</v>
      </c>
      <c r="C44" s="375"/>
      <c r="D44" s="382" t="s">
        <v>9</v>
      </c>
      <c r="E44" s="382"/>
      <c r="F44" s="382"/>
      <c r="G44" s="375"/>
      <c r="H44" s="1"/>
      <c r="I44" s="395"/>
      <c r="J44" s="400"/>
      <c r="K44" s="40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/>
      <c r="K45" s="39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94"/>
      <c r="J46" s="398"/>
      <c r="K46" s="39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94"/>
      <c r="J47" s="398"/>
      <c r="K47" s="39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94"/>
      <c r="J48" s="398"/>
      <c r="K48" s="39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95"/>
      <c r="J49" s="400"/>
      <c r="K49" s="40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93" t="str">
        <f>AÑO!A13</f>
        <v>Gubernamental</v>
      </c>
      <c r="J50" s="396"/>
      <c r="K50" s="39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94"/>
      <c r="J51" s="398"/>
      <c r="K51" s="39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94"/>
      <c r="J52" s="398"/>
      <c r="K52" s="39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94"/>
      <c r="J53" s="398"/>
      <c r="K53" s="39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95"/>
      <c r="J54" s="400"/>
      <c r="K54" s="40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93" t="str">
        <f>AÑO!A14</f>
        <v>Mutualite/DKV</v>
      </c>
      <c r="J55" s="396"/>
      <c r="K55" s="39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/>
      <c r="K60" s="39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19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19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199"/>
      <c r="M63" s="1"/>
      <c r="R63" s="3"/>
    </row>
    <row r="64" spans="1:18" ht="15.75">
      <c r="A64" s="1"/>
      <c r="B64" s="374" t="s">
        <v>8</v>
      </c>
      <c r="C64" s="375"/>
      <c r="D64" s="382" t="s">
        <v>9</v>
      </c>
      <c r="E64" s="382"/>
      <c r="F64" s="382"/>
      <c r="G64" s="375"/>
      <c r="H64" s="1"/>
      <c r="I64" s="395"/>
      <c r="J64" s="400"/>
      <c r="K64" s="40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94"/>
      <c r="J66" s="398"/>
      <c r="K66" s="39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94"/>
      <c r="J67" s="398"/>
      <c r="K67" s="39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94"/>
      <c r="J68" s="398"/>
      <c r="K68" s="39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82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82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141.84000000000003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2543.1200000000008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1141.8800000000001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82" t="s">
        <v>9</v>
      </c>
      <c r="E124" s="382"/>
      <c r="F124" s="382"/>
      <c r="G124" s="37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82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82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82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82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82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2:7" ht="15" customHeight="1" thickBot="1">
      <c r="B243" s="385"/>
      <c r="C243" s="386"/>
      <c r="D243" s="386"/>
      <c r="E243" s="386"/>
      <c r="F243" s="386"/>
      <c r="G243" s="387"/>
    </row>
    <row r="244" spans="2:7" ht="15" customHeight="1">
      <c r="B244" s="374" t="s">
        <v>8</v>
      </c>
      <c r="C244" s="375"/>
      <c r="D244" s="382" t="s">
        <v>9</v>
      </c>
      <c r="E244" s="382"/>
      <c r="F244" s="382"/>
      <c r="G244" s="37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2:7" ht="15" customHeight="1" thickBot="1">
      <c r="B263" s="385"/>
      <c r="C263" s="386"/>
      <c r="D263" s="386"/>
      <c r="E263" s="386"/>
      <c r="F263" s="386"/>
      <c r="G263" s="387"/>
    </row>
    <row r="264" spans="2:7">
      <c r="B264" s="374" t="s">
        <v>8</v>
      </c>
      <c r="C264" s="375"/>
      <c r="D264" s="382" t="s">
        <v>9</v>
      </c>
      <c r="E264" s="382"/>
      <c r="F264" s="382"/>
      <c r="G264" s="37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82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82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83"/>
      <c r="D322" s="383"/>
      <c r="E322" s="383"/>
      <c r="F322" s="383"/>
      <c r="G322" s="384"/>
    </row>
    <row r="323" spans="2:7" ht="15" customHeight="1" thickBot="1">
      <c r="B323" s="385"/>
      <c r="C323" s="386"/>
      <c r="D323" s="386"/>
      <c r="E323" s="386"/>
      <c r="F323" s="386"/>
      <c r="G323" s="387"/>
    </row>
    <row r="324" spans="2:7">
      <c r="B324" s="374" t="s">
        <v>8</v>
      </c>
      <c r="C324" s="375"/>
      <c r="D324" s="382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82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82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83"/>
      <c r="D382" s="383"/>
      <c r="E382" s="383"/>
      <c r="F382" s="383"/>
      <c r="G382" s="384"/>
    </row>
    <row r="383" spans="2:7" ht="15" customHeight="1" thickBot="1">
      <c r="B383" s="385"/>
      <c r="C383" s="386"/>
      <c r="D383" s="386"/>
      <c r="E383" s="386"/>
      <c r="F383" s="386"/>
      <c r="G383" s="387"/>
    </row>
    <row r="384" spans="2:7">
      <c r="B384" s="374" t="s">
        <v>8</v>
      </c>
      <c r="C384" s="375"/>
      <c r="D384" s="382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82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7" ht="15" customHeight="1" thickBot="1">
      <c r="B423" s="379"/>
      <c r="C423" s="380"/>
      <c r="D423" s="380"/>
      <c r="E423" s="380"/>
      <c r="F423" s="380"/>
      <c r="G423" s="381"/>
    </row>
    <row r="424" spans="1:7">
      <c r="B424" s="374" t="s">
        <v>8</v>
      </c>
      <c r="C424" s="375"/>
      <c r="D424" s="382" t="s">
        <v>9</v>
      </c>
      <c r="E424" s="382"/>
      <c r="F424" s="382"/>
      <c r="G424" s="375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'06'!A467+(B467-SUM(D467:F467))</f>
        <v>445.22999999999996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'06'!A468+(B468-SUM(D468:F468))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82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76" t="str">
        <f>AÑO!A20</f>
        <v>Cártama Gastos</v>
      </c>
      <c r="C2" s="383"/>
      <c r="D2" s="383"/>
      <c r="E2" s="383"/>
      <c r="F2" s="383"/>
      <c r="G2" s="384"/>
      <c r="H2" s="222"/>
      <c r="I2" s="392" t="s">
        <v>4</v>
      </c>
      <c r="J2" s="383"/>
      <c r="K2" s="383"/>
      <c r="L2" s="384"/>
      <c r="M2" s="1"/>
      <c r="N2" s="1"/>
      <c r="R2" s="3"/>
    </row>
    <row r="3" spans="1:22" ht="16.5" thickBot="1">
      <c r="A3" s="1"/>
      <c r="B3" s="385"/>
      <c r="C3" s="386"/>
      <c r="D3" s="386"/>
      <c r="E3" s="386"/>
      <c r="F3" s="386"/>
      <c r="G3" s="387"/>
      <c r="H3" s="1"/>
      <c r="I3" s="385"/>
      <c r="J3" s="386"/>
      <c r="K3" s="386"/>
      <c r="L3" s="387"/>
      <c r="M3" s="1"/>
      <c r="N3" s="1"/>
      <c r="R3" s="3"/>
    </row>
    <row r="4" spans="1:22" ht="15.75">
      <c r="A4" s="1"/>
      <c r="B4" s="374" t="s">
        <v>8</v>
      </c>
      <c r="C4" s="375"/>
      <c r="D4" s="382" t="s">
        <v>9</v>
      </c>
      <c r="E4" s="382"/>
      <c r="F4" s="382"/>
      <c r="G4" s="375"/>
      <c r="H4" s="222"/>
      <c r="I4" s="40" t="s">
        <v>57</v>
      </c>
      <c r="J4" s="105" t="s">
        <v>58</v>
      </c>
      <c r="K4" s="402" t="s">
        <v>59</v>
      </c>
      <c r="L4" s="40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04"/>
      <c r="L5" s="405"/>
      <c r="M5" s="1"/>
      <c r="N5" s="1"/>
      <c r="R5" s="3"/>
    </row>
    <row r="6" spans="1:22" ht="15.75">
      <c r="A6" s="112">
        <f>'07'!A6+(B6-SUM(D6:F6))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88">
        <v>550</v>
      </c>
      <c r="L6" s="389"/>
      <c r="M6" s="1" t="s">
        <v>165</v>
      </c>
      <c r="N6" s="1"/>
      <c r="R6" s="3"/>
    </row>
    <row r="7" spans="1:22" ht="15.75">
      <c r="A7" s="112">
        <f>'07'!A7+(B7-SUM(D7:F7))</f>
        <v>243.20999999999998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88"/>
      <c r="L7" s="389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88">
        <v>7000</v>
      </c>
      <c r="L8" s="38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88">
        <v>659.77</v>
      </c>
      <c r="L9" s="389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88">
        <v>1800.04</v>
      </c>
      <c r="L10" s="389"/>
      <c r="M10" s="1" t="s">
        <v>156</v>
      </c>
      <c r="N10" s="1"/>
      <c r="R10" s="3"/>
    </row>
    <row r="11" spans="1:22" ht="15.75">
      <c r="A11" s="112">
        <f>'07'!A11+(B11-SUM(D11:F11))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88"/>
      <c r="L11" s="389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88">
        <v>5092.08</v>
      </c>
      <c r="L12" s="389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388"/>
      <c r="L13" s="38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88"/>
      <c r="L14" s="38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88"/>
      <c r="L15" s="38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88"/>
      <c r="L16" s="38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88"/>
      <c r="L17" s="38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90"/>
      <c r="L18" s="39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90">
        <f>SUM(K5:K18)</f>
        <v>15101.890000000001</v>
      </c>
      <c r="L19" s="391"/>
      <c r="M19" s="1"/>
      <c r="N19" s="1"/>
      <c r="R19" s="3"/>
    </row>
    <row r="20" spans="1:18" ht="16.5" thickBot="1">
      <c r="A20" s="112">
        <f>SUM(A6:A15)</f>
        <v>2269.7600000000002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76" t="str">
        <f>AÑO!A21</f>
        <v>Waterloo</v>
      </c>
      <c r="C22" s="383"/>
      <c r="D22" s="383"/>
      <c r="E22" s="383"/>
      <c r="F22" s="383"/>
      <c r="G22" s="384"/>
      <c r="H22" s="1"/>
      <c r="I22" s="392" t="s">
        <v>6</v>
      </c>
      <c r="J22" s="383"/>
      <c r="K22" s="383"/>
      <c r="L22" s="384"/>
      <c r="M22" s="1"/>
      <c r="R22" s="3"/>
    </row>
    <row r="23" spans="1:18" ht="16.149999999999999" customHeight="1" thickBot="1">
      <c r="A23" s="1"/>
      <c r="B23" s="385"/>
      <c r="C23" s="386"/>
      <c r="D23" s="386"/>
      <c r="E23" s="386"/>
      <c r="F23" s="386"/>
      <c r="G23" s="387"/>
      <c r="H23" s="1"/>
      <c r="I23" s="385"/>
      <c r="J23" s="386"/>
      <c r="K23" s="386"/>
      <c r="L23" s="387"/>
      <c r="M23" s="1"/>
      <c r="R23" s="3"/>
    </row>
    <row r="24" spans="1:18" ht="15.75">
      <c r="A24" s="1"/>
      <c r="B24" s="374" t="s">
        <v>8</v>
      </c>
      <c r="C24" s="375"/>
      <c r="D24" s="382" t="s">
        <v>9</v>
      </c>
      <c r="E24" s="382"/>
      <c r="F24" s="382"/>
      <c r="G24" s="375"/>
      <c r="H24" s="1"/>
      <c r="I24" s="40" t="s">
        <v>31</v>
      </c>
      <c r="J24" s="407" t="s">
        <v>87</v>
      </c>
      <c r="K24" s="408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93" t="str">
        <f>AÑO!A8</f>
        <v>Manolo Salario</v>
      </c>
      <c r="J25" s="396"/>
      <c r="K25" s="397"/>
      <c r="L25" s="198"/>
      <c r="M25" s="1"/>
      <c r="R25" s="3"/>
    </row>
    <row r="26" spans="1:18" ht="15.75">
      <c r="A26" s="112">
        <f>'07'!A26+(B26-SUM(D26:F26))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94"/>
      <c r="J26" s="398"/>
      <c r="K26" s="399"/>
      <c r="L26" s="199"/>
      <c r="M26" s="1"/>
      <c r="R26" s="3"/>
    </row>
    <row r="27" spans="1:18" ht="15.75">
      <c r="A27" s="112">
        <f>'07'!A27+(B27-SUM(D27:F27))</f>
        <v>556.02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94"/>
      <c r="J27" s="398"/>
      <c r="K27" s="399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94"/>
      <c r="J28" s="398"/>
      <c r="K28" s="399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95"/>
      <c r="J29" s="400"/>
      <c r="K29" s="401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93" t="str">
        <f>AÑO!A9</f>
        <v>Rocío Salario</v>
      </c>
      <c r="J30" s="396"/>
      <c r="K30" s="39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94"/>
      <c r="J31" s="398"/>
      <c r="K31" s="39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94"/>
      <c r="J32" s="398"/>
      <c r="K32" s="39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94"/>
      <c r="J33" s="398"/>
      <c r="K33" s="39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95"/>
      <c r="J34" s="400"/>
      <c r="K34" s="40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93" t="s">
        <v>218</v>
      </c>
      <c r="J35" s="396"/>
      <c r="K35" s="39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94"/>
      <c r="J36" s="398"/>
      <c r="K36" s="39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94"/>
      <c r="J37" s="398"/>
      <c r="K37" s="39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94"/>
      <c r="J38" s="398"/>
      <c r="K38" s="39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95"/>
      <c r="J39" s="400"/>
      <c r="K39" s="401"/>
      <c r="L39" s="201"/>
      <c r="M39" s="1"/>
      <c r="R39" s="3"/>
    </row>
    <row r="40" spans="1:18" ht="16.5" thickBot="1">
      <c r="A40" s="112">
        <f>SUM(A26:A35)</f>
        <v>3696.0299999999997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93" t="str">
        <f>AÑO!A11</f>
        <v>Finanazas</v>
      </c>
      <c r="J40" s="396"/>
      <c r="K40" s="39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94"/>
      <c r="J41" s="398"/>
      <c r="K41" s="399"/>
      <c r="L41" s="199"/>
      <c r="M41" s="1"/>
      <c r="R41" s="3"/>
    </row>
    <row r="42" spans="1:18" ht="15.6" customHeight="1">
      <c r="A42" s="1"/>
      <c r="B42" s="376" t="str">
        <f>AÑO!A22</f>
        <v>Comida+Limpieza</v>
      </c>
      <c r="C42" s="383"/>
      <c r="D42" s="383"/>
      <c r="E42" s="383"/>
      <c r="F42" s="383"/>
      <c r="G42" s="384"/>
      <c r="H42" s="1"/>
      <c r="I42" s="394"/>
      <c r="J42" s="398"/>
      <c r="K42" s="399"/>
      <c r="L42" s="199"/>
      <c r="M42" s="1"/>
      <c r="R42" s="3"/>
    </row>
    <row r="43" spans="1:18" ht="16.149999999999999" customHeight="1" thickBot="1">
      <c r="A43" s="1"/>
      <c r="B43" s="385"/>
      <c r="C43" s="386"/>
      <c r="D43" s="386"/>
      <c r="E43" s="386"/>
      <c r="F43" s="386"/>
      <c r="G43" s="387"/>
      <c r="H43" s="1"/>
      <c r="I43" s="394"/>
      <c r="J43" s="398"/>
      <c r="K43" s="399"/>
      <c r="L43" s="199"/>
      <c r="M43" s="1"/>
      <c r="R43" s="3"/>
    </row>
    <row r="44" spans="1:18" ht="15.75">
      <c r="A44" s="1"/>
      <c r="B44" s="374" t="s">
        <v>8</v>
      </c>
      <c r="C44" s="375"/>
      <c r="D44" s="382" t="s">
        <v>9</v>
      </c>
      <c r="E44" s="382"/>
      <c r="F44" s="382"/>
      <c r="G44" s="375"/>
      <c r="H44" s="1"/>
      <c r="I44" s="395"/>
      <c r="J44" s="400"/>
      <c r="K44" s="40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393" t="str">
        <f>AÑO!A12</f>
        <v>Regalos</v>
      </c>
      <c r="J45" s="396"/>
      <c r="K45" s="39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94"/>
      <c r="J46" s="398"/>
      <c r="K46" s="39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94"/>
      <c r="J47" s="398"/>
      <c r="K47" s="39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94"/>
      <c r="J48" s="398"/>
      <c r="K48" s="39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95"/>
      <c r="J49" s="400"/>
      <c r="K49" s="40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93" t="str">
        <f>AÑO!A13</f>
        <v>Gubernamental</v>
      </c>
      <c r="J50" s="396"/>
      <c r="K50" s="39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94"/>
      <c r="J51" s="398"/>
      <c r="K51" s="39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94"/>
      <c r="J52" s="398"/>
      <c r="K52" s="39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94"/>
      <c r="J53" s="398"/>
      <c r="K53" s="39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95"/>
      <c r="J54" s="400"/>
      <c r="K54" s="40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93" t="str">
        <f>AÑO!A14</f>
        <v>Mutualite/DKV</v>
      </c>
      <c r="J55" s="396"/>
      <c r="K55" s="39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94"/>
      <c r="J56" s="398"/>
      <c r="K56" s="39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94"/>
      <c r="J57" s="398"/>
      <c r="K57" s="39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94"/>
      <c r="J58" s="398"/>
      <c r="K58" s="39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95"/>
      <c r="J59" s="400"/>
      <c r="K59" s="40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93" t="str">
        <f>AÑO!A15</f>
        <v>Alquiler Cartama</v>
      </c>
      <c r="J60" s="396"/>
      <c r="K60" s="39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94"/>
      <c r="J61" s="398"/>
      <c r="K61" s="399"/>
      <c r="L61" s="199"/>
      <c r="M61" s="1"/>
      <c r="R61" s="3"/>
    </row>
    <row r="62" spans="1:18" ht="15.6" customHeight="1">
      <c r="A62" s="1"/>
      <c r="B62" s="376" t="str">
        <f>AÑO!A23</f>
        <v>Ocio</v>
      </c>
      <c r="C62" s="383"/>
      <c r="D62" s="383"/>
      <c r="E62" s="383"/>
      <c r="F62" s="383"/>
      <c r="G62" s="384"/>
      <c r="H62" s="1"/>
      <c r="I62" s="394"/>
      <c r="J62" s="398"/>
      <c r="K62" s="399"/>
      <c r="L62" s="199"/>
      <c r="M62" s="1"/>
      <c r="R62" s="3"/>
    </row>
    <row r="63" spans="1:18" ht="16.149999999999999" customHeight="1" thickBot="1">
      <c r="A63" s="1"/>
      <c r="B63" s="385"/>
      <c r="C63" s="386"/>
      <c r="D63" s="386"/>
      <c r="E63" s="386"/>
      <c r="F63" s="386"/>
      <c r="G63" s="387"/>
      <c r="H63" s="1"/>
      <c r="I63" s="394"/>
      <c r="J63" s="398"/>
      <c r="K63" s="399"/>
      <c r="L63" s="199"/>
      <c r="M63" s="1"/>
      <c r="R63" s="3"/>
    </row>
    <row r="64" spans="1:18" ht="15.75">
      <c r="A64" s="1"/>
      <c r="B64" s="374" t="s">
        <v>8</v>
      </c>
      <c r="C64" s="375"/>
      <c r="D64" s="382" t="s">
        <v>9</v>
      </c>
      <c r="E64" s="382"/>
      <c r="F64" s="382"/>
      <c r="G64" s="375"/>
      <c r="H64" s="1"/>
      <c r="I64" s="395"/>
      <c r="J64" s="400"/>
      <c r="K64" s="40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393" t="str">
        <f>AÑO!A16</f>
        <v>Otros</v>
      </c>
      <c r="J65" s="396"/>
      <c r="K65" s="39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94"/>
      <c r="J66" s="398"/>
      <c r="K66" s="39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94"/>
      <c r="J67" s="398"/>
      <c r="K67" s="39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94"/>
      <c r="J68" s="398"/>
      <c r="K68" s="39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76" t="str">
        <f>AÑO!A24</f>
        <v>Transportes</v>
      </c>
      <c r="C82" s="383"/>
      <c r="D82" s="383"/>
      <c r="E82" s="383"/>
      <c r="F82" s="383"/>
      <c r="G82" s="384"/>
      <c r="H82" s="1"/>
      <c r="M82" s="1"/>
      <c r="R82" s="3"/>
    </row>
    <row r="83" spans="1:18" ht="16.149999999999999" customHeight="1" thickBot="1">
      <c r="A83" s="1"/>
      <c r="B83" s="385"/>
      <c r="C83" s="386"/>
      <c r="D83" s="386"/>
      <c r="E83" s="386"/>
      <c r="F83" s="386"/>
      <c r="G83" s="387"/>
      <c r="H83" s="1"/>
      <c r="M83" s="1"/>
      <c r="R83" s="3"/>
    </row>
    <row r="84" spans="1:18" ht="15.75">
      <c r="A84" s="1"/>
      <c r="B84" s="374" t="s">
        <v>8</v>
      </c>
      <c r="C84" s="375"/>
      <c r="D84" s="382" t="s">
        <v>9</v>
      </c>
      <c r="E84" s="382"/>
      <c r="F84" s="382"/>
      <c r="G84" s="37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76" t="str">
        <f>AÑO!A25</f>
        <v>Coche</v>
      </c>
      <c r="C102" s="383"/>
      <c r="D102" s="383"/>
      <c r="E102" s="383"/>
      <c r="F102" s="383"/>
      <c r="G102" s="384"/>
      <c r="H102" s="1"/>
      <c r="M102" s="1"/>
      <c r="R102" s="3"/>
    </row>
    <row r="103" spans="1:18" ht="16.149999999999999" customHeight="1" thickBot="1">
      <c r="A103" s="1"/>
      <c r="B103" s="385"/>
      <c r="C103" s="386"/>
      <c r="D103" s="386"/>
      <c r="E103" s="386"/>
      <c r="F103" s="386"/>
      <c r="G103" s="387"/>
      <c r="H103" s="1"/>
      <c r="M103" s="1"/>
      <c r="R103" s="3"/>
    </row>
    <row r="104" spans="1:18" ht="15.75">
      <c r="A104" s="1"/>
      <c r="B104" s="374" t="s">
        <v>8</v>
      </c>
      <c r="C104" s="375"/>
      <c r="D104" s="382" t="s">
        <v>9</v>
      </c>
      <c r="E104" s="382"/>
      <c r="F104" s="382"/>
      <c r="G104" s="375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212.84000000000003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2568.650000000001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1521.35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76" t="str">
        <f>AÑO!A26</f>
        <v>Teléfono</v>
      </c>
      <c r="C122" s="383"/>
      <c r="D122" s="383"/>
      <c r="E122" s="383"/>
      <c r="F122" s="383"/>
      <c r="G122" s="384"/>
      <c r="H122" s="1"/>
      <c r="M122" s="1"/>
      <c r="R122" s="3"/>
    </row>
    <row r="123" spans="1:18" ht="16.149999999999999" customHeight="1" thickBot="1">
      <c r="A123" s="1"/>
      <c r="B123" s="385"/>
      <c r="C123" s="386"/>
      <c r="D123" s="386"/>
      <c r="E123" s="386"/>
      <c r="F123" s="386"/>
      <c r="G123" s="387"/>
      <c r="H123" s="1"/>
      <c r="M123" s="1"/>
      <c r="R123" s="3"/>
    </row>
    <row r="124" spans="1:18" ht="15.75">
      <c r="A124" s="1"/>
      <c r="B124" s="374" t="s">
        <v>8</v>
      </c>
      <c r="C124" s="375"/>
      <c r="D124" s="382" t="s">
        <v>9</v>
      </c>
      <c r="E124" s="382"/>
      <c r="F124" s="382"/>
      <c r="G124" s="37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76" t="str">
        <f>AÑO!A27</f>
        <v>Gatos</v>
      </c>
      <c r="C142" s="383"/>
      <c r="D142" s="383"/>
      <c r="E142" s="383"/>
      <c r="F142" s="383"/>
      <c r="G142" s="384"/>
      <c r="H142" s="1"/>
      <c r="M142" s="1"/>
      <c r="R142" s="3"/>
    </row>
    <row r="143" spans="1:18" ht="16.149999999999999" customHeight="1" thickBot="1">
      <c r="A143" s="1"/>
      <c r="B143" s="385"/>
      <c r="C143" s="386"/>
      <c r="D143" s="386"/>
      <c r="E143" s="386"/>
      <c r="F143" s="386"/>
      <c r="G143" s="387"/>
      <c r="H143" s="1"/>
      <c r="M143" s="1"/>
      <c r="R143" s="3"/>
    </row>
    <row r="144" spans="1:18" ht="15.75">
      <c r="A144" s="1"/>
      <c r="B144" s="374" t="s">
        <v>8</v>
      </c>
      <c r="C144" s="375"/>
      <c r="D144" s="382" t="s">
        <v>9</v>
      </c>
      <c r="E144" s="382"/>
      <c r="F144" s="382"/>
      <c r="G144" s="37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76" t="str">
        <f>AÑO!A28</f>
        <v>Vacaciones</v>
      </c>
      <c r="C162" s="383"/>
      <c r="D162" s="383"/>
      <c r="E162" s="383"/>
      <c r="F162" s="383"/>
      <c r="G162" s="38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85"/>
      <c r="C163" s="386"/>
      <c r="D163" s="386"/>
      <c r="E163" s="386"/>
      <c r="F163" s="386"/>
      <c r="G163" s="38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74" t="s">
        <v>8</v>
      </c>
      <c r="C164" s="375"/>
      <c r="D164" s="382" t="s">
        <v>9</v>
      </c>
      <c r="E164" s="382"/>
      <c r="F164" s="382"/>
      <c r="G164" s="37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76" t="str">
        <f>AÑO!A29</f>
        <v>Ropa</v>
      </c>
      <c r="C182" s="383"/>
      <c r="D182" s="383"/>
      <c r="E182" s="383"/>
      <c r="F182" s="383"/>
      <c r="G182" s="3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85"/>
      <c r="C183" s="386"/>
      <c r="D183" s="386"/>
      <c r="E183" s="386"/>
      <c r="F183" s="386"/>
      <c r="G183" s="38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74" t="s">
        <v>8</v>
      </c>
      <c r="C184" s="375"/>
      <c r="D184" s="382" t="s">
        <v>9</v>
      </c>
      <c r="E184" s="382"/>
      <c r="F184" s="382"/>
      <c r="G184" s="3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76" t="str">
        <f>AÑO!A30</f>
        <v>Belleza</v>
      </c>
      <c r="C202" s="383"/>
      <c r="D202" s="383"/>
      <c r="E202" s="383"/>
      <c r="F202" s="383"/>
      <c r="G202" s="384"/>
    </row>
    <row r="203" spans="2:12" ht="15" customHeight="1" thickBot="1">
      <c r="B203" s="385"/>
      <c r="C203" s="386"/>
      <c r="D203" s="386"/>
      <c r="E203" s="386"/>
      <c r="F203" s="386"/>
      <c r="G203" s="387"/>
    </row>
    <row r="204" spans="2:12">
      <c r="B204" s="374" t="s">
        <v>8</v>
      </c>
      <c r="C204" s="375"/>
      <c r="D204" s="382" t="s">
        <v>9</v>
      </c>
      <c r="E204" s="382"/>
      <c r="F204" s="382"/>
      <c r="G204" s="37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76" t="str">
        <f>AÑO!A31</f>
        <v>Deportes</v>
      </c>
      <c r="C222" s="383"/>
      <c r="D222" s="383"/>
      <c r="E222" s="383"/>
      <c r="F222" s="383"/>
      <c r="G222" s="384"/>
    </row>
    <row r="223" spans="2:7" ht="15" customHeight="1" thickBot="1">
      <c r="B223" s="385"/>
      <c r="C223" s="386"/>
      <c r="D223" s="386"/>
      <c r="E223" s="386"/>
      <c r="F223" s="386"/>
      <c r="G223" s="387"/>
    </row>
    <row r="224" spans="2:7">
      <c r="B224" s="374" t="s">
        <v>8</v>
      </c>
      <c r="C224" s="375"/>
      <c r="D224" s="382" t="s">
        <v>9</v>
      </c>
      <c r="E224" s="382"/>
      <c r="F224" s="382"/>
      <c r="G224" s="37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76" t="str">
        <f>AÑO!A32</f>
        <v>Hogar</v>
      </c>
      <c r="C242" s="383"/>
      <c r="D242" s="383"/>
      <c r="E242" s="383"/>
      <c r="F242" s="383"/>
      <c r="G242" s="384"/>
    </row>
    <row r="243" spans="2:7" ht="15" customHeight="1" thickBot="1">
      <c r="B243" s="385"/>
      <c r="C243" s="386"/>
      <c r="D243" s="386"/>
      <c r="E243" s="386"/>
      <c r="F243" s="386"/>
      <c r="G243" s="387"/>
    </row>
    <row r="244" spans="2:7" ht="15" customHeight="1">
      <c r="B244" s="374" t="s">
        <v>8</v>
      </c>
      <c r="C244" s="375"/>
      <c r="D244" s="382" t="s">
        <v>9</v>
      </c>
      <c r="E244" s="382"/>
      <c r="F244" s="382"/>
      <c r="G244" s="37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76" t="str">
        <f>AÑO!A33</f>
        <v>Formación</v>
      </c>
      <c r="C262" s="383"/>
      <c r="D262" s="383"/>
      <c r="E262" s="383"/>
      <c r="F262" s="383"/>
      <c r="G262" s="384"/>
    </row>
    <row r="263" spans="2:7" ht="15" customHeight="1" thickBot="1">
      <c r="B263" s="385"/>
      <c r="C263" s="386"/>
      <c r="D263" s="386"/>
      <c r="E263" s="386"/>
      <c r="F263" s="386"/>
      <c r="G263" s="387"/>
    </row>
    <row r="264" spans="2:7">
      <c r="B264" s="374" t="s">
        <v>8</v>
      </c>
      <c r="C264" s="375"/>
      <c r="D264" s="382" t="s">
        <v>9</v>
      </c>
      <c r="E264" s="382"/>
      <c r="F264" s="382"/>
      <c r="G264" s="37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76" t="str">
        <f>AÑO!A34</f>
        <v>Regalos</v>
      </c>
      <c r="C282" s="383"/>
      <c r="D282" s="383"/>
      <c r="E282" s="383"/>
      <c r="F282" s="383"/>
      <c r="G282" s="384"/>
    </row>
    <row r="283" spans="2:8" ht="15" customHeight="1" thickBot="1">
      <c r="B283" s="385"/>
      <c r="C283" s="386"/>
      <c r="D283" s="386"/>
      <c r="E283" s="386"/>
      <c r="F283" s="386"/>
      <c r="G283" s="387"/>
    </row>
    <row r="284" spans="2:8">
      <c r="B284" s="374" t="s">
        <v>8</v>
      </c>
      <c r="C284" s="375"/>
      <c r="D284" s="382" t="s">
        <v>9</v>
      </c>
      <c r="E284" s="382"/>
      <c r="F284" s="382"/>
      <c r="G284" s="37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76" t="str">
        <f>AÑO!A35</f>
        <v>Salud</v>
      </c>
      <c r="C302" s="383"/>
      <c r="D302" s="383"/>
      <c r="E302" s="383"/>
      <c r="F302" s="383"/>
      <c r="G302" s="384"/>
    </row>
    <row r="303" spans="2:8" ht="15" customHeight="1" thickBot="1">
      <c r="B303" s="385"/>
      <c r="C303" s="386"/>
      <c r="D303" s="386"/>
      <c r="E303" s="386"/>
      <c r="F303" s="386"/>
      <c r="G303" s="387"/>
    </row>
    <row r="304" spans="2:8">
      <c r="B304" s="374" t="s">
        <v>8</v>
      </c>
      <c r="C304" s="375"/>
      <c r="D304" s="382" t="s">
        <v>9</v>
      </c>
      <c r="E304" s="382"/>
      <c r="F304" s="382"/>
      <c r="G304" s="37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76" t="str">
        <f>AÑO!A36</f>
        <v>Nenas</v>
      </c>
      <c r="C322" s="383"/>
      <c r="D322" s="383"/>
      <c r="E322" s="383"/>
      <c r="F322" s="383"/>
      <c r="G322" s="384"/>
    </row>
    <row r="323" spans="2:7" ht="15" customHeight="1" thickBot="1">
      <c r="B323" s="385"/>
      <c r="C323" s="386"/>
      <c r="D323" s="386"/>
      <c r="E323" s="386"/>
      <c r="F323" s="386"/>
      <c r="G323" s="387"/>
    </row>
    <row r="324" spans="2:7">
      <c r="B324" s="374" t="s">
        <v>8</v>
      </c>
      <c r="C324" s="375"/>
      <c r="D324" s="382" t="s">
        <v>9</v>
      </c>
      <c r="E324" s="382"/>
      <c r="F324" s="382"/>
      <c r="G324" s="37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76" t="str">
        <f>AÑO!A37</f>
        <v>Impuestos</v>
      </c>
      <c r="C342" s="383"/>
      <c r="D342" s="383"/>
      <c r="E342" s="383"/>
      <c r="F342" s="383"/>
      <c r="G342" s="384"/>
    </row>
    <row r="343" spans="2:7" ht="15" customHeight="1" thickBot="1">
      <c r="B343" s="385"/>
      <c r="C343" s="386"/>
      <c r="D343" s="386"/>
      <c r="E343" s="386"/>
      <c r="F343" s="386"/>
      <c r="G343" s="387"/>
    </row>
    <row r="344" spans="2:7">
      <c r="B344" s="374" t="s">
        <v>8</v>
      </c>
      <c r="C344" s="375"/>
      <c r="D344" s="382" t="s">
        <v>9</v>
      </c>
      <c r="E344" s="382"/>
      <c r="F344" s="382"/>
      <c r="G344" s="37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76" t="str">
        <f>AÑO!A38</f>
        <v>Gastos Curros</v>
      </c>
      <c r="C362" s="383"/>
      <c r="D362" s="383"/>
      <c r="E362" s="383"/>
      <c r="F362" s="383"/>
      <c r="G362" s="384"/>
    </row>
    <row r="363" spans="2:7" ht="15" customHeight="1" thickBot="1">
      <c r="B363" s="385"/>
      <c r="C363" s="386"/>
      <c r="D363" s="386"/>
      <c r="E363" s="386"/>
      <c r="F363" s="386"/>
      <c r="G363" s="387"/>
    </row>
    <row r="364" spans="2:7">
      <c r="B364" s="374" t="s">
        <v>8</v>
      </c>
      <c r="C364" s="375"/>
      <c r="D364" s="382" t="s">
        <v>9</v>
      </c>
      <c r="E364" s="382"/>
      <c r="F364" s="382"/>
      <c r="G364" s="37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76" t="str">
        <f>AÑO!A39</f>
        <v>Dreamed Holidays</v>
      </c>
      <c r="C382" s="383"/>
      <c r="D382" s="383"/>
      <c r="E382" s="383"/>
      <c r="F382" s="383"/>
      <c r="G382" s="384"/>
    </row>
    <row r="383" spans="2:7" ht="15" customHeight="1" thickBot="1">
      <c r="B383" s="385"/>
      <c r="C383" s="386"/>
      <c r="D383" s="386"/>
      <c r="E383" s="386"/>
      <c r="F383" s="386"/>
      <c r="G383" s="387"/>
    </row>
    <row r="384" spans="2:7">
      <c r="B384" s="374" t="s">
        <v>8</v>
      </c>
      <c r="C384" s="375"/>
      <c r="D384" s="382" t="s">
        <v>9</v>
      </c>
      <c r="E384" s="382"/>
      <c r="F384" s="382"/>
      <c r="G384" s="37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76" t="str">
        <f>AÑO!A40</f>
        <v>Financieros</v>
      </c>
      <c r="C402" s="383"/>
      <c r="D402" s="383"/>
      <c r="E402" s="383"/>
      <c r="F402" s="383"/>
      <c r="G402" s="384"/>
    </row>
    <row r="403" spans="2:7" ht="15" customHeight="1" thickBot="1">
      <c r="B403" s="385"/>
      <c r="C403" s="386"/>
      <c r="D403" s="386"/>
      <c r="E403" s="386"/>
      <c r="F403" s="386"/>
      <c r="G403" s="387"/>
    </row>
    <row r="404" spans="2:7">
      <c r="B404" s="374" t="s">
        <v>8</v>
      </c>
      <c r="C404" s="375"/>
      <c r="D404" s="382" t="s">
        <v>9</v>
      </c>
      <c r="E404" s="382"/>
      <c r="F404" s="382"/>
      <c r="G404" s="37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76" t="str">
        <f>AÑO!A41</f>
        <v>Ahorros Colchón</v>
      </c>
      <c r="C422" s="377"/>
      <c r="D422" s="377"/>
      <c r="E422" s="377"/>
      <c r="F422" s="377"/>
      <c r="G422" s="378"/>
    </row>
    <row r="423" spans="1:7" ht="15" customHeight="1" thickBot="1">
      <c r="B423" s="379"/>
      <c r="C423" s="380"/>
      <c r="D423" s="380"/>
      <c r="E423" s="380"/>
      <c r="F423" s="380"/>
      <c r="G423" s="381"/>
    </row>
    <row r="424" spans="1:7">
      <c r="B424" s="374" t="s">
        <v>8</v>
      </c>
      <c r="C424" s="375"/>
      <c r="D424" s="382" t="s">
        <v>9</v>
      </c>
      <c r="E424" s="382"/>
      <c r="F424" s="382"/>
      <c r="G424" s="375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76" t="str">
        <f>AÑO!A42</f>
        <v>Dinero Bloqueado</v>
      </c>
      <c r="C442" s="377"/>
      <c r="D442" s="377"/>
      <c r="E442" s="377"/>
      <c r="F442" s="377"/>
      <c r="G442" s="378"/>
    </row>
    <row r="443" spans="2:7" ht="15" customHeight="1" thickBot="1">
      <c r="B443" s="379"/>
      <c r="C443" s="380"/>
      <c r="D443" s="380"/>
      <c r="E443" s="380"/>
      <c r="F443" s="380"/>
      <c r="G443" s="381"/>
    </row>
    <row r="444" spans="2:7">
      <c r="B444" s="374" t="s">
        <v>8</v>
      </c>
      <c r="C444" s="375"/>
      <c r="D444" s="382" t="s">
        <v>9</v>
      </c>
      <c r="E444" s="382"/>
      <c r="F444" s="382"/>
      <c r="G444" s="37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76" t="str">
        <f>AÑO!A43</f>
        <v>Cartama Finanazas</v>
      </c>
      <c r="C462" s="377"/>
      <c r="D462" s="377"/>
      <c r="E462" s="377"/>
      <c r="F462" s="377"/>
      <c r="G462" s="378"/>
    </row>
    <row r="463" spans="2:7" ht="15" customHeight="1" thickBot="1">
      <c r="B463" s="379"/>
      <c r="C463" s="380"/>
      <c r="D463" s="380"/>
      <c r="E463" s="380"/>
      <c r="F463" s="380"/>
      <c r="G463" s="381"/>
    </row>
    <row r="464" spans="2:7">
      <c r="B464" s="374" t="s">
        <v>8</v>
      </c>
      <c r="C464" s="375"/>
      <c r="D464" s="382" t="s">
        <v>9</v>
      </c>
      <c r="E464" s="382"/>
      <c r="F464" s="382"/>
      <c r="G464" s="375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465.22999999999996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76" t="str">
        <f>AÑO!A44</f>
        <v>NULO</v>
      </c>
      <c r="C482" s="377"/>
      <c r="D482" s="377"/>
      <c r="E482" s="377"/>
      <c r="F482" s="377"/>
      <c r="G482" s="378"/>
    </row>
    <row r="483" spans="2:7" ht="15" customHeight="1" thickBot="1">
      <c r="B483" s="379"/>
      <c r="C483" s="380"/>
      <c r="D483" s="380"/>
      <c r="E483" s="380"/>
      <c r="F483" s="380"/>
      <c r="G483" s="381"/>
    </row>
    <row r="484" spans="2:7">
      <c r="B484" s="374" t="s">
        <v>8</v>
      </c>
      <c r="C484" s="375"/>
      <c r="D484" s="382" t="s">
        <v>9</v>
      </c>
      <c r="E484" s="382"/>
      <c r="F484" s="382"/>
      <c r="G484" s="37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76" t="str">
        <f>AÑO!A45</f>
        <v>OTROS</v>
      </c>
      <c r="C502" s="377"/>
      <c r="D502" s="377"/>
      <c r="E502" s="377"/>
      <c r="F502" s="377"/>
      <c r="G502" s="378"/>
    </row>
    <row r="503" spans="2:7" ht="15" customHeight="1" thickBot="1">
      <c r="B503" s="379"/>
      <c r="C503" s="380"/>
      <c r="D503" s="380"/>
      <c r="E503" s="380"/>
      <c r="F503" s="380"/>
      <c r="G503" s="381"/>
    </row>
    <row r="504" spans="2:7">
      <c r="B504" s="374" t="s">
        <v>8</v>
      </c>
      <c r="C504" s="375"/>
      <c r="D504" s="382" t="s">
        <v>9</v>
      </c>
      <c r="E504" s="382"/>
      <c r="F504" s="382"/>
      <c r="G504" s="37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2019-05-24T15:19:14Z</dcterms:modified>
</cp:coreProperties>
</file>