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BF139F6C-F6BC-4AFC-8D57-904060EE1FA8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Sheet1" sheetId="7" r:id="rId5"/>
    <sheet name="Fondo" sheetId="6" r:id="rId6"/>
    <sheet name="Criterio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1" i="7" l="1"/>
  <c r="K34" i="7" l="1"/>
  <c r="K27" i="7"/>
  <c r="H34" i="7"/>
  <c r="M34" i="7" s="1"/>
  <c r="P33" i="7"/>
  <c r="Q33" i="7" s="1"/>
  <c r="N34" i="7" l="1"/>
  <c r="P34" i="7" s="1"/>
  <c r="I34" i="7"/>
  <c r="J34" i="7" l="1"/>
  <c r="O34" i="7" s="1"/>
  <c r="E34" i="7" l="1"/>
  <c r="Q34" i="7" s="1"/>
  <c r="D34" i="7" l="1"/>
  <c r="H32" i="7" l="1"/>
  <c r="M32" i="7" s="1"/>
  <c r="P29" i="7"/>
  <c r="Q29" i="7" s="1"/>
  <c r="P28" i="7"/>
  <c r="Q28" i="7" s="1"/>
  <c r="N32" i="7" l="1"/>
  <c r="I32" i="7"/>
  <c r="H27" i="7"/>
  <c r="M27" i="7" s="1"/>
  <c r="P27" i="7" l="1"/>
  <c r="J32" i="7"/>
  <c r="O32" i="7" s="1"/>
  <c r="N27" i="7"/>
  <c r="I27" i="7"/>
  <c r="H24" i="7"/>
  <c r="M24" i="7" s="1"/>
  <c r="N24" i="7" s="1"/>
  <c r="Q23" i="7"/>
  <c r="Q20" i="7"/>
  <c r="H19" i="7"/>
  <c r="I19" i="7" s="1"/>
  <c r="E32" i="7" l="1"/>
  <c r="J27" i="7"/>
  <c r="O27" i="7" s="1"/>
  <c r="I24" i="7"/>
  <c r="J24" i="7" s="1"/>
  <c r="O24" i="7" s="1"/>
  <c r="J19" i="7"/>
  <c r="E19" i="7" s="1"/>
  <c r="D19" i="7" s="1"/>
  <c r="M19" i="7"/>
  <c r="D32" i="7" l="1"/>
  <c r="P32" i="7"/>
  <c r="Q32" i="7" s="1"/>
  <c r="E27" i="7"/>
  <c r="N19" i="7"/>
  <c r="D27" i="7" l="1"/>
  <c r="Q27" i="7"/>
  <c r="E24" i="7"/>
  <c r="O19" i="7"/>
  <c r="D24" i="7" l="1"/>
  <c r="P24" i="7"/>
  <c r="Q24" i="7" s="1"/>
  <c r="B3" i="6" l="1"/>
  <c r="Q14" i="7"/>
  <c r="H13" i="7"/>
  <c r="M13" i="7" s="1"/>
  <c r="H5" i="7"/>
  <c r="M5" i="7" s="1"/>
  <c r="H4" i="7"/>
  <c r="M4" i="7" s="1"/>
  <c r="H3" i="7"/>
  <c r="I3" i="7" s="1"/>
  <c r="J3" i="7" s="1"/>
  <c r="N13" i="7" l="1"/>
  <c r="I13" i="7"/>
  <c r="N4" i="7"/>
  <c r="M3" i="7"/>
  <c r="N3" i="7" s="1"/>
  <c r="P3" i="7" s="1"/>
  <c r="N5" i="7"/>
  <c r="I5" i="7"/>
  <c r="E3" i="7"/>
  <c r="I4" i="7"/>
  <c r="J4" i="7" s="1"/>
  <c r="J13" i="7" l="1"/>
  <c r="O3" i="7"/>
  <c r="Q3" i="7"/>
  <c r="D3" i="7"/>
  <c r="J5" i="7"/>
  <c r="O5" i="7" s="1"/>
  <c r="O4" i="7"/>
  <c r="E13" i="7" l="1"/>
  <c r="D13" i="7" s="1"/>
  <c r="E5" i="7"/>
  <c r="E4" i="7"/>
  <c r="D4" i="7" l="1"/>
  <c r="P4" i="7"/>
  <c r="Q4" i="7" s="1"/>
  <c r="P5" i="7"/>
  <c r="Q5" i="7" s="1"/>
  <c r="D5" i="7"/>
  <c r="T95" i="7" l="1"/>
  <c r="T92" i="7"/>
  <c r="T93" i="7" s="1"/>
  <c r="T94" i="7" s="1"/>
  <c r="T84" i="7"/>
  <c r="T85" i="7" s="1"/>
  <c r="H83" i="7"/>
  <c r="H82" i="7"/>
  <c r="H81" i="7"/>
  <c r="V80" i="7"/>
  <c r="H80" i="7"/>
  <c r="H74" i="7"/>
  <c r="G74" i="7"/>
  <c r="F74" i="7"/>
  <c r="E74" i="7"/>
  <c r="C74" i="7"/>
  <c r="Z69" i="7" s="1"/>
  <c r="B74" i="7"/>
  <c r="G73" i="7"/>
  <c r="F73" i="7"/>
  <c r="C73" i="7"/>
  <c r="B73" i="7"/>
  <c r="H72" i="7"/>
  <c r="G72" i="7"/>
  <c r="F72" i="7"/>
  <c r="E72" i="7"/>
  <c r="C72" i="7"/>
  <c r="B72" i="7"/>
  <c r="P70" i="7"/>
  <c r="O70" i="7"/>
  <c r="N70" i="7"/>
  <c r="M70" i="7"/>
  <c r="L70" i="7"/>
  <c r="K70" i="7"/>
  <c r="J70" i="7"/>
  <c r="I70" i="7"/>
  <c r="R67" i="7"/>
  <c r="Q67" i="7"/>
  <c r="Z66" i="7"/>
  <c r="S65" i="7"/>
  <c r="S64" i="7"/>
  <c r="R62" i="7"/>
  <c r="Q62" i="7"/>
  <c r="G62" i="7"/>
  <c r="R61" i="7"/>
  <c r="Q61" i="7"/>
  <c r="S60" i="7"/>
  <c r="Z57" i="7"/>
  <c r="Z56" i="7"/>
  <c r="R55" i="7"/>
  <c r="E55" i="7"/>
  <c r="C55" i="7"/>
  <c r="Z55" i="7" s="1"/>
  <c r="S54" i="7"/>
  <c r="Z48" i="7"/>
  <c r="Z47" i="7"/>
  <c r="Z45" i="7"/>
  <c r="T45" i="7"/>
  <c r="T70" i="7" s="1"/>
  <c r="U70" i="7" s="1"/>
  <c r="S45" i="7"/>
  <c r="G45" i="7"/>
  <c r="H45" i="7" s="1"/>
  <c r="Y43" i="7"/>
  <c r="S62" i="7" l="1"/>
  <c r="S61" i="7"/>
  <c r="S67" i="7"/>
  <c r="I74" i="7"/>
  <c r="K74" i="7" s="1"/>
  <c r="I72" i="7"/>
  <c r="J72" i="7" s="1"/>
  <c r="K72" i="7" s="1"/>
  <c r="M74" i="7"/>
  <c r="O74" i="7" s="1"/>
  <c r="M72" i="7"/>
  <c r="N72" i="7" s="1"/>
  <c r="AA69" i="7"/>
  <c r="AA55" i="7"/>
  <c r="AB55" i="7" s="1"/>
  <c r="AA48" i="7"/>
  <c r="AB48" i="7" s="1"/>
  <c r="AA56" i="7"/>
  <c r="AB56" i="7" s="1"/>
  <c r="AA57" i="7"/>
  <c r="AB57" i="7" s="1"/>
  <c r="AA66" i="7"/>
  <c r="AB66" i="7" s="1"/>
  <c r="AA47" i="7"/>
  <c r="AB47" i="7" s="1"/>
  <c r="Z70" i="7"/>
  <c r="AA45" i="7"/>
  <c r="R22" i="3"/>
  <c r="S70" i="7" l="1"/>
  <c r="N74" i="7"/>
  <c r="P74" i="7" s="1"/>
  <c r="J74" i="7"/>
  <c r="L74" i="7" s="1"/>
  <c r="Q81" i="7" s="1"/>
  <c r="Q82" i="7" s="1"/>
  <c r="Q83" i="7" s="1"/>
  <c r="AB69" i="7"/>
  <c r="R74" i="7"/>
  <c r="AA70" i="7"/>
  <c r="AB45" i="7"/>
  <c r="O72" i="7"/>
  <c r="P72" i="7" s="1"/>
  <c r="L72" i="7"/>
  <c r="Q72" i="7"/>
  <c r="X1" i="3"/>
  <c r="Q25" i="3"/>
  <c r="P25" i="3"/>
  <c r="R25" i="3"/>
  <c r="Q74" i="7" l="1"/>
  <c r="AB70" i="7"/>
  <c r="AC70" i="7" s="1"/>
  <c r="AD70" i="7" s="1"/>
  <c r="S74" i="7"/>
  <c r="S75" i="7" s="1"/>
  <c r="T75" i="7" s="1"/>
  <c r="R72" i="7"/>
  <c r="S72" i="7"/>
  <c r="T72" i="7" s="1"/>
  <c r="S29" i="3"/>
  <c r="T29" i="3" s="1"/>
  <c r="T74" i="7" l="1"/>
  <c r="Y3" i="3"/>
  <c r="Y5" i="3"/>
  <c r="Y6" i="3"/>
  <c r="Y14" i="3"/>
  <c r="Y15" i="3"/>
  <c r="Y24" i="3"/>
  <c r="Z3" i="3"/>
  <c r="Z15" i="3" l="1"/>
  <c r="Z14" i="3"/>
  <c r="Z24" i="3"/>
  <c r="Z6" i="3"/>
  <c r="Z5" i="3"/>
  <c r="B5" i="2"/>
  <c r="E73" i="7" s="1"/>
  <c r="M73" i="7" l="1"/>
  <c r="I73" i="7"/>
  <c r="AA15" i="3"/>
  <c r="AA24" i="3"/>
  <c r="AA14" i="3"/>
  <c r="AA5" i="3"/>
  <c r="AA6" i="3"/>
  <c r="AA3" i="3"/>
  <c r="K73" i="7" l="1"/>
  <c r="J73" i="7"/>
  <c r="O73" i="7"/>
  <c r="N73" i="7"/>
  <c r="R23" i="3"/>
  <c r="P73" i="7" l="1"/>
  <c r="Q73" i="7"/>
  <c r="R73" i="7"/>
  <c r="L73" i="7"/>
  <c r="S54" i="3"/>
  <c r="S53" i="3"/>
  <c r="S52" i="3"/>
  <c r="S51" i="3"/>
  <c r="S73" i="7" l="1"/>
  <c r="T73" i="7" s="1"/>
  <c r="S44" i="3"/>
  <c r="S43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2" i="3" l="1"/>
  <c r="G42" i="3"/>
  <c r="G39" i="3" l="1"/>
  <c r="G40" i="3"/>
  <c r="G41" i="3"/>
  <c r="Q19" i="3" l="1"/>
  <c r="R19" i="3" s="1"/>
  <c r="P19" i="3"/>
  <c r="U39" i="3" l="1"/>
  <c r="B15" i="4" l="1"/>
  <c r="R18" i="3" l="1"/>
  <c r="O29" i="3" l="1"/>
  <c r="N29" i="3"/>
  <c r="M29" i="3"/>
  <c r="L29" i="3"/>
  <c r="R3" i="3"/>
  <c r="S3" i="3"/>
  <c r="R12" i="3"/>
  <c r="Q13" i="3"/>
  <c r="R29" i="3" l="1"/>
  <c r="K29" i="3"/>
  <c r="J29" i="3"/>
  <c r="I29" i="3"/>
  <c r="H29" i="3" l="1"/>
  <c r="B13" i="3" l="1"/>
  <c r="Y13" i="3" s="1"/>
  <c r="Z13" i="3" l="1"/>
  <c r="B18" i="1"/>
  <c r="B16" i="1"/>
  <c r="AA13" i="3" l="1"/>
  <c r="B5" i="1"/>
  <c r="B17" i="1" s="1"/>
  <c r="B15" i="1" s="1"/>
  <c r="B19" i="2"/>
  <c r="A33" i="3" l="1"/>
  <c r="F33" i="3"/>
  <c r="E33" i="3"/>
  <c r="B33" i="3"/>
  <c r="Y28" i="3" s="1"/>
  <c r="E16" i="4"/>
  <c r="B7" i="4"/>
  <c r="E13" i="4" s="1"/>
  <c r="E17" i="4" s="1"/>
  <c r="B5" i="4"/>
  <c r="I4" i="4"/>
  <c r="I5" i="4" s="1"/>
  <c r="Z28" i="3" l="1"/>
  <c r="Y29" i="3"/>
  <c r="D33" i="3"/>
  <c r="D13" i="3"/>
  <c r="G33" i="3"/>
  <c r="E6" i="4"/>
  <c r="E5" i="4"/>
  <c r="E3" i="4"/>
  <c r="E4" i="4"/>
  <c r="Z29" i="3" l="1"/>
  <c r="H33" i="3"/>
  <c r="J33" i="3" s="1"/>
  <c r="L33" i="3"/>
  <c r="M33" i="3" s="1"/>
  <c r="E11" i="4"/>
  <c r="E18" i="4" s="1"/>
  <c r="AA28" i="3" l="1"/>
  <c r="AA29" i="3" s="1"/>
  <c r="AB29" i="3" s="1"/>
  <c r="AC29" i="3" s="1"/>
  <c r="N33" i="3"/>
  <c r="I33" i="3"/>
  <c r="K33" i="3" l="1"/>
  <c r="P40" i="3" s="1"/>
  <c r="O33" i="3"/>
  <c r="P33" i="3"/>
  <c r="Q33" i="3"/>
  <c r="F32" i="3"/>
  <c r="E32" i="3"/>
  <c r="B32" i="3"/>
  <c r="A31" i="3"/>
  <c r="E16" i="2"/>
  <c r="B12" i="2"/>
  <c r="B7" i="2"/>
  <c r="H73" i="7" s="1"/>
  <c r="D32" i="3"/>
  <c r="I4" i="2"/>
  <c r="I5" i="2" s="1"/>
  <c r="R33" i="3" l="1"/>
  <c r="P41" i="3"/>
  <c r="P42" i="3" s="1"/>
  <c r="L32" i="3"/>
  <c r="M32" i="3" s="1"/>
  <c r="E5" i="2"/>
  <c r="G32" i="3"/>
  <c r="H32" i="3"/>
  <c r="I32" i="3" s="1"/>
  <c r="E6" i="2"/>
  <c r="E3" i="2"/>
  <c r="E4" i="2"/>
  <c r="E13" i="2"/>
  <c r="E17" i="2" s="1"/>
  <c r="S33" i="3" l="1"/>
  <c r="R34" i="3"/>
  <c r="J32" i="3"/>
  <c r="N32" i="3"/>
  <c r="S34" i="3"/>
  <c r="E11" i="2"/>
  <c r="E18" i="2" s="1"/>
  <c r="B12" i="1"/>
  <c r="B31" i="3"/>
  <c r="F31" i="3"/>
  <c r="E31" i="3"/>
  <c r="P32" i="3" l="1"/>
  <c r="O32" i="3"/>
  <c r="K32" i="3"/>
  <c r="D31" i="3"/>
  <c r="H31" i="3" s="1"/>
  <c r="F3" i="3"/>
  <c r="G3" i="3" s="1"/>
  <c r="R32" i="3" l="1"/>
  <c r="S32" i="3" s="1"/>
  <c r="Q32" i="3"/>
  <c r="L31" i="3"/>
  <c r="I31" i="3"/>
  <c r="J31" i="3" s="1"/>
  <c r="K31" i="3" s="1"/>
  <c r="E16" i="1"/>
  <c r="M31" i="3" l="1"/>
  <c r="P31" i="3" s="1"/>
  <c r="I4" i="1"/>
  <c r="N31" i="3" l="1"/>
  <c r="Q31" i="3" s="1"/>
  <c r="B7" i="1"/>
  <c r="G31" i="3" s="1"/>
  <c r="O31" i="3" l="1"/>
  <c r="E6" i="1"/>
  <c r="E13" i="1"/>
  <c r="E17" i="1" s="1"/>
  <c r="E3" i="1"/>
  <c r="E4" i="1"/>
  <c r="E5" i="1"/>
  <c r="R31" i="3" l="1"/>
  <c r="S31" i="3" s="1"/>
  <c r="E11" i="1"/>
  <c r="E18" i="1" s="1"/>
  <c r="I5" i="1"/>
</calcChain>
</file>

<file path=xl/sharedStrings.xml><?xml version="1.0" encoding="utf-8"?>
<sst xmlns="http://schemas.openxmlformats.org/spreadsheetml/2006/main" count="452" uniqueCount="167">
  <si>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</si>
  <si>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</si>
  <si>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</si>
  <si>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</si>
  <si>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</si>
  <si>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</si>
  <si>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</si>
  <si>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</si>
  <si>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</si>
  <si>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</si>
  <si>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</si>
  <si>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</si>
  <si>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</si>
  <si>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</si>
  <si>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</si>
  <si>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</si>
  <si>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</si>
  <si>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</si>
  <si>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</si>
  <si>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</si>
  <si>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</si>
  <si>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</si>
  <si>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</si>
  <si>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</si>
  <si>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</si>
  <si>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</si>
  <si>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</si>
  <si>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</si>
  <si>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</si>
  <si>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</si>
  <si>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</si>
  <si>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</si>
  <si>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</si>
  <si>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</si>
  <si>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</si>
  <si>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</si>
  <si>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</si>
  <si>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</si>
  <si>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</si>
  <si>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</si>
  <si>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</si>
  <si>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</si>
  <si>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</si>
  <si>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</si>
  <si>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</si>
  <si>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</si>
  <si>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</si>
  <si>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</si>
  <si>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</si>
  <si>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</si>
  <si>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</si>
  <si>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</si>
  <si>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</si>
  <si>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</si>
  <si>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</si>
  <si>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</si>
  <si>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</si>
  <si>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</si>
  <si>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</si>
  <si>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Custodia de acciones MT.AS</t>
  </si>
  <si>
    <t>ABI.BR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</si>
  <si>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</si>
  <si>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</si>
  <si>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</si>
  <si>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</si>
  <si>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</si>
  <si>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</si>
  <si>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</si>
  <si>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</si>
  <si>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</si>
  <si>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</si>
  <si>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</si>
  <si>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</si>
  <si>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</si>
  <si>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</si>
  <si>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</si>
  <si>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</si>
  <si>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</si>
  <si>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</si>
  <si>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</si>
  <si>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</si>
  <si>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</si>
  <si>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</si>
  <si>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</si>
  <si>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</si>
  <si>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</si>
  <si>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</si>
  <si>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</si>
  <si>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</si>
  <si>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</si>
  <si>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</si>
  <si>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</si>
  <si>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</si>
  <si>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</si>
  <si>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</si>
  <si>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</si>
  <si>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</si>
  <si>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</si>
  <si>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</si>
  <si>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</si>
  <si>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</si>
  <si>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</si>
  <si>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</si>
  <si>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</si>
  <si>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</si>
  <si>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</si>
  <si>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</si>
  <si>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</si>
  <si>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</si>
  <si>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</si>
  <si>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</si>
  <si>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</si>
  <si>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</si>
  <si>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</si>
  <si>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</si>
  <si>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</si>
  <si>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</si>
  <si>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</si>
  <si>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</si>
  <si>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</si>
  <si>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</si>
  <si>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</si>
  <si>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</si>
  <si>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</si>
  <si>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</si>
  <si>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</si>
  <si>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</si>
  <si>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</si>
  <si>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</si>
  <si>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</si>
  <si>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</si>
  <si>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</si>
  <si>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</si>
  <si>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</si>
  <si>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</si>
  <si>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</si>
  <si>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</si>
  <si>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</si>
  <si>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</si>
  <si>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</si>
  <si>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</si>
  <si>
    <t>Dias</t>
  </si>
  <si>
    <t>Dias/Total dias</t>
  </si>
  <si>
    <t>Media invertido</t>
  </si>
  <si>
    <t>% Total</t>
  </si>
  <si>
    <t>%/año</t>
  </si>
  <si>
    <t>RBC</t>
  </si>
  <si>
    <t>&lt;--</t>
  </si>
  <si>
    <t>Entre 25 y 28</t>
  </si>
  <si>
    <t>TIPO</t>
  </si>
  <si>
    <t>PRECIO/VALOR</t>
  </si>
  <si>
    <t>DINERO ACCIONES</t>
  </si>
  <si>
    <t>GASTOS</t>
  </si>
  <si>
    <t>BALANCE</t>
  </si>
  <si>
    <t>%</t>
  </si>
  <si>
    <t>INFO</t>
  </si>
  <si>
    <t>DINERO INVERTIDO</t>
  </si>
  <si>
    <t>GENERAL</t>
  </si>
  <si>
    <t>FECHA</t>
  </si>
  <si>
    <t>BENELUX</t>
  </si>
  <si>
    <t>DINERO INICIAL</t>
  </si>
  <si>
    <t>EURO</t>
  </si>
  <si>
    <t>RESTO &gt; 0</t>
  </si>
  <si>
    <t>HISTORICO</t>
  </si>
  <si>
    <t>Custodia de acciones 2015</t>
  </si>
  <si>
    <t>Custodia de acciones 2016</t>
  </si>
  <si>
    <t>Custodia de acciones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</si>
</sst>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  <numFmt numFmtId="169" formatCode="0_ ;[Red]\-0\ "/>
  </numFmts>
  <fonts count="1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NumberFormat="1"/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ont="1" applyAlignment="1">
      <alignment horizontal="right"/>
    </xf>
    <xf numFmtId="0" fontId="0" fillId="3" borderId="23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1" fillId="3" borderId="24" xfId="0" applyFont="1" applyFill="1" applyBorder="1" applyAlignment="1"/>
    <xf numFmtId="0" fontId="11" fillId="3" borderId="0" xfId="0" applyFont="1" applyFill="1" applyBorder="1" applyAlignment="1"/>
    <xf numFmtId="0" fontId="0" fillId="5" borderId="0" xfId="0" applyFill="1" applyBorder="1" applyAlignment="1">
      <alignment horizontal="center"/>
    </xf>
    <xf numFmtId="0" fontId="11" fillId="4" borderId="0" xfId="0" applyFont="1" applyFill="1" applyBorder="1" applyAlignment="1"/>
    <xf numFmtId="0" fontId="11" fillId="2" borderId="0" xfId="0" applyFont="1" applyFill="1" applyAlignment="1"/>
    <xf numFmtId="0" fontId="11" fillId="2" borderId="25" xfId="0" applyFont="1" applyFill="1" applyBorder="1" applyAlignment="1"/>
    <xf numFmtId="0" fontId="11" fillId="2" borderId="0" xfId="0" applyFont="1" applyFill="1" applyBorder="1" applyAlignment="1"/>
    <xf numFmtId="169" fontId="0" fillId="0" borderId="0" xfId="0" applyNumberFormat="1"/>
    <xf numFmtId="8" fontId="0" fillId="6" borderId="0" xfId="0" applyNumberFormat="1" applyFill="1"/>
    <xf numFmtId="0" fontId="11" fillId="4" borderId="24" xfId="0" applyFont="1" applyFill="1" applyBorder="1" applyAlignment="1"/>
    <xf numFmtId="0" fontId="0" fillId="4" borderId="23" xfId="0" applyFill="1" applyBorder="1" applyAlignment="1">
      <alignment horizontal="center"/>
    </xf>
    <xf numFmtId="0" fontId="11" fillId="4" borderId="25" xfId="0" applyFont="1" applyFill="1" applyBorder="1" applyAlignment="1"/>
    <xf numFmtId="0" fontId="0" fillId="4" borderId="26" xfId="0" applyFill="1" applyBorder="1" applyAlignment="1">
      <alignment horizontal="center"/>
    </xf>
    <xf numFmtId="0" fontId="11" fillId="5" borderId="24" xfId="0" applyFont="1" applyFill="1" applyBorder="1" applyAlignment="1"/>
    <xf numFmtId="0" fontId="0" fillId="5" borderId="0" xfId="0" applyFill="1" applyBorder="1"/>
    <xf numFmtId="0" fontId="0" fillId="5" borderId="25" xfId="0" applyFill="1" applyBorder="1"/>
    <xf numFmtId="0" fontId="0" fillId="5" borderId="2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169" fontId="0" fillId="6" borderId="0" xfId="0" applyNumberFormat="1" applyFill="1"/>
    <xf numFmtId="8" fontId="0" fillId="6" borderId="27" xfId="0" applyNumberFormat="1" applyFill="1" applyBorder="1"/>
    <xf numFmtId="8" fontId="0" fillId="6" borderId="24" xfId="0" applyNumberFormat="1" applyFill="1" applyBorder="1"/>
    <xf numFmtId="167" fontId="0" fillId="0" borderId="27" xfId="0" applyNumberFormat="1" applyFill="1" applyBorder="1" applyAlignment="1">
      <alignment horizontal="right"/>
    </xf>
    <xf numFmtId="167" fontId="0" fillId="0" borderId="24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8" fontId="0" fillId="6" borderId="0" xfId="0" applyNumberFormat="1" applyFill="1" applyBorder="1"/>
    <xf numFmtId="8" fontId="0" fillId="0" borderId="0" xfId="0" applyNumberFormat="1" applyFill="1" applyBorder="1"/>
    <xf numFmtId="169" fontId="0" fillId="6" borderId="0" xfId="0" applyNumberFormat="1" applyFill="1" applyBorder="1"/>
    <xf numFmtId="8" fontId="0" fillId="6" borderId="25" xfId="0" applyNumberFormat="1" applyFill="1" applyBorder="1"/>
    <xf numFmtId="8" fontId="0" fillId="6" borderId="28" xfId="0" applyNumberFormat="1" applyFill="1" applyBorder="1"/>
    <xf numFmtId="10" fontId="12" fillId="6" borderId="28" xfId="0" applyNumberFormat="1" applyFont="1" applyFill="1" applyBorder="1" applyAlignment="1">
      <alignment horizontal="right"/>
    </xf>
    <xf numFmtId="10" fontId="12" fillId="6" borderId="0" xfId="0" applyNumberFormat="1" applyFont="1" applyFill="1" applyBorder="1" applyAlignment="1">
      <alignment horizontal="right"/>
    </xf>
    <xf numFmtId="0" fontId="0" fillId="0" borderId="29" xfId="0" applyBorder="1"/>
    <xf numFmtId="0" fontId="0" fillId="0" borderId="25" xfId="0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22" xfId="0" applyFill="1" applyBorder="1"/>
    <xf numFmtId="8" fontId="0" fillId="0" borderId="22" xfId="0" applyNumberFormat="1" applyFill="1" applyBorder="1"/>
    <xf numFmtId="8" fontId="0" fillId="6" borderId="22" xfId="0" applyNumberFormat="1" applyFill="1" applyBorder="1"/>
    <xf numFmtId="167" fontId="0" fillId="0" borderId="23" xfId="0" applyNumberFormat="1" applyFill="1" applyBorder="1" applyAlignment="1">
      <alignment horizontal="right"/>
    </xf>
    <xf numFmtId="169" fontId="0" fillId="6" borderId="22" xfId="0" applyNumberFormat="1" applyFill="1" applyBorder="1"/>
    <xf numFmtId="8" fontId="0" fillId="6" borderId="26" xfId="0" applyNumberFormat="1" applyFill="1" applyBorder="1"/>
    <xf numFmtId="167" fontId="0" fillId="0" borderId="22" xfId="0" applyNumberFormat="1" applyFill="1" applyBorder="1" applyAlignment="1">
      <alignment horizontal="right"/>
    </xf>
    <xf numFmtId="8" fontId="0" fillId="6" borderId="23" xfId="0" applyNumberFormat="1" applyFill="1" applyBorder="1"/>
    <xf numFmtId="10" fontId="12" fillId="6" borderId="22" xfId="0" applyNumberFormat="1" applyFont="1" applyFill="1" applyBorder="1" applyAlignment="1">
      <alignment horizontal="right"/>
    </xf>
    <xf numFmtId="0" fontId="0" fillId="0" borderId="26" xfId="0" applyBorder="1"/>
    <xf numFmtId="8" fontId="0" fillId="6" borderId="29" xfId="0" applyNumberFormat="1" applyFill="1" applyBorder="1"/>
    <xf numFmtId="8" fontId="0" fillId="7" borderId="0" xfId="0" applyNumberFormat="1" applyFill="1"/>
    <xf numFmtId="167" fontId="0" fillId="7" borderId="24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11" fillId="0" borderId="22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11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5" sqref="B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129" t="s">
        <v>1</v>
      </c>
      <c r="E1" s="129"/>
      <c r="F1" s="28"/>
      <c r="H1" s="124" t="s">
        <v>13</v>
      </c>
      <c r="I1" s="124"/>
    </row>
    <row r="2" spans="1:10" ht="15.75" x14ac:dyDescent="0.25">
      <c r="A2" t="s">
        <v>12</v>
      </c>
      <c r="B2" s="4">
        <v>42234</v>
      </c>
      <c r="D2" s="127" t="s">
        <v>2</v>
      </c>
      <c r="E2" s="128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60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125" t="str">
        <f>IF(I4=2,"Se puede COMPRAR","Nada")</f>
        <v>Se puede COMPRAR</v>
      </c>
      <c r="J5" s="126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129" t="s">
        <v>1</v>
      </c>
      <c r="E1" s="129"/>
      <c r="F1" s="28"/>
      <c r="H1" s="124" t="s">
        <v>13</v>
      </c>
      <c r="I1" s="124"/>
    </row>
    <row r="2" spans="1:10" ht="15.75" x14ac:dyDescent="0.25">
      <c r="A2" t="s">
        <v>12</v>
      </c>
      <c r="B2" s="4">
        <v>43605</v>
      </c>
      <c r="D2" s="127" t="s">
        <v>2</v>
      </c>
      <c r="E2" s="128"/>
      <c r="H2" s="29" t="s">
        <v>26</v>
      </c>
      <c r="I2" s="30">
        <v>1</v>
      </c>
    </row>
    <row r="3" spans="1:10" ht="15.75" x14ac:dyDescent="0.25">
      <c r="A3" t="s">
        <v>28</v>
      </c>
      <c r="B3" t="s">
        <v>136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65.23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62</v>
      </c>
      <c r="D5" s="17" t="s">
        <v>5</v>
      </c>
      <c r="E5" s="25">
        <f>IF(B$7 &gt;= 0.51,1,0)</f>
        <v>0</v>
      </c>
      <c r="H5" s="31" t="s">
        <v>9</v>
      </c>
      <c r="I5" s="125" t="str">
        <f>IF(I4=2,"Se puede COMPRAR","Nada")</f>
        <v>Se puede COMPRAR</v>
      </c>
      <c r="J5" s="126"/>
    </row>
    <row r="6" spans="1:10" ht="15.75" x14ac:dyDescent="0.25">
      <c r="A6" t="s">
        <v>30</v>
      </c>
      <c r="B6" s="5">
        <v>76.03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0</v>
      </c>
    </row>
    <row r="7" spans="1:10" ht="15.75" x14ac:dyDescent="0.25">
      <c r="A7" t="s">
        <v>0</v>
      </c>
      <c r="B7" s="3">
        <f>(B6/B4)-1</f>
        <v>0.16556799018856339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72.764065000000002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129" t="s">
        <v>1</v>
      </c>
      <c r="E1" s="129"/>
      <c r="F1" s="28"/>
      <c r="H1" s="124" t="s">
        <v>13</v>
      </c>
      <c r="I1" s="124"/>
    </row>
    <row r="2" spans="1:10" ht="15.75" x14ac:dyDescent="0.25">
      <c r="A2" t="s">
        <v>12</v>
      </c>
      <c r="B2" s="4">
        <v>43154</v>
      </c>
      <c r="D2" s="127" t="s">
        <v>2</v>
      </c>
      <c r="E2" s="128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125" t="str">
        <f>IF(I4=2,"Se puede COMPRAR","Nada")</f>
        <v>Se puede COMPRAR</v>
      </c>
      <c r="J5" s="126"/>
    </row>
    <row r="6" spans="1:10" ht="15.75" x14ac:dyDescent="0.25">
      <c r="A6" t="s">
        <v>30</v>
      </c>
      <c r="B6" s="5">
        <v>30.27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0.16512702078521935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70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65</v>
      </c>
      <c r="E23" s="33"/>
    </row>
    <row r="24" spans="2:6" ht="15.75" x14ac:dyDescent="0.25">
      <c r="B24" s="53" t="s">
        <v>64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1"/>
  <sheetViews>
    <sheetView tabSelected="1" topLeftCell="F37" zoomScaleNormal="100" workbookViewId="0">
      <selection activeCell="R22" sqref="R22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8" max="8" width="12" bestFit="1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130" t="s">
        <v>47</v>
      </c>
      <c r="I1" s="130"/>
      <c r="J1" s="130"/>
      <c r="K1" s="130"/>
      <c r="L1" s="131" t="s">
        <v>52</v>
      </c>
      <c r="M1" s="131"/>
      <c r="N1" s="131"/>
      <c r="O1" s="131"/>
      <c r="P1" s="132" t="s">
        <v>54</v>
      </c>
      <c r="Q1" s="132"/>
      <c r="R1" s="132"/>
      <c r="X1" s="59">
        <f ca="1">_xlfn.DAYS(TODAY(),B3)</f>
        <v>1535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141</v>
      </c>
      <c r="Z2" t="s">
        <v>142</v>
      </c>
      <c r="AA2" t="s">
        <v>143</v>
      </c>
      <c r="AB2" t="s">
        <v>144</v>
      </c>
      <c r="AC2" t="s">
        <v>145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59">
        <f ca="1">Y3/X$1</f>
        <v>4.0390879478827364E-2</v>
      </c>
      <c r="AA3" s="56">
        <f ca="1">Z3*H3</f>
        <v>161.09902280130294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72</v>
      </c>
      <c r="Z4" s="59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5:Y24" si="0">_xlfn.DAYS(C5,B5)</f>
        <v>55</v>
      </c>
      <c r="Z5" s="59">
        <f t="shared" ref="Z5:Z28" ca="1" si="1">Y5/X$1</f>
        <v>3.5830618892508145E-2</v>
      </c>
      <c r="AA5" s="56">
        <f t="shared" ref="AA5:AA24" ca="1" si="2">Z5*H5</f>
        <v>143.37478827361562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59">
        <f t="shared" ca="1" si="1"/>
        <v>9.120521172638436E-3</v>
      </c>
      <c r="AA6" s="56">
        <f t="shared" ca="1" si="2"/>
        <v>36.53042345276873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59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59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59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59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59</v>
      </c>
      <c r="Z11" s="59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59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59">
        <f t="shared" ca="1" si="1"/>
        <v>0.18762214983713354</v>
      </c>
      <c r="AA13" s="56">
        <f t="shared" ca="1" si="2"/>
        <v>110.01787622149837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59">
        <f t="shared" ca="1" si="1"/>
        <v>0.56612377850162865</v>
      </c>
      <c r="AA14" s="56">
        <f t="shared" ca="1" si="2"/>
        <v>2485.0569381107493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59">
        <f t="shared" ca="1" si="1"/>
        <v>0.41172638436482084</v>
      </c>
      <c r="AA15" s="56">
        <f t="shared" ca="1" si="2"/>
        <v>247.2828664495114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59</v>
      </c>
      <c r="Z16" s="59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59</v>
      </c>
      <c r="Z17" s="59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69</v>
      </c>
      <c r="Z18" s="59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71</v>
      </c>
      <c r="Z19" s="59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71</v>
      </c>
      <c r="Z20" s="59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139</v>
      </c>
      <c r="Z21" s="59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-2.18-2.26-3.09-2.27</f>
        <v>-9.7999999999999989</v>
      </c>
      <c r="S22" s="10"/>
      <c r="T22" t="s">
        <v>140</v>
      </c>
      <c r="Z22" s="59"/>
      <c r="AA22" s="56"/>
      <c r="AB22" s="5"/>
    </row>
    <row r="23" spans="1:29" x14ac:dyDescent="0.25">
      <c r="A23" s="39" t="s">
        <v>136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137</v>
      </c>
      <c r="Z23" s="59"/>
      <c r="AA23" s="56"/>
      <c r="AB23" s="5"/>
    </row>
    <row r="24" spans="1:29" x14ac:dyDescent="0.25">
      <c r="A24" s="7" t="s">
        <v>136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138</v>
      </c>
      <c r="Y24">
        <f t="shared" si="0"/>
        <v>22</v>
      </c>
      <c r="Z24" s="59">
        <f t="shared" ca="1" si="1"/>
        <v>1.4332247557003257E-2</v>
      </c>
      <c r="AA24" s="56">
        <f t="shared" ca="1" si="2"/>
        <v>58.535765472312697</v>
      </c>
      <c r="AB24" s="5"/>
    </row>
    <row r="25" spans="1:29" x14ac:dyDescent="0.25">
      <c r="A25" s="7" t="s">
        <v>46</v>
      </c>
      <c r="C25" s="8">
        <v>43587</v>
      </c>
      <c r="D25" s="14"/>
      <c r="E25" s="9"/>
      <c r="F25" s="9">
        <v>86.24</v>
      </c>
      <c r="G25" s="10"/>
      <c r="H25" s="9"/>
      <c r="I25" s="9"/>
      <c r="J25" s="9"/>
      <c r="K25" s="9"/>
      <c r="L25" s="9"/>
      <c r="M25" s="9"/>
      <c r="N25" s="9"/>
      <c r="O25" s="9"/>
      <c r="P25" s="9">
        <f>2.5+0.53</f>
        <v>3.0300000000000002</v>
      </c>
      <c r="Q25" s="9">
        <f>16.39+20.96</f>
        <v>37.35</v>
      </c>
      <c r="R25" s="9">
        <f>F25-P25-Q25</f>
        <v>45.859999999999992</v>
      </c>
      <c r="S25" s="10"/>
      <c r="T25" t="s">
        <v>71</v>
      </c>
      <c r="Z25" s="59"/>
      <c r="AA25" s="56"/>
      <c r="AB25" s="5"/>
    </row>
    <row r="26" spans="1:29" x14ac:dyDescent="0.25">
      <c r="A26" s="39"/>
      <c r="B26" s="8"/>
      <c r="C26" s="8"/>
      <c r="D26" s="14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</row>
    <row r="27" spans="1:29" x14ac:dyDescent="0.25">
      <c r="A27" s="39"/>
      <c r="B27" s="8"/>
      <c r="C27" s="8"/>
      <c r="D27" s="14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</row>
    <row r="28" spans="1:29" x14ac:dyDescent="0.25">
      <c r="Y28">
        <f ca="1">_xlfn.DAYS(TODAY(),B33)</f>
        <v>455</v>
      </c>
      <c r="Z28" s="59">
        <f t="shared" ca="1" si="1"/>
        <v>0.29641693811074921</v>
      </c>
      <c r="AA28" s="56">
        <f ca="1">Z28*H33</f>
        <v>1509.3787622149839</v>
      </c>
      <c r="AB28" s="5"/>
    </row>
    <row r="29" spans="1:29" x14ac:dyDescent="0.25">
      <c r="H29" s="15">
        <f t="shared" ref="H29:O29" si="3">SUM(H3:H28)</f>
        <v>21656.039999999997</v>
      </c>
      <c r="I29" s="15">
        <f t="shared" si="3"/>
        <v>103.523</v>
      </c>
      <c r="J29" s="15">
        <f t="shared" si="3"/>
        <v>42.339399999999998</v>
      </c>
      <c r="K29" s="15">
        <f t="shared" si="3"/>
        <v>4129.1262000000006</v>
      </c>
      <c r="L29" s="15">
        <f t="shared" si="3"/>
        <v>4531.8</v>
      </c>
      <c r="M29" s="15">
        <f t="shared" si="3"/>
        <v>-33.988500000000002</v>
      </c>
      <c r="N29" s="15">
        <f t="shared" si="3"/>
        <v>-15.861300000000002</v>
      </c>
      <c r="O29" s="15">
        <f t="shared" si="3"/>
        <v>4481.9502000000002</v>
      </c>
      <c r="R29" s="15">
        <f>SUM(R3:R28)</f>
        <v>3571.3034679999992</v>
      </c>
      <c r="S29" s="16">
        <f>SUM(S3:S28)/7</f>
        <v>0.54861989434118641</v>
      </c>
      <c r="T29" s="16">
        <f>S29/4</f>
        <v>0.1371549735852966</v>
      </c>
      <c r="Y29">
        <f ca="1">SUM(Y3:Y28)</f>
        <v>2397</v>
      </c>
      <c r="Z29" s="59">
        <f ca="1">SUM(Z3:Z28)</f>
        <v>1.5615635179153098</v>
      </c>
      <c r="AA29" s="56">
        <f ca="1">SUM(AA3:AA28)</f>
        <v>4751.2764429967428</v>
      </c>
      <c r="AB29" s="3">
        <f ca="1">R29/AA29</f>
        <v>0.75165137428785211</v>
      </c>
      <c r="AC29" s="3">
        <f ca="1">AB29/(X1/365)</f>
        <v>0.17873143427691596</v>
      </c>
    </row>
    <row r="30" spans="1:29" x14ac:dyDescent="0.25">
      <c r="H30" s="52"/>
      <c r="I30" s="52"/>
      <c r="J30" s="52"/>
      <c r="K30" s="52"/>
      <c r="L30" s="52"/>
      <c r="M30" s="52"/>
      <c r="N30" s="52"/>
      <c r="O30" s="52"/>
      <c r="R30" s="52"/>
      <c r="S30" s="51"/>
      <c r="T30" s="51"/>
      <c r="U30">
        <v>0.24199999999999999</v>
      </c>
    </row>
    <row r="31" spans="1:29" x14ac:dyDescent="0.25">
      <c r="A31" s="39" t="str">
        <f>'Operacion 1'!B$3</f>
        <v>ABI.BR</v>
      </c>
      <c r="B31" s="8">
        <f>'Operacion 1'!B$2</f>
        <v>42234</v>
      </c>
      <c r="C31" s="8"/>
      <c r="D31" s="14">
        <f>'Operacion 1'!B$5</f>
        <v>62</v>
      </c>
      <c r="E31" s="9">
        <f>'Operacion 1'!B$4</f>
        <v>89</v>
      </c>
      <c r="F31" s="9">
        <f>'Operacion 1'!B$6</f>
        <v>120</v>
      </c>
      <c r="G31" s="10">
        <f>'Operacion 1'!B$7</f>
        <v>0.348314606741573</v>
      </c>
      <c r="H31" s="9">
        <f>(E31*D31)</f>
        <v>5518</v>
      </c>
      <c r="I31" s="9">
        <f>IF((H31*0.005)&lt;20,20,(H31*0.005))</f>
        <v>27.59</v>
      </c>
      <c r="J31" s="9">
        <f>SUM(H31:I31)*0.0027</f>
        <v>14.973093</v>
      </c>
      <c r="K31" s="9">
        <f>SUM(H31:J31)</f>
        <v>5560.5630929999998</v>
      </c>
      <c r="L31" s="9">
        <f>D31*F31</f>
        <v>7440</v>
      </c>
      <c r="M31" s="9">
        <f>IF((L31*0.005)&lt;20,-20,-(L31*0.005))</f>
        <v>-37.200000000000003</v>
      </c>
      <c r="N31" s="9">
        <f>-(SUM(L31:M31)*0.0027)</f>
        <v>-19.987560000000002</v>
      </c>
      <c r="O31" s="9">
        <f>SUM(L31:N31)</f>
        <v>7382.8124400000006</v>
      </c>
      <c r="P31" s="9">
        <f>I31-M31</f>
        <v>64.790000000000006</v>
      </c>
      <c r="Q31" s="9">
        <f>J31-N31</f>
        <v>34.960653000000001</v>
      </c>
      <c r="R31" s="9">
        <f t="shared" ref="R31:R32" si="4">O31-K31</f>
        <v>1822.2493470000009</v>
      </c>
      <c r="S31" s="10">
        <f>R31/K31</f>
        <v>0.32770949929404947</v>
      </c>
      <c r="T31" t="s">
        <v>109</v>
      </c>
      <c r="U31" t="s">
        <v>111</v>
      </c>
    </row>
    <row r="32" spans="1:29" x14ac:dyDescent="0.25">
      <c r="A32" s="39" t="str">
        <f>'Operacion 2'!B$3</f>
        <v>BMW.DE</v>
      </c>
      <c r="B32" s="8">
        <f>'Operacion 2'!B$2</f>
        <v>43605</v>
      </c>
      <c r="C32" s="8"/>
      <c r="D32" s="14">
        <f>'Operacion 2'!B$5</f>
        <v>62</v>
      </c>
      <c r="E32" s="9">
        <f>'Operacion 2'!B$4</f>
        <v>65.23</v>
      </c>
      <c r="F32" s="9">
        <f>'Operacion 2'!B$6</f>
        <v>76.03</v>
      </c>
      <c r="G32" s="10">
        <f>'Operacion 2'!B$7</f>
        <v>0.16556799018856339</v>
      </c>
      <c r="H32" s="9">
        <f t="shared" ref="H32:H33" si="5">E32*D32</f>
        <v>4044.26</v>
      </c>
      <c r="I32" s="9">
        <f>IF((H32*(0.0075))&lt;30,30,(H32*(0.0075)))</f>
        <v>30.331949999999999</v>
      </c>
      <c r="J32" s="9">
        <f>H32*0.0035</f>
        <v>14.154910000000001</v>
      </c>
      <c r="K32" s="9">
        <f t="shared" ref="K32:K33" si="6">SUM(H32:J32)</f>
        <v>4088.7468600000002</v>
      </c>
      <c r="L32" s="9">
        <f t="shared" ref="L32:L33" si="7">D32*F32</f>
        <v>4713.8599999999997</v>
      </c>
      <c r="M32" s="9">
        <f>IF((L32*(0.0075))&lt;30,-30,-(L32*(0.0075)))</f>
        <v>-35.353949999999998</v>
      </c>
      <c r="N32" s="9">
        <f>-(L32*0.0035)</f>
        <v>-16.49851</v>
      </c>
      <c r="O32" s="9">
        <f t="shared" ref="O32:O33" si="8">SUM(L32:N32)</f>
        <v>4662.0075399999996</v>
      </c>
      <c r="P32" s="9">
        <f t="shared" ref="P32:P33" si="9">I32-M32</f>
        <v>65.685900000000004</v>
      </c>
      <c r="Q32" s="9">
        <f t="shared" ref="Q32:Q33" si="10">J32-N32</f>
        <v>30.653420000000001</v>
      </c>
      <c r="R32" s="9">
        <f t="shared" si="4"/>
        <v>573.26067999999941</v>
      </c>
      <c r="S32" s="10">
        <f t="shared" ref="S32" si="11">R32/K32</f>
        <v>0.14020449287486567</v>
      </c>
      <c r="T32" t="s">
        <v>108</v>
      </c>
      <c r="U32" t="s">
        <v>111</v>
      </c>
    </row>
    <row r="33" spans="1:27" x14ac:dyDescent="0.25">
      <c r="A33" s="39" t="str">
        <f>'Operacion 3'!B3</f>
        <v>ITX.MC</v>
      </c>
      <c r="B33" s="8">
        <f>'Operacion 3'!B$2</f>
        <v>43154</v>
      </c>
      <c r="C33" s="8"/>
      <c r="D33" s="14">
        <f>'Operacion 3'!B$5</f>
        <v>196</v>
      </c>
      <c r="E33" s="9">
        <f>'Operacion 3'!B$4</f>
        <v>25.98</v>
      </c>
      <c r="F33" s="9">
        <f>'Operacion 3'!B$6</f>
        <v>30.27</v>
      </c>
      <c r="G33" s="10">
        <f>'Operacion 3'!B$7</f>
        <v>0.16512702078521935</v>
      </c>
      <c r="H33" s="9">
        <f t="shared" si="5"/>
        <v>5092.08</v>
      </c>
      <c r="I33" s="9">
        <f>IF((H33*(0.0075+0.0008))&lt;30,30,(H33*(0.0075+0.0008)))</f>
        <v>42.264263999999997</v>
      </c>
      <c r="J33" s="9">
        <f>H33*0.0027</f>
        <v>13.748616</v>
      </c>
      <c r="K33" s="9">
        <f t="shared" si="6"/>
        <v>5148.0928800000002</v>
      </c>
      <c r="L33" s="9">
        <f t="shared" si="7"/>
        <v>5932.92</v>
      </c>
      <c r="M33" s="9">
        <f>IF((L33*(0.0075))&lt;30,-30,-(L33*(0.0075)))</f>
        <v>-44.496899999999997</v>
      </c>
      <c r="N33" s="9">
        <f>-(L33*0.0035)</f>
        <v>-20.765219999999999</v>
      </c>
      <c r="O33" s="9">
        <f t="shared" si="8"/>
        <v>5867.6578799999997</v>
      </c>
      <c r="P33" s="9">
        <f t="shared" si="9"/>
        <v>86.761163999999994</v>
      </c>
      <c r="Q33" s="9">
        <f t="shared" si="10"/>
        <v>34.513835999999998</v>
      </c>
      <c r="R33" s="9">
        <f>O33-K33</f>
        <v>719.5649999999996</v>
      </c>
      <c r="S33" s="10">
        <f>R33/K33</f>
        <v>0.13977311924488814</v>
      </c>
      <c r="T33" t="s">
        <v>58</v>
      </c>
      <c r="U33" t="s">
        <v>111</v>
      </c>
      <c r="AA33" s="56"/>
    </row>
    <row r="34" spans="1:27" x14ac:dyDescent="0.25">
      <c r="R34" s="56">
        <f>R33+SUM(R19:R22)+R25</f>
        <v>804.01499999999965</v>
      </c>
      <c r="S34" s="10">
        <f>R34/K33</f>
        <v>0.1561772521866388</v>
      </c>
    </row>
    <row r="35" spans="1:27" x14ac:dyDescent="0.25">
      <c r="D35" s="48"/>
      <c r="H35" s="48"/>
      <c r="I35" s="48"/>
      <c r="J35" s="48"/>
      <c r="K35" s="48"/>
      <c r="L35" s="48"/>
      <c r="M35" s="48"/>
      <c r="N35" s="48"/>
      <c r="O35" s="48"/>
      <c r="R35" s="48"/>
    </row>
    <row r="36" spans="1:27" x14ac:dyDescent="0.25">
      <c r="F36" s="5"/>
      <c r="G36" s="48"/>
      <c r="U36" t="s">
        <v>46</v>
      </c>
    </row>
    <row r="37" spans="1:27" x14ac:dyDescent="0.25">
      <c r="T37" t="s">
        <v>68</v>
      </c>
      <c r="U37">
        <v>26.25</v>
      </c>
      <c r="AA37" s="56"/>
    </row>
    <row r="38" spans="1:27" x14ac:dyDescent="0.25">
      <c r="H38" s="5"/>
      <c r="I38" s="5"/>
      <c r="J38" s="5"/>
      <c r="K38" s="5"/>
      <c r="L38" s="5"/>
      <c r="M38" s="5"/>
      <c r="N38" s="5"/>
      <c r="O38" s="5"/>
      <c r="P38" s="5"/>
      <c r="R38" s="5"/>
      <c r="T38" t="s">
        <v>66</v>
      </c>
      <c r="U38">
        <v>30.27</v>
      </c>
      <c r="W38" t="s">
        <v>113</v>
      </c>
    </row>
    <row r="39" spans="1:27" x14ac:dyDescent="0.25">
      <c r="D39" t="s">
        <v>62</v>
      </c>
      <c r="E39">
        <v>74.89</v>
      </c>
      <c r="F39">
        <v>52</v>
      </c>
      <c r="G39" s="10">
        <f>1-(F39/E39)</f>
        <v>0.30564828415008682</v>
      </c>
      <c r="N39">
        <v>6769.84</v>
      </c>
      <c r="O39">
        <v>74.459999999999994</v>
      </c>
      <c r="P39" s="5">
        <v>6695.38</v>
      </c>
      <c r="S39" s="10"/>
      <c r="T39" t="s">
        <v>67</v>
      </c>
      <c r="U39" s="3">
        <f>(U38/U37)-1</f>
        <v>0.15314285714285703</v>
      </c>
      <c r="V39" s="3"/>
      <c r="W39" t="s">
        <v>81</v>
      </c>
    </row>
    <row r="40" spans="1:27" x14ac:dyDescent="0.25">
      <c r="D40" t="s">
        <v>61</v>
      </c>
      <c r="E40">
        <v>182.08</v>
      </c>
      <c r="F40">
        <v>126</v>
      </c>
      <c r="G40" s="10">
        <f>1-(F40/E40)</f>
        <v>0.30799648506151145</v>
      </c>
      <c r="H40" s="5"/>
      <c r="I40" s="5"/>
      <c r="J40" s="5"/>
      <c r="K40" s="5"/>
      <c r="L40" s="5"/>
      <c r="M40" s="5"/>
      <c r="N40" s="5"/>
      <c r="O40" s="5"/>
      <c r="P40" s="5">
        <f>P39-K33</f>
        <v>1547.28712</v>
      </c>
      <c r="R40" s="5"/>
    </row>
    <row r="41" spans="1:27" x14ac:dyDescent="0.25">
      <c r="D41" t="s">
        <v>63</v>
      </c>
      <c r="E41">
        <v>93.54</v>
      </c>
      <c r="F41">
        <v>65</v>
      </c>
      <c r="G41" s="10">
        <f>1-(F41/E41)</f>
        <v>0.30511011332050464</v>
      </c>
      <c r="H41" s="9"/>
      <c r="I41" s="9"/>
      <c r="J41" s="9"/>
      <c r="K41" s="5"/>
      <c r="P41" s="56">
        <f>P40*0.1</f>
        <v>154.728712</v>
      </c>
    </row>
    <row r="42" spans="1:27" x14ac:dyDescent="0.25">
      <c r="C42" t="s">
        <v>107</v>
      </c>
      <c r="E42">
        <v>20</v>
      </c>
      <c r="F42">
        <v>14</v>
      </c>
      <c r="G42" s="10">
        <f>1-(F42/E42)</f>
        <v>0.30000000000000004</v>
      </c>
      <c r="P42" s="56">
        <f>P40-P41</f>
        <v>1392.5584079999999</v>
      </c>
      <c r="R42" s="43"/>
    </row>
    <row r="43" spans="1:27" x14ac:dyDescent="0.25">
      <c r="F43" s="5"/>
      <c r="R43" s="9"/>
      <c r="S43">
        <f>(0.00242*12)</f>
        <v>2.9039999999999996E-2</v>
      </c>
    </row>
    <row r="44" spans="1:27" x14ac:dyDescent="0.25">
      <c r="O44" s="9"/>
      <c r="R44" s="45"/>
      <c r="S44">
        <f>4700*S43</f>
        <v>136.48799999999997</v>
      </c>
    </row>
    <row r="45" spans="1:27" x14ac:dyDescent="0.25">
      <c r="P45" s="3"/>
      <c r="R45" s="50" t="s">
        <v>119</v>
      </c>
      <c r="S45" s="48" t="s">
        <v>120</v>
      </c>
      <c r="T45" s="5"/>
    </row>
    <row r="46" spans="1:27" ht="15.75" x14ac:dyDescent="0.25">
      <c r="F46" s="5"/>
      <c r="Q46" t="s">
        <v>116</v>
      </c>
      <c r="R46" s="57" t="s">
        <v>148</v>
      </c>
      <c r="S46" s="49"/>
      <c r="T46" s="5"/>
    </row>
    <row r="47" spans="1:27" x14ac:dyDescent="0.25">
      <c r="E47" s="5"/>
      <c r="F47" s="5"/>
      <c r="Q47" t="s">
        <v>117</v>
      </c>
      <c r="R47" s="57" t="s">
        <v>118</v>
      </c>
      <c r="S47" t="s">
        <v>121</v>
      </c>
    </row>
    <row r="48" spans="1:27" x14ac:dyDescent="0.25">
      <c r="E48" s="5"/>
      <c r="F48" s="5"/>
      <c r="G48" s="5"/>
      <c r="J48" t="s">
        <v>122</v>
      </c>
      <c r="R48" s="5"/>
      <c r="S48" t="s">
        <v>135</v>
      </c>
      <c r="T48" s="5"/>
    </row>
    <row r="49" spans="10:19" x14ac:dyDescent="0.25">
      <c r="J49" s="58">
        <v>43587</v>
      </c>
      <c r="R49" s="43"/>
    </row>
    <row r="50" spans="10:19" x14ac:dyDescent="0.25">
      <c r="J50" t="s">
        <v>123</v>
      </c>
      <c r="R50" s="44"/>
    </row>
    <row r="51" spans="10:19" x14ac:dyDescent="0.25">
      <c r="J51" t="s">
        <v>124</v>
      </c>
      <c r="L51" t="s">
        <v>147</v>
      </c>
      <c r="R51" s="57"/>
      <c r="S51">
        <f>5000/12</f>
        <v>416.66666666666669</v>
      </c>
    </row>
    <row r="52" spans="10:19" x14ac:dyDescent="0.25">
      <c r="J52" t="s">
        <v>125</v>
      </c>
      <c r="S52">
        <f>2.2/S51</f>
        <v>5.28E-3</v>
      </c>
    </row>
    <row r="53" spans="10:19" x14ac:dyDescent="0.25">
      <c r="J53" t="s">
        <v>126</v>
      </c>
      <c r="S53">
        <f>100*S52</f>
        <v>0.52800000000000002</v>
      </c>
    </row>
    <row r="54" spans="10:19" x14ac:dyDescent="0.25">
      <c r="J54" t="s">
        <v>127</v>
      </c>
      <c r="S54">
        <f>2.2*12</f>
        <v>26.400000000000002</v>
      </c>
    </row>
    <row r="55" spans="10:19" x14ac:dyDescent="0.25">
      <c r="J55" t="s">
        <v>128</v>
      </c>
    </row>
    <row r="56" spans="10:19" x14ac:dyDescent="0.25">
      <c r="J56" t="s">
        <v>129</v>
      </c>
    </row>
    <row r="57" spans="10:19" x14ac:dyDescent="0.25">
      <c r="J57" t="s">
        <v>130</v>
      </c>
    </row>
    <row r="58" spans="10:19" x14ac:dyDescent="0.25">
      <c r="J58" t="s">
        <v>131</v>
      </c>
    </row>
    <row r="59" spans="10:19" x14ac:dyDescent="0.25">
      <c r="J59" t="s">
        <v>132</v>
      </c>
    </row>
    <row r="60" spans="10:19" x14ac:dyDescent="0.25">
      <c r="J60" t="s">
        <v>133</v>
      </c>
    </row>
    <row r="61" spans="10:19" x14ac:dyDescent="0.25">
      <c r="J61" t="s">
        <v>134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1EA0-B43D-4A2A-807D-31E3E3AB62CB}">
  <dimension ref="A1:AD102"/>
  <sheetViews>
    <sheetView workbookViewId="0">
      <selection activeCell="K17" sqref="K17"/>
    </sheetView>
  </sheetViews>
  <sheetFormatPr defaultColWidth="11.42578125" defaultRowHeight="15" x14ac:dyDescent="0.25"/>
  <cols>
    <col min="3" max="3" width="19.140625" customWidth="1"/>
    <col min="4" max="4" width="14.140625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19" x14ac:dyDescent="0.25">
      <c r="A1" s="71" t="s">
        <v>157</v>
      </c>
      <c r="B1" s="71"/>
      <c r="C1" s="73"/>
      <c r="D1" s="73"/>
      <c r="E1" s="72"/>
      <c r="F1" s="67" t="s">
        <v>47</v>
      </c>
      <c r="G1" s="68"/>
      <c r="H1" s="68"/>
      <c r="I1" s="68"/>
      <c r="J1" s="68"/>
      <c r="K1" s="76" t="s">
        <v>52</v>
      </c>
      <c r="L1" s="70"/>
      <c r="M1" s="70"/>
      <c r="N1" s="78"/>
      <c r="O1" s="80" t="s">
        <v>54</v>
      </c>
      <c r="P1" s="69"/>
      <c r="Q1" s="81"/>
      <c r="R1" s="82"/>
    </row>
    <row r="2" spans="1:19" x14ac:dyDescent="0.25">
      <c r="A2" s="66" t="s">
        <v>149</v>
      </c>
      <c r="B2" s="66" t="s">
        <v>14</v>
      </c>
      <c r="C2" s="66" t="s">
        <v>160</v>
      </c>
      <c r="D2" s="66" t="s">
        <v>162</v>
      </c>
      <c r="E2" s="66" t="s">
        <v>156</v>
      </c>
      <c r="F2" s="65" t="s">
        <v>158</v>
      </c>
      <c r="G2" s="60" t="s">
        <v>150</v>
      </c>
      <c r="H2" s="60" t="s">
        <v>22</v>
      </c>
      <c r="I2" s="60" t="s">
        <v>151</v>
      </c>
      <c r="J2" s="60" t="s">
        <v>152</v>
      </c>
      <c r="K2" s="77" t="s">
        <v>158</v>
      </c>
      <c r="L2" s="61" t="s">
        <v>150</v>
      </c>
      <c r="M2" s="61" t="s">
        <v>151</v>
      </c>
      <c r="N2" s="79" t="s">
        <v>152</v>
      </c>
      <c r="O2" s="83" t="s">
        <v>152</v>
      </c>
      <c r="P2" s="62" t="s">
        <v>153</v>
      </c>
      <c r="Q2" s="62" t="s">
        <v>154</v>
      </c>
      <c r="R2" s="84" t="s">
        <v>155</v>
      </c>
      <c r="S2" s="63"/>
    </row>
    <row r="3" spans="1:19" x14ac:dyDescent="0.25">
      <c r="A3" s="85" t="s">
        <v>159</v>
      </c>
      <c r="B3" s="85" t="s">
        <v>60</v>
      </c>
      <c r="C3" s="86">
        <v>5600</v>
      </c>
      <c r="D3" s="75">
        <f>C3-E3</f>
        <v>39.511400000000322</v>
      </c>
      <c r="E3" s="75">
        <f>I3-J3</f>
        <v>5560.4885999999997</v>
      </c>
      <c r="F3" s="90">
        <v>42209</v>
      </c>
      <c r="G3" s="86">
        <v>89</v>
      </c>
      <c r="H3" s="87">
        <f>TRUNC(C3/G3)</f>
        <v>62</v>
      </c>
      <c r="I3" s="75">
        <f>(G3*H3)</f>
        <v>5518</v>
      </c>
      <c r="J3" s="75">
        <f>-(IF((I3*0.005)&lt;20,20,(I3*0.005))+(I3*0.0027))</f>
        <v>-42.488599999999998</v>
      </c>
      <c r="K3" s="90"/>
      <c r="L3" s="86">
        <v>120</v>
      </c>
      <c r="M3" s="75">
        <f>(H3*L3)</f>
        <v>7440</v>
      </c>
      <c r="N3" s="75">
        <f>-(IF((M3*0.005)&lt;20,20,(M3*0.005)) + (M3*0.0027))</f>
        <v>-57.288000000000004</v>
      </c>
      <c r="O3" s="88">
        <f>J3+N3</f>
        <v>-99.776600000000002</v>
      </c>
      <c r="P3" s="97">
        <f>M3-I3+N3</f>
        <v>1864.712</v>
      </c>
      <c r="Q3" s="98">
        <f>P3/E3</f>
        <v>0.33535038629518998</v>
      </c>
      <c r="R3" s="100"/>
    </row>
    <row r="4" spans="1:19" x14ac:dyDescent="0.25">
      <c r="A4" s="85" t="s">
        <v>161</v>
      </c>
      <c r="B4" s="85" t="s">
        <v>136</v>
      </c>
      <c r="C4" s="86">
        <v>4090</v>
      </c>
      <c r="D4" s="75">
        <f t="shared" ref="D4:D5" si="0">C4-E4</f>
        <v>1.253139999999803</v>
      </c>
      <c r="E4" s="75">
        <f>I4-J4</f>
        <v>4088.7468600000002</v>
      </c>
      <c r="F4" s="91">
        <v>43605</v>
      </c>
      <c r="G4" s="86">
        <v>65.23</v>
      </c>
      <c r="H4" s="87">
        <f>TRUNC(C4/G4)</f>
        <v>62</v>
      </c>
      <c r="I4" s="75">
        <f>(G4*H4)</f>
        <v>4044.26</v>
      </c>
      <c r="J4" s="75">
        <f>-(IF((I4*0.0075)&lt;30,30,(I4*0.0075))+(I4*0.0035))</f>
        <v>-44.48686</v>
      </c>
      <c r="K4" s="91"/>
      <c r="L4" s="86">
        <v>73.97</v>
      </c>
      <c r="M4" s="75">
        <f>(H4*L4)</f>
        <v>4586.1400000000003</v>
      </c>
      <c r="N4" s="75">
        <f>-(IF((M4*0.0075)&lt;30,30,(M4*0.0075)) + (M4*0.0035))</f>
        <v>-50.447540000000004</v>
      </c>
      <c r="O4" s="89">
        <f>J4+N4</f>
        <v>-94.934400000000011</v>
      </c>
      <c r="P4" s="93">
        <f>M4-E4+N4</f>
        <v>446.94560000000013</v>
      </c>
      <c r="Q4" s="99">
        <f>P4/E4</f>
        <v>0.109311144784346</v>
      </c>
      <c r="R4" s="101"/>
    </row>
    <row r="5" spans="1:19" x14ac:dyDescent="0.25">
      <c r="A5" s="85" t="s">
        <v>161</v>
      </c>
      <c r="B5" s="85" t="s">
        <v>46</v>
      </c>
      <c r="C5" s="86">
        <v>5100</v>
      </c>
      <c r="D5" s="75">
        <f t="shared" si="0"/>
        <v>-48.09288000000015</v>
      </c>
      <c r="E5" s="75">
        <f>I5-J5</f>
        <v>5148.0928800000002</v>
      </c>
      <c r="F5" s="91">
        <v>43154</v>
      </c>
      <c r="G5" s="86">
        <v>25.98</v>
      </c>
      <c r="H5" s="87">
        <f>TRUNC(C5/G5)</f>
        <v>196</v>
      </c>
      <c r="I5" s="75">
        <f>(G5*H5)</f>
        <v>5092.08</v>
      </c>
      <c r="J5" s="75">
        <f>-(IF((I5*0.0075)&lt;30,30,(I5*0.0075))+(I5*0.0035))</f>
        <v>-56.012879999999996</v>
      </c>
      <c r="K5" s="91"/>
      <c r="L5" s="86">
        <v>30.27</v>
      </c>
      <c r="M5" s="75">
        <f>(H5*L5)</f>
        <v>5932.92</v>
      </c>
      <c r="N5" s="75">
        <f>-(IF((M5*0.0075)&lt;30,30,(M5*0.0075)) + (M5*0.0035))</f>
        <v>-65.262119999999996</v>
      </c>
      <c r="O5" s="89">
        <f>J5+N5</f>
        <v>-121.27499999999999</v>
      </c>
      <c r="P5" s="93">
        <f>M5-E5+N5</f>
        <v>719.56499999999994</v>
      </c>
      <c r="Q5" s="99">
        <f>P5/E5</f>
        <v>0.13977311924488819</v>
      </c>
      <c r="R5" s="101"/>
    </row>
    <row r="6" spans="1:19" x14ac:dyDescent="0.25">
      <c r="A6" s="85"/>
      <c r="B6" s="85"/>
      <c r="C6" s="86"/>
      <c r="D6" s="75"/>
      <c r="E6" s="75"/>
      <c r="F6" s="91"/>
      <c r="G6" s="94"/>
      <c r="H6" s="95"/>
      <c r="I6" s="93"/>
      <c r="J6" s="96"/>
      <c r="K6" s="92"/>
      <c r="L6" s="86"/>
      <c r="M6" s="75"/>
      <c r="N6" s="75"/>
      <c r="O6" s="89"/>
      <c r="P6" s="93"/>
      <c r="Q6" s="99"/>
      <c r="R6" s="101"/>
    </row>
    <row r="7" spans="1:19" x14ac:dyDescent="0.25">
      <c r="A7" s="85"/>
      <c r="B7" s="85"/>
      <c r="C7" s="86"/>
      <c r="D7" s="75"/>
      <c r="E7" s="75"/>
      <c r="F7" s="91"/>
      <c r="G7" s="94"/>
      <c r="H7" s="95"/>
      <c r="I7" s="93"/>
      <c r="J7" s="96"/>
      <c r="K7" s="92"/>
      <c r="L7" s="86"/>
      <c r="M7" s="75"/>
      <c r="N7" s="75"/>
      <c r="O7" s="89"/>
      <c r="P7" s="93"/>
      <c r="Q7" s="99"/>
      <c r="R7" s="101"/>
    </row>
    <row r="8" spans="1:19" x14ac:dyDescent="0.25">
      <c r="A8" s="85"/>
      <c r="B8" s="85"/>
      <c r="C8" s="86"/>
      <c r="D8" s="75"/>
      <c r="E8" s="75"/>
      <c r="F8" s="91"/>
      <c r="G8" s="94"/>
      <c r="H8" s="95"/>
      <c r="I8" s="93"/>
      <c r="J8" s="96"/>
      <c r="K8" s="92"/>
      <c r="L8" s="86"/>
      <c r="M8" s="75"/>
      <c r="N8" s="75"/>
      <c r="O8" s="89"/>
      <c r="P8" s="93"/>
      <c r="Q8" s="99"/>
      <c r="R8" s="101"/>
    </row>
    <row r="9" spans="1:19" x14ac:dyDescent="0.25">
      <c r="A9" s="111"/>
      <c r="B9" s="111"/>
      <c r="C9" s="112"/>
      <c r="D9" s="113"/>
      <c r="E9" s="113"/>
      <c r="F9" s="114"/>
      <c r="G9" s="112"/>
      <c r="H9" s="115"/>
      <c r="I9" s="113"/>
      <c r="J9" s="116"/>
      <c r="K9" s="117"/>
      <c r="L9" s="112"/>
      <c r="M9" s="113"/>
      <c r="N9" s="113"/>
      <c r="O9" s="118"/>
      <c r="P9" s="113"/>
      <c r="Q9" s="119"/>
      <c r="R9" s="120"/>
    </row>
    <row r="10" spans="1:19" x14ac:dyDescent="0.25">
      <c r="A10" s="135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</row>
    <row r="11" spans="1:19" x14ac:dyDescent="0.25">
      <c r="A11" s="133" t="s">
        <v>163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</row>
    <row r="12" spans="1:19" x14ac:dyDescent="0.25">
      <c r="A12" s="102" t="s">
        <v>149</v>
      </c>
      <c r="B12" s="102" t="s">
        <v>14</v>
      </c>
      <c r="C12" s="102" t="s">
        <v>160</v>
      </c>
      <c r="D12" s="102" t="s">
        <v>162</v>
      </c>
      <c r="E12" s="102" t="s">
        <v>156</v>
      </c>
      <c r="F12" s="103" t="s">
        <v>158</v>
      </c>
      <c r="G12" s="104" t="s">
        <v>150</v>
      </c>
      <c r="H12" s="104" t="s">
        <v>22</v>
      </c>
      <c r="I12" s="104" t="s">
        <v>151</v>
      </c>
      <c r="J12" s="104" t="s">
        <v>152</v>
      </c>
      <c r="K12" s="105" t="s">
        <v>158</v>
      </c>
      <c r="L12" s="106" t="s">
        <v>150</v>
      </c>
      <c r="M12" s="106" t="s">
        <v>151</v>
      </c>
      <c r="N12" s="107" t="s">
        <v>152</v>
      </c>
      <c r="O12" s="108" t="s">
        <v>152</v>
      </c>
      <c r="P12" s="109" t="s">
        <v>153</v>
      </c>
      <c r="Q12" s="109" t="s">
        <v>154</v>
      </c>
      <c r="R12" s="110" t="s">
        <v>155</v>
      </c>
      <c r="S12" s="63"/>
    </row>
    <row r="13" spans="1:19" x14ac:dyDescent="0.25">
      <c r="A13" s="85" t="s">
        <v>159</v>
      </c>
      <c r="B13" s="85" t="s">
        <v>33</v>
      </c>
      <c r="C13" s="86">
        <v>4000</v>
      </c>
      <c r="D13" s="75">
        <f>C13-E13</f>
        <v>-19.268950000000132</v>
      </c>
      <c r="E13" s="121">
        <f>I13-J13</f>
        <v>4019.2689500000001</v>
      </c>
      <c r="F13" s="8">
        <v>42074</v>
      </c>
      <c r="G13" s="86">
        <v>26.59</v>
      </c>
      <c r="H13" s="87">
        <f>TRUNC(C13/G13)</f>
        <v>150</v>
      </c>
      <c r="I13" s="75">
        <f>(G13*H13)</f>
        <v>3988.5</v>
      </c>
      <c r="J13" s="75">
        <f>-(IF((I13*0.005)&lt;20,20,(I13*0.005))+(I13*0.0027))</f>
        <v>-30.76895</v>
      </c>
      <c r="K13" s="90">
        <v>42136</v>
      </c>
      <c r="L13" s="86">
        <v>25.261599999999998</v>
      </c>
      <c r="M13" s="75">
        <f>(H13*L13)</f>
        <v>3789.24</v>
      </c>
      <c r="N13" s="75">
        <f>-(IF((M13*0.005)&lt;20,20,(M13*0.005)) + (M13*0.0027))</f>
        <v>-30.230947999999998</v>
      </c>
      <c r="O13" s="88">
        <v>-61.54</v>
      </c>
      <c r="P13" s="97">
        <v>-334.54</v>
      </c>
      <c r="Q13" s="98">
        <v>-6.54E-2</v>
      </c>
      <c r="R13" s="100" t="s">
        <v>33</v>
      </c>
    </row>
    <row r="14" spans="1:19" x14ac:dyDescent="0.25">
      <c r="A14" s="85" t="s">
        <v>159</v>
      </c>
      <c r="B14" s="85" t="s">
        <v>33</v>
      </c>
      <c r="C14" s="86"/>
      <c r="D14" s="75"/>
      <c r="E14" s="96">
        <v>4019.2689500000001</v>
      </c>
      <c r="F14" s="8"/>
      <c r="G14" s="86"/>
      <c r="H14" s="87"/>
      <c r="I14" s="75"/>
      <c r="J14" s="75"/>
      <c r="K14" s="91"/>
      <c r="L14" s="86"/>
      <c r="M14" s="75"/>
      <c r="N14" s="75"/>
      <c r="O14" s="89"/>
      <c r="P14" s="93">
        <v>73.47</v>
      </c>
      <c r="Q14" s="99">
        <f>P14/E14</f>
        <v>1.8279443578912528E-2</v>
      </c>
      <c r="R14" s="101" t="s">
        <v>72</v>
      </c>
    </row>
    <row r="15" spans="1:19" x14ac:dyDescent="0.25">
      <c r="A15" s="85" t="s">
        <v>159</v>
      </c>
      <c r="B15" s="85" t="s">
        <v>39</v>
      </c>
      <c r="C15" s="86"/>
      <c r="D15" s="75"/>
      <c r="E15" s="96"/>
      <c r="F15" s="8">
        <v>42143</v>
      </c>
      <c r="G15" s="86">
        <v>39.229999999999997</v>
      </c>
      <c r="H15" s="87">
        <v>102</v>
      </c>
      <c r="I15" s="75">
        <v>4001.4599999999996</v>
      </c>
      <c r="J15" s="75"/>
      <c r="K15" s="91">
        <v>42198</v>
      </c>
      <c r="L15" s="86">
        <v>40</v>
      </c>
      <c r="M15" s="75"/>
      <c r="N15" s="75"/>
      <c r="O15" s="89"/>
      <c r="P15" s="93"/>
      <c r="Q15" s="99">
        <v>4.2278358399185385E-3</v>
      </c>
      <c r="R15" s="101" t="s">
        <v>39</v>
      </c>
    </row>
    <row r="16" spans="1:19" x14ac:dyDescent="0.25">
      <c r="A16" s="85" t="s">
        <v>159</v>
      </c>
      <c r="B16" s="85" t="s">
        <v>24</v>
      </c>
      <c r="C16" s="86"/>
      <c r="D16" s="75"/>
      <c r="E16" s="96"/>
      <c r="F16" s="8">
        <v>42209</v>
      </c>
      <c r="G16" s="86">
        <v>7.9</v>
      </c>
      <c r="H16" s="87">
        <v>507</v>
      </c>
      <c r="I16" s="75">
        <v>4005.3</v>
      </c>
      <c r="J16" s="75"/>
      <c r="K16" s="91">
        <v>42223</v>
      </c>
      <c r="L16" s="86">
        <v>8.82</v>
      </c>
      <c r="M16" s="75"/>
      <c r="N16" s="75"/>
      <c r="O16" s="89">
        <v>-61.68</v>
      </c>
      <c r="P16" s="93">
        <v>404.75837999999931</v>
      </c>
      <c r="Q16" s="99">
        <v>0.10105569620253146</v>
      </c>
      <c r="R16" s="101" t="s">
        <v>24</v>
      </c>
    </row>
    <row r="17" spans="1:18" x14ac:dyDescent="0.25">
      <c r="A17" s="85"/>
      <c r="B17" s="85"/>
      <c r="C17" s="86"/>
      <c r="D17" s="75"/>
      <c r="E17" s="96"/>
      <c r="F17" s="8"/>
      <c r="G17" s="86"/>
      <c r="H17" s="87"/>
      <c r="I17" s="75"/>
      <c r="J17" s="75"/>
      <c r="K17" s="91"/>
      <c r="L17" s="86"/>
      <c r="M17" s="75"/>
      <c r="N17" s="75"/>
      <c r="O17" s="89"/>
      <c r="P17" s="93">
        <v>0.12</v>
      </c>
      <c r="Q17" s="99"/>
      <c r="R17" s="101" t="s">
        <v>41</v>
      </c>
    </row>
    <row r="18" spans="1:18" x14ac:dyDescent="0.25">
      <c r="A18" s="85"/>
      <c r="B18" s="85"/>
      <c r="C18" s="86"/>
      <c r="D18" s="75"/>
      <c r="E18" s="96"/>
      <c r="F18" s="91"/>
      <c r="G18" s="86"/>
      <c r="H18" s="87"/>
      <c r="I18" s="75">
        <v>4389.6000000000004</v>
      </c>
      <c r="J18" s="75"/>
      <c r="K18" s="91"/>
      <c r="L18" s="86"/>
      <c r="M18" s="75"/>
      <c r="N18" s="75"/>
      <c r="O18" s="89"/>
      <c r="P18" s="93">
        <v>-27.23</v>
      </c>
      <c r="Q18" s="99"/>
      <c r="R18" s="101" t="s">
        <v>164</v>
      </c>
    </row>
    <row r="19" spans="1:18" x14ac:dyDescent="0.25">
      <c r="A19" s="85" t="s">
        <v>159</v>
      </c>
      <c r="B19" s="85" t="s">
        <v>24</v>
      </c>
      <c r="C19" s="86">
        <v>4400</v>
      </c>
      <c r="D19" s="75">
        <f>C19-E19</f>
        <v>-23.399920000000748</v>
      </c>
      <c r="E19" s="75">
        <f>I19-J19</f>
        <v>4423.3999200000007</v>
      </c>
      <c r="F19" s="91">
        <v>42234</v>
      </c>
      <c r="G19" s="86">
        <v>23.6</v>
      </c>
      <c r="H19" s="87">
        <f>TRUNC(C19/G19)</f>
        <v>186</v>
      </c>
      <c r="I19" s="75">
        <f>(G19*H19)</f>
        <v>4389.6000000000004</v>
      </c>
      <c r="J19" s="75">
        <f>-(IF((I19*0.005)&lt;20,20,(I19*0.005))+(I19*0.0027))</f>
        <v>-33.799920000000007</v>
      </c>
      <c r="K19" s="91">
        <v>43103</v>
      </c>
      <c r="L19" s="86">
        <v>28.52</v>
      </c>
      <c r="M19" s="75">
        <f>(H19*L19)</f>
        <v>5304.72</v>
      </c>
      <c r="N19" s="75">
        <f>-(IF((M19*0.005)&lt;20,20,(M19*0.005)) + (M19*0.0027))</f>
        <v>-40.846344000000002</v>
      </c>
      <c r="O19" s="89">
        <f>J19+N19</f>
        <v>-74.646264000000002</v>
      </c>
      <c r="P19" s="93">
        <v>840.47373599999992</v>
      </c>
      <c r="Q19" s="99">
        <v>0.19146932203389827</v>
      </c>
      <c r="R19" s="101" t="s">
        <v>24</v>
      </c>
    </row>
    <row r="20" spans="1:18" x14ac:dyDescent="0.25">
      <c r="A20" s="85" t="s">
        <v>159</v>
      </c>
      <c r="B20" s="85" t="s">
        <v>24</v>
      </c>
      <c r="C20" s="86"/>
      <c r="D20" s="75"/>
      <c r="E20" s="75">
        <v>4423.3999200000007</v>
      </c>
      <c r="F20" s="91"/>
      <c r="G20" s="86"/>
      <c r="H20" s="87"/>
      <c r="I20" s="75"/>
      <c r="J20" s="75"/>
      <c r="K20" s="91"/>
      <c r="L20" s="86"/>
      <c r="M20" s="75"/>
      <c r="N20" s="75"/>
      <c r="O20" s="89"/>
      <c r="P20" s="93">
        <v>188.26</v>
      </c>
      <c r="Q20" s="99">
        <f>P20/E20</f>
        <v>4.2560022472487621E-2</v>
      </c>
      <c r="R20" s="101" t="s">
        <v>43</v>
      </c>
    </row>
    <row r="21" spans="1:18" x14ac:dyDescent="0.25">
      <c r="A21" s="85"/>
      <c r="B21" s="85"/>
      <c r="C21" s="86"/>
      <c r="D21" s="75"/>
      <c r="E21" s="96"/>
      <c r="F21" s="8"/>
      <c r="G21" s="86"/>
      <c r="H21" s="87"/>
      <c r="I21" s="75"/>
      <c r="J21" s="75"/>
      <c r="K21" s="91"/>
      <c r="L21" s="86"/>
      <c r="M21" s="75"/>
      <c r="N21" s="75"/>
      <c r="O21" s="89"/>
      <c r="P21" s="93">
        <v>-0.08</v>
      </c>
      <c r="Q21" s="99"/>
      <c r="R21" s="101" t="s">
        <v>41</v>
      </c>
    </row>
    <row r="22" spans="1:18" x14ac:dyDescent="0.25">
      <c r="A22" s="85"/>
      <c r="B22" s="85"/>
      <c r="C22" s="86"/>
      <c r="D22" s="75"/>
      <c r="E22" s="96"/>
      <c r="F22" s="8"/>
      <c r="G22" s="86"/>
      <c r="H22" s="87"/>
      <c r="I22" s="75"/>
      <c r="J22" s="75"/>
      <c r="K22" s="91"/>
      <c r="L22" s="86"/>
      <c r="M22" s="75"/>
      <c r="N22" s="75"/>
      <c r="O22" s="89"/>
      <c r="P22" s="93">
        <v>-24.2</v>
      </c>
      <c r="Q22" s="99"/>
      <c r="R22" s="101" t="s">
        <v>165</v>
      </c>
    </row>
    <row r="23" spans="1:18" x14ac:dyDescent="0.25">
      <c r="A23" s="85" t="s">
        <v>159</v>
      </c>
      <c r="B23" s="85" t="s">
        <v>24</v>
      </c>
      <c r="C23" s="86"/>
      <c r="D23" s="75"/>
      <c r="E23" s="96">
        <v>4423.3999200000007</v>
      </c>
      <c r="F23" s="8"/>
      <c r="G23" s="86"/>
      <c r="H23" s="87"/>
      <c r="I23" s="75"/>
      <c r="J23" s="75"/>
      <c r="K23" s="91"/>
      <c r="L23" s="86"/>
      <c r="M23" s="75"/>
      <c r="N23" s="75"/>
      <c r="O23" s="89"/>
      <c r="P23" s="93">
        <v>27</v>
      </c>
      <c r="Q23" s="99">
        <f>P23/E23</f>
        <v>6.1039020862486242E-3</v>
      </c>
      <c r="R23" s="101" t="s">
        <v>44</v>
      </c>
    </row>
    <row r="24" spans="1:18" x14ac:dyDescent="0.25">
      <c r="A24" s="85" t="s">
        <v>159</v>
      </c>
      <c r="B24" s="85" t="s">
        <v>24</v>
      </c>
      <c r="C24" s="86">
        <v>600</v>
      </c>
      <c r="D24" s="75">
        <f>C24-E24</f>
        <v>-7.9632259999999633</v>
      </c>
      <c r="E24" s="75">
        <f>I24-J24</f>
        <v>607.96322599999996</v>
      </c>
      <c r="F24" s="91">
        <v>43154</v>
      </c>
      <c r="G24" s="86">
        <v>20.22</v>
      </c>
      <c r="H24" s="87">
        <f>TRUNC(C24/G24)</f>
        <v>29</v>
      </c>
      <c r="I24" s="75">
        <f>(G24*H24)</f>
        <v>586.38</v>
      </c>
      <c r="J24" s="75">
        <f>-(IF((I24*0.005)&lt;20,20,(I24*0.005))+(I24*0.0027))</f>
        <v>-21.583226</v>
      </c>
      <c r="K24" s="91">
        <v>43442</v>
      </c>
      <c r="L24" s="86">
        <v>26.49</v>
      </c>
      <c r="M24" s="75">
        <f>(H24*L24)</f>
        <v>768.20999999999992</v>
      </c>
      <c r="N24" s="75">
        <f>-(IF((M24*0.005)&lt;20,20,(M24*0.005)) + (M24*0.0027))</f>
        <v>-22.074166999999999</v>
      </c>
      <c r="O24" s="89">
        <f>J24+N24</f>
        <v>-43.657392999999999</v>
      </c>
      <c r="P24" s="93">
        <f>M24-E24+N24</f>
        <v>138.17260699999997</v>
      </c>
      <c r="Q24" s="99">
        <f>P24/E24</f>
        <v>0.22727132347968687</v>
      </c>
      <c r="R24" s="101" t="s">
        <v>24</v>
      </c>
    </row>
    <row r="25" spans="1:18" x14ac:dyDescent="0.25">
      <c r="A25" s="85"/>
      <c r="B25" s="85"/>
      <c r="C25" s="86"/>
      <c r="D25" s="75"/>
      <c r="E25" s="96"/>
      <c r="F25" s="8"/>
      <c r="G25" s="86"/>
      <c r="H25" s="87"/>
      <c r="I25" s="75"/>
      <c r="J25" s="75"/>
      <c r="K25" s="91"/>
      <c r="L25" s="86"/>
      <c r="M25" s="75"/>
      <c r="N25" s="75"/>
      <c r="O25" s="89"/>
      <c r="P25" s="93">
        <v>-30.78</v>
      </c>
      <c r="Q25" s="99"/>
      <c r="R25" s="101" t="s">
        <v>166</v>
      </c>
    </row>
    <row r="26" spans="1:18" x14ac:dyDescent="0.25">
      <c r="A26" s="85"/>
      <c r="B26" s="85"/>
      <c r="C26" s="86"/>
      <c r="D26" s="75"/>
      <c r="E26" s="96"/>
      <c r="F26" s="8"/>
      <c r="G26" s="86"/>
      <c r="H26" s="87"/>
      <c r="I26" s="75"/>
      <c r="J26" s="75"/>
      <c r="K26" s="91"/>
      <c r="L26" s="86"/>
      <c r="M26" s="75"/>
      <c r="N26" s="75"/>
      <c r="O26" s="89"/>
      <c r="P26" s="93">
        <v>-12.1</v>
      </c>
      <c r="Q26" s="99"/>
      <c r="R26" s="101" t="s">
        <v>166</v>
      </c>
    </row>
    <row r="27" spans="1:18" x14ac:dyDescent="0.25">
      <c r="A27" s="85" t="s">
        <v>161</v>
      </c>
      <c r="B27" s="85" t="s">
        <v>46</v>
      </c>
      <c r="C27" s="86">
        <v>5100</v>
      </c>
      <c r="D27" s="75">
        <f t="shared" ref="D27" si="1">C27-E27</f>
        <v>-48.09288000000015</v>
      </c>
      <c r="E27" s="75">
        <f>I27-J27</f>
        <v>5148.0928800000002</v>
      </c>
      <c r="F27" s="91">
        <v>43154</v>
      </c>
      <c r="G27" s="86">
        <v>25.98</v>
      </c>
      <c r="H27" s="87">
        <f>TRUNC(C27/G27)</f>
        <v>196</v>
      </c>
      <c r="I27" s="75">
        <f>(G27*H27)</f>
        <v>5092.08</v>
      </c>
      <c r="J27" s="75">
        <f>-(IF((I27*0.0075)&lt;30,30,(I27*0.0075))+(I27*0.0035))</f>
        <v>-56.012879999999996</v>
      </c>
      <c r="K27" s="123">
        <f ca="1">TODAY()</f>
        <v>43609</v>
      </c>
      <c r="L27" s="122">
        <v>25.2</v>
      </c>
      <c r="M27" s="75">
        <f>(H27*L27)</f>
        <v>4939.2</v>
      </c>
      <c r="N27" s="75">
        <f>-(IF((M27*0.0075)&lt;30,30,(M27*0.0075)) + (M27*0.0035))</f>
        <v>-54.331199999999995</v>
      </c>
      <c r="O27" s="89">
        <f>J27+N27</f>
        <v>-110.34407999999999</v>
      </c>
      <c r="P27" s="93">
        <f ca="1">IF(K27=0,0,M27-E27+N27)</f>
        <v>-263.2240800000003</v>
      </c>
      <c r="Q27" s="99">
        <f ca="1">P27/E27</f>
        <v>-5.1130406178685785E-2</v>
      </c>
      <c r="R27" s="101" t="s">
        <v>46</v>
      </c>
    </row>
    <row r="28" spans="1:18" x14ac:dyDescent="0.25">
      <c r="A28" s="85" t="s">
        <v>161</v>
      </c>
      <c r="B28" s="85" t="s">
        <v>46</v>
      </c>
      <c r="C28" s="86"/>
      <c r="D28" s="75"/>
      <c r="E28" s="96">
        <v>5148.0928800000002</v>
      </c>
      <c r="F28" s="8"/>
      <c r="G28" s="86"/>
      <c r="H28" s="87"/>
      <c r="I28" s="75"/>
      <c r="J28" s="75"/>
      <c r="K28" s="91">
        <v>43222</v>
      </c>
      <c r="L28" s="86">
        <v>73.5</v>
      </c>
      <c r="M28" s="75"/>
      <c r="N28" s="75">
        <v>-34.86</v>
      </c>
      <c r="O28" s="89"/>
      <c r="P28" s="93">
        <f>L28+N28</f>
        <v>38.64</v>
      </c>
      <c r="Q28" s="99">
        <f>P28/E28</f>
        <v>7.5056920884457702E-3</v>
      </c>
      <c r="R28" s="101" t="s">
        <v>71</v>
      </c>
    </row>
    <row r="29" spans="1:18" x14ac:dyDescent="0.25">
      <c r="A29" s="85" t="s">
        <v>161</v>
      </c>
      <c r="B29" s="85" t="s">
        <v>46</v>
      </c>
      <c r="C29" s="86"/>
      <c r="D29" s="75"/>
      <c r="E29" s="96">
        <v>5148.0928800000002</v>
      </c>
      <c r="F29" s="8"/>
      <c r="G29" s="86"/>
      <c r="H29" s="87"/>
      <c r="I29" s="75"/>
      <c r="J29" s="75"/>
      <c r="K29" s="91">
        <v>43406</v>
      </c>
      <c r="L29" s="86">
        <v>73.5</v>
      </c>
      <c r="M29" s="75"/>
      <c r="N29" s="75">
        <v>-37.880000000000003</v>
      </c>
      <c r="O29" s="89"/>
      <c r="P29" s="93">
        <f>L29+N29</f>
        <v>35.619999999999997</v>
      </c>
      <c r="Q29" s="99">
        <f>P29/E29</f>
        <v>6.9190670856738691E-3</v>
      </c>
      <c r="R29" s="101" t="s">
        <v>71</v>
      </c>
    </row>
    <row r="30" spans="1:18" x14ac:dyDescent="0.25">
      <c r="A30" s="85" t="s">
        <v>161</v>
      </c>
      <c r="B30" s="85"/>
      <c r="C30" s="86"/>
      <c r="D30" s="75"/>
      <c r="E30" s="96"/>
      <c r="F30" s="8"/>
      <c r="G30" s="86"/>
      <c r="H30" s="87"/>
      <c r="I30" s="75"/>
      <c r="J30" s="75"/>
      <c r="K30" s="91"/>
      <c r="L30" s="86"/>
      <c r="M30" s="75"/>
      <c r="N30" s="75"/>
      <c r="O30" s="89"/>
      <c r="P30" s="93">
        <v>-25.87</v>
      </c>
      <c r="Q30" s="99"/>
      <c r="R30" s="101" t="s">
        <v>139</v>
      </c>
    </row>
    <row r="31" spans="1:18" x14ac:dyDescent="0.25">
      <c r="A31" s="85" t="s">
        <v>161</v>
      </c>
      <c r="B31" s="85"/>
      <c r="C31" s="86"/>
      <c r="D31" s="75"/>
      <c r="E31" s="96"/>
      <c r="F31" s="8"/>
      <c r="G31" s="86"/>
      <c r="H31" s="87"/>
      <c r="I31" s="75"/>
      <c r="J31" s="75"/>
      <c r="K31" s="91"/>
      <c r="L31" s="86"/>
      <c r="M31" s="75"/>
      <c r="N31" s="75"/>
      <c r="O31" s="89"/>
      <c r="P31" s="93">
        <f>-2.18-2.26-3.09-2.27</f>
        <v>-9.7999999999999989</v>
      </c>
      <c r="Q31" s="99"/>
      <c r="R31" s="101" t="s">
        <v>140</v>
      </c>
    </row>
    <row r="32" spans="1:18" x14ac:dyDescent="0.25">
      <c r="A32" s="85" t="s">
        <v>161</v>
      </c>
      <c r="B32" s="85" t="s">
        <v>136</v>
      </c>
      <c r="C32" s="86">
        <v>4090</v>
      </c>
      <c r="D32" s="75">
        <f t="shared" ref="D32" si="2">C32-E32</f>
        <v>-39.126199999999699</v>
      </c>
      <c r="E32" s="75">
        <f>I32-J32</f>
        <v>4129.1261999999997</v>
      </c>
      <c r="F32" s="91">
        <v>43545</v>
      </c>
      <c r="G32" s="86">
        <v>68.069999999999993</v>
      </c>
      <c r="H32" s="87">
        <f>TRUNC(C32/G32)</f>
        <v>60</v>
      </c>
      <c r="I32" s="75">
        <f>(G32*H32)</f>
        <v>4084.2</v>
      </c>
      <c r="J32" s="75">
        <f>-(IF((I32*0.0075)&lt;30,30,(I32*0.0075))+(I32*0.0035))</f>
        <v>-44.926199999999994</v>
      </c>
      <c r="K32" s="91">
        <v>43567</v>
      </c>
      <c r="L32" s="86">
        <v>75.53</v>
      </c>
      <c r="M32" s="75">
        <f>(H32*L32)</f>
        <v>4531.8</v>
      </c>
      <c r="N32" s="75">
        <f>-(IF((M32*0.0075)&lt;30,30,(M32*0.0075)) + (M32*0.0035))</f>
        <v>-49.849800000000002</v>
      </c>
      <c r="O32" s="89">
        <f>J32+N32</f>
        <v>-94.775999999999996</v>
      </c>
      <c r="P32" s="93">
        <f>M32-E32+N32</f>
        <v>352.82400000000047</v>
      </c>
      <c r="Q32" s="99">
        <f>P32/E32</f>
        <v>8.5447618433168865E-2</v>
      </c>
      <c r="R32" s="101" t="s">
        <v>136</v>
      </c>
    </row>
    <row r="33" spans="1:30" x14ac:dyDescent="0.25">
      <c r="A33" s="85" t="s">
        <v>161</v>
      </c>
      <c r="B33" s="85" t="s">
        <v>46</v>
      </c>
      <c r="C33" s="86"/>
      <c r="D33" s="75"/>
      <c r="E33" s="96">
        <v>5148.0928800000002</v>
      </c>
      <c r="F33" s="8"/>
      <c r="G33" s="86"/>
      <c r="H33" s="87"/>
      <c r="I33" s="75"/>
      <c r="J33" s="75"/>
      <c r="K33" s="91">
        <v>43587</v>
      </c>
      <c r="L33" s="86">
        <v>86.24</v>
      </c>
      <c r="M33" s="75"/>
      <c r="N33" s="75">
        <v>-34.86</v>
      </c>
      <c r="O33" s="89"/>
      <c r="P33" s="93">
        <f>L33+N33</f>
        <v>51.379999999999995</v>
      </c>
      <c r="Q33" s="99">
        <f>P33/E33</f>
        <v>9.9803949147086856E-3</v>
      </c>
      <c r="R33" s="101" t="s">
        <v>71</v>
      </c>
    </row>
    <row r="34" spans="1:30" x14ac:dyDescent="0.25">
      <c r="A34" s="85" t="s">
        <v>161</v>
      </c>
      <c r="B34" s="85" t="s">
        <v>136</v>
      </c>
      <c r="C34" s="86">
        <v>4090</v>
      </c>
      <c r="D34" s="75">
        <f t="shared" ref="D34" si="3">C34-E34</f>
        <v>1.253139999999803</v>
      </c>
      <c r="E34" s="75">
        <f>I34-J34</f>
        <v>4088.7468600000002</v>
      </c>
      <c r="F34" s="91">
        <v>43605</v>
      </c>
      <c r="G34" s="86">
        <v>65.23</v>
      </c>
      <c r="H34" s="87">
        <f>TRUNC(C34/G34)</f>
        <v>62</v>
      </c>
      <c r="I34" s="75">
        <f>(G34*H34)</f>
        <v>4044.26</v>
      </c>
      <c r="J34" s="75">
        <f>-(IF((I34*0.0075)&lt;30,30,(I34*0.0075))+(I34*0.0035))</f>
        <v>-44.48686</v>
      </c>
      <c r="K34" s="123">
        <f ca="1">TODAY()</f>
        <v>43609</v>
      </c>
      <c r="L34" s="122">
        <v>64</v>
      </c>
      <c r="M34" s="75">
        <f>(H34*L34)</f>
        <v>3968</v>
      </c>
      <c r="N34" s="75">
        <f>-(IF((M34*0.0075)&lt;30,30,(M34*0.0075)) + (M34*0.0035))</f>
        <v>-43.887999999999998</v>
      </c>
      <c r="O34" s="89">
        <f>J34+N34</f>
        <v>-88.374859999999998</v>
      </c>
      <c r="P34" s="93">
        <f ca="1">IF(K34=0,0,M34-E34+N34)</f>
        <v>-164.6348600000002</v>
      </c>
      <c r="Q34" s="99">
        <f ca="1">P34/E34</f>
        <v>-4.0265358956460363E-2</v>
      </c>
      <c r="R34" s="101" t="s">
        <v>136</v>
      </c>
    </row>
    <row r="35" spans="1:30" x14ac:dyDescent="0.25">
      <c r="A35" s="85"/>
      <c r="B35" s="85"/>
      <c r="C35" s="86"/>
      <c r="D35" s="75"/>
      <c r="E35" s="96"/>
      <c r="F35" s="8"/>
      <c r="G35" s="86"/>
      <c r="H35" s="87"/>
      <c r="I35" s="75"/>
      <c r="J35" s="75"/>
      <c r="K35" s="91"/>
      <c r="L35" s="86"/>
      <c r="M35" s="75"/>
      <c r="N35" s="75"/>
      <c r="O35" s="89"/>
      <c r="P35" s="93"/>
      <c r="Q35" s="99"/>
      <c r="R35" s="101"/>
    </row>
    <row r="36" spans="1:30" x14ac:dyDescent="0.25">
      <c r="A36" s="85"/>
      <c r="B36" s="85"/>
      <c r="C36" s="86"/>
      <c r="D36" s="75"/>
      <c r="E36" s="96"/>
      <c r="F36" s="8"/>
      <c r="G36" s="86"/>
      <c r="H36" s="87"/>
      <c r="I36" s="75"/>
      <c r="J36" s="75"/>
      <c r="K36" s="91"/>
      <c r="L36" s="86"/>
      <c r="M36" s="75"/>
      <c r="N36" s="75"/>
      <c r="O36" s="89"/>
      <c r="P36" s="93"/>
      <c r="Q36" s="99"/>
      <c r="R36" s="101"/>
    </row>
    <row r="37" spans="1:30" x14ac:dyDescent="0.25">
      <c r="A37" s="85"/>
      <c r="B37" s="85"/>
      <c r="C37" s="86"/>
      <c r="D37" s="75"/>
      <c r="E37" s="96"/>
      <c r="F37" s="8"/>
      <c r="G37" s="86"/>
      <c r="H37" s="87"/>
      <c r="I37" s="75"/>
      <c r="J37" s="75"/>
      <c r="K37" s="91"/>
      <c r="L37" s="86"/>
      <c r="M37" s="75"/>
      <c r="N37" s="75"/>
      <c r="O37" s="89"/>
      <c r="P37" s="93"/>
      <c r="Q37" s="99"/>
      <c r="R37" s="101"/>
    </row>
    <row r="38" spans="1:30" x14ac:dyDescent="0.25">
      <c r="A38" s="85"/>
      <c r="B38" s="85"/>
      <c r="C38" s="86"/>
      <c r="D38" s="75"/>
      <c r="E38" s="96"/>
      <c r="F38" s="8"/>
      <c r="G38" s="86"/>
      <c r="H38" s="87"/>
      <c r="I38" s="75"/>
      <c r="J38" s="75"/>
      <c r="K38" s="91"/>
      <c r="L38" s="86"/>
      <c r="M38" s="75"/>
      <c r="N38" s="75"/>
      <c r="O38" s="89"/>
      <c r="P38" s="93"/>
      <c r="Q38" s="99"/>
      <c r="R38" s="101"/>
    </row>
    <row r="39" spans="1:30" x14ac:dyDescent="0.25">
      <c r="A39" s="85"/>
      <c r="B39" s="85"/>
      <c r="C39" s="86"/>
      <c r="D39" s="75"/>
      <c r="E39" s="96"/>
      <c r="F39" s="8"/>
      <c r="G39" s="86"/>
      <c r="H39" s="87"/>
      <c r="I39" s="75"/>
      <c r="J39" s="75"/>
      <c r="K39" s="91"/>
      <c r="L39" s="86"/>
      <c r="M39" s="75"/>
      <c r="N39" s="75"/>
      <c r="O39" s="89"/>
      <c r="P39" s="93"/>
      <c r="Q39" s="99"/>
      <c r="R39" s="101"/>
    </row>
    <row r="40" spans="1:30" x14ac:dyDescent="0.25">
      <c r="A40" s="85"/>
      <c r="B40" s="85"/>
      <c r="C40" s="86"/>
      <c r="D40" s="75"/>
      <c r="E40" s="96"/>
      <c r="F40" s="8"/>
      <c r="G40" s="86"/>
      <c r="H40" s="87"/>
      <c r="I40" s="75"/>
      <c r="J40" s="75"/>
      <c r="K40" s="91"/>
      <c r="L40" s="86"/>
      <c r="M40" s="75"/>
      <c r="N40" s="75"/>
      <c r="O40" s="89"/>
      <c r="P40" s="93"/>
      <c r="Q40" s="99"/>
      <c r="R40" s="101"/>
    </row>
    <row r="41" spans="1:30" x14ac:dyDescent="0.25">
      <c r="C41" s="56"/>
      <c r="D41" s="56"/>
      <c r="E41" s="56"/>
      <c r="F41" s="8"/>
      <c r="G41" s="56"/>
      <c r="H41" s="74"/>
      <c r="I41" s="56"/>
      <c r="J41" s="56"/>
    </row>
    <row r="42" spans="1:30" x14ac:dyDescent="0.25">
      <c r="C42" s="56"/>
      <c r="D42" s="56"/>
      <c r="E42" s="56"/>
      <c r="F42" s="8"/>
      <c r="G42" s="56"/>
      <c r="H42" s="74"/>
      <c r="I42" s="56"/>
      <c r="J42" s="56"/>
    </row>
    <row r="43" spans="1:30" x14ac:dyDescent="0.25">
      <c r="G43" s="56"/>
      <c r="I43" s="130" t="s">
        <v>47</v>
      </c>
      <c r="J43" s="130"/>
      <c r="K43" s="130"/>
      <c r="L43" s="130"/>
      <c r="M43" s="131" t="s">
        <v>52</v>
      </c>
      <c r="N43" s="131"/>
      <c r="O43" s="131"/>
      <c r="P43" s="131"/>
      <c r="Q43" s="132" t="s">
        <v>54</v>
      </c>
      <c r="R43" s="132"/>
      <c r="S43" s="132"/>
      <c r="Y43" s="59">
        <f ca="1">_xlfn.DAYS(TODAY(),C45)</f>
        <v>1535</v>
      </c>
      <c r="Z43" s="33"/>
    </row>
    <row r="44" spans="1:30" x14ac:dyDescent="0.25">
      <c r="B44" s="11" t="s">
        <v>14</v>
      </c>
      <c r="C44" s="12" t="s">
        <v>15</v>
      </c>
      <c r="D44" s="12" t="s">
        <v>16</v>
      </c>
      <c r="E44" s="12" t="s">
        <v>22</v>
      </c>
      <c r="F44" s="12" t="s">
        <v>17</v>
      </c>
      <c r="G44" s="12" t="s">
        <v>18</v>
      </c>
      <c r="H44" s="12" t="s">
        <v>19</v>
      </c>
      <c r="I44" s="12" t="s">
        <v>48</v>
      </c>
      <c r="J44" s="12" t="s">
        <v>49</v>
      </c>
      <c r="K44" s="12" t="s">
        <v>50</v>
      </c>
      <c r="L44" s="12" t="s">
        <v>51</v>
      </c>
      <c r="M44" s="12" t="s">
        <v>48</v>
      </c>
      <c r="N44" s="12" t="s">
        <v>49</v>
      </c>
      <c r="O44" s="12" t="s">
        <v>50</v>
      </c>
      <c r="P44" s="12" t="s">
        <v>53</v>
      </c>
      <c r="Q44" s="12" t="s">
        <v>21</v>
      </c>
      <c r="R44" s="12" t="s">
        <v>20</v>
      </c>
      <c r="S44" s="13" t="s">
        <v>57</v>
      </c>
      <c r="T44" s="13" t="s">
        <v>23</v>
      </c>
      <c r="Z44" t="s">
        <v>141</v>
      </c>
      <c r="AA44" t="s">
        <v>142</v>
      </c>
      <c r="AB44" t="s">
        <v>143</v>
      </c>
      <c r="AC44" t="s">
        <v>144</v>
      </c>
      <c r="AD44" t="s">
        <v>145</v>
      </c>
    </row>
    <row r="45" spans="1:30" x14ac:dyDescent="0.25">
      <c r="B45" s="7" t="s">
        <v>33</v>
      </c>
      <c r="C45" s="8">
        <v>42074</v>
      </c>
      <c r="D45" s="8">
        <v>42136</v>
      </c>
      <c r="E45" s="14">
        <v>150</v>
      </c>
      <c r="F45" s="9">
        <v>26.59</v>
      </c>
      <c r="G45" s="9">
        <f>24.77+0.4916</f>
        <v>25.261599999999998</v>
      </c>
      <c r="H45" s="10">
        <f>(G45/F45)-1</f>
        <v>-4.9958631064309977E-2</v>
      </c>
      <c r="I45" s="9">
        <v>3988.5</v>
      </c>
      <c r="J45" s="9"/>
      <c r="K45" s="9"/>
      <c r="L45" s="9"/>
      <c r="M45" s="9"/>
      <c r="N45" s="9"/>
      <c r="O45" s="9"/>
      <c r="P45" s="9"/>
      <c r="Q45" s="9">
        <v>40</v>
      </c>
      <c r="R45" s="9">
        <v>21.54</v>
      </c>
      <c r="S45" s="9">
        <f>-334.54</f>
        <v>-334.54</v>
      </c>
      <c r="T45" s="42">
        <f>-0.0839+0.0185</f>
        <v>-6.54E-2</v>
      </c>
      <c r="Z45">
        <f>_xlfn.DAYS(D45,C45)</f>
        <v>62</v>
      </c>
      <c r="AA45" s="59">
        <f ca="1">Z45/Y$43</f>
        <v>4.0390879478827364E-2</v>
      </c>
      <c r="AB45" s="56">
        <f ca="1">AA45*I45</f>
        <v>161.09902280130294</v>
      </c>
      <c r="AC45" s="5"/>
    </row>
    <row r="46" spans="1:30" x14ac:dyDescent="0.25">
      <c r="B46" s="7"/>
      <c r="C46" s="8"/>
      <c r="D46" s="8"/>
      <c r="E46" s="14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>
        <v>73.47</v>
      </c>
      <c r="T46" s="42"/>
      <c r="U46" t="s">
        <v>72</v>
      </c>
      <c r="AA46" s="59"/>
      <c r="AB46" s="56"/>
      <c r="AC46" s="5"/>
    </row>
    <row r="47" spans="1:30" x14ac:dyDescent="0.25">
      <c r="B47" s="7" t="s">
        <v>39</v>
      </c>
      <c r="C47" s="8">
        <v>42143</v>
      </c>
      <c r="D47" s="8">
        <v>42198</v>
      </c>
      <c r="E47" s="14">
        <v>102</v>
      </c>
      <c r="F47" s="9">
        <v>39.229999999999997</v>
      </c>
      <c r="G47" s="9">
        <v>40</v>
      </c>
      <c r="H47" s="10">
        <v>1.962783583991845E-2</v>
      </c>
      <c r="I47" s="9">
        <v>4001.4599999999996</v>
      </c>
      <c r="J47" s="9"/>
      <c r="K47" s="9"/>
      <c r="L47" s="9"/>
      <c r="M47" s="9"/>
      <c r="N47" s="9"/>
      <c r="O47" s="9"/>
      <c r="P47" s="9"/>
      <c r="Q47" s="9">
        <v>40.014599999999994</v>
      </c>
      <c r="R47" s="9">
        <v>21.607883999999999</v>
      </c>
      <c r="S47" s="9">
        <v>16.917516000000433</v>
      </c>
      <c r="T47" s="10">
        <v>4.2278358399185385E-3</v>
      </c>
      <c r="Z47">
        <f t="shared" ref="Z47:Z66" si="4">_xlfn.DAYS(D47,C47)</f>
        <v>55</v>
      </c>
      <c r="AA47" s="59">
        <f t="shared" ref="AA47:AA69" ca="1" si="5">Z47/Y$43</f>
        <v>3.5830618892508145E-2</v>
      </c>
      <c r="AB47" s="56">
        <f t="shared" ref="AB47:AB66" ca="1" si="6">AA47*I47</f>
        <v>143.37478827361562</v>
      </c>
      <c r="AC47" s="5"/>
    </row>
    <row r="48" spans="1:30" x14ac:dyDescent="0.25">
      <c r="B48" s="7" t="s">
        <v>24</v>
      </c>
      <c r="C48" s="8">
        <v>42209</v>
      </c>
      <c r="D48" s="8">
        <v>42223</v>
      </c>
      <c r="E48" s="14">
        <v>507</v>
      </c>
      <c r="F48" s="9">
        <v>7.9</v>
      </c>
      <c r="G48" s="9">
        <v>8.82</v>
      </c>
      <c r="H48" s="10">
        <v>0.1164556962025316</v>
      </c>
      <c r="I48" s="9">
        <v>4005.3</v>
      </c>
      <c r="J48" s="9"/>
      <c r="K48" s="9"/>
      <c r="L48" s="9"/>
      <c r="M48" s="9"/>
      <c r="N48" s="9"/>
      <c r="O48" s="9"/>
      <c r="P48" s="9"/>
      <c r="Q48" s="9">
        <v>40.053000000000004</v>
      </c>
      <c r="R48" s="9">
        <v>21.628620000000002</v>
      </c>
      <c r="S48" s="9">
        <v>404.75837999999931</v>
      </c>
      <c r="T48" s="10">
        <v>0.10105569620253146</v>
      </c>
      <c r="Z48">
        <f t="shared" si="4"/>
        <v>14</v>
      </c>
      <c r="AA48" s="59">
        <f t="shared" ca="1" si="5"/>
        <v>9.120521172638436E-3</v>
      </c>
      <c r="AB48" s="56">
        <f t="shared" ca="1" si="6"/>
        <v>36.53042345276873</v>
      </c>
      <c r="AC48" s="5"/>
    </row>
    <row r="49" spans="2:29" x14ac:dyDescent="0.25">
      <c r="B49" s="7"/>
      <c r="C49" s="8"/>
      <c r="D49" s="8"/>
      <c r="E49" s="14"/>
      <c r="F49" s="9"/>
      <c r="G49" s="9"/>
      <c r="H49" s="10"/>
      <c r="I49" s="9"/>
      <c r="J49" s="9"/>
      <c r="K49" s="9"/>
      <c r="L49" s="9"/>
      <c r="M49" s="9"/>
      <c r="N49" s="9"/>
      <c r="O49" s="9"/>
      <c r="P49" s="9"/>
      <c r="Q49" s="9"/>
      <c r="R49" s="9"/>
      <c r="S49" s="9">
        <v>0.12</v>
      </c>
      <c r="T49" s="10"/>
      <c r="U49" t="s">
        <v>41</v>
      </c>
      <c r="AA49" s="59"/>
      <c r="AB49" s="56"/>
      <c r="AC49" s="5"/>
    </row>
    <row r="50" spans="2:29" x14ac:dyDescent="0.25">
      <c r="B50" s="7"/>
      <c r="C50" s="8"/>
      <c r="D50" s="8"/>
      <c r="E50" s="14"/>
      <c r="F50" s="9"/>
      <c r="G50" s="9"/>
      <c r="H50" s="10"/>
      <c r="I50" s="9"/>
      <c r="J50" s="9"/>
      <c r="K50" s="9"/>
      <c r="L50" s="9"/>
      <c r="M50" s="9"/>
      <c r="N50" s="9"/>
      <c r="O50" s="9"/>
      <c r="P50" s="9"/>
      <c r="Q50" s="9"/>
      <c r="R50" s="9"/>
      <c r="S50" s="9">
        <v>-27.23</v>
      </c>
      <c r="T50" s="10"/>
      <c r="U50" t="s">
        <v>42</v>
      </c>
      <c r="AA50" s="59"/>
      <c r="AB50" s="56"/>
      <c r="AC50" s="5"/>
    </row>
    <row r="51" spans="2:29" x14ac:dyDescent="0.25">
      <c r="B51" s="7"/>
      <c r="C51" s="8"/>
      <c r="D51" s="8"/>
      <c r="E51" s="14"/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188.26</v>
      </c>
      <c r="T51" s="10"/>
      <c r="U51" t="s">
        <v>43</v>
      </c>
      <c r="AA51" s="59"/>
      <c r="AB51" s="56"/>
      <c r="AC51" s="5"/>
    </row>
    <row r="52" spans="2:29" x14ac:dyDescent="0.25">
      <c r="B52" s="7"/>
      <c r="C52" s="8"/>
      <c r="D52" s="8"/>
      <c r="E52" s="14"/>
      <c r="F52" s="9"/>
      <c r="G52" s="9"/>
      <c r="H52" s="64"/>
      <c r="I52" s="9"/>
      <c r="J52" s="9"/>
      <c r="K52" s="9"/>
      <c r="L52" s="9"/>
      <c r="M52" s="9"/>
      <c r="N52" s="9"/>
      <c r="O52" s="9"/>
      <c r="P52" s="9"/>
      <c r="Q52" s="9"/>
      <c r="R52" s="9"/>
      <c r="S52" s="9">
        <v>-0.08</v>
      </c>
      <c r="T52" s="10"/>
      <c r="U52" t="s">
        <v>41</v>
      </c>
      <c r="AA52" s="59"/>
      <c r="AB52" s="56"/>
      <c r="AC52" s="5"/>
    </row>
    <row r="53" spans="2:29" x14ac:dyDescent="0.25">
      <c r="B53" s="7"/>
      <c r="C53" s="8"/>
      <c r="D53" s="8"/>
      <c r="E53" s="14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-24.2</v>
      </c>
      <c r="T53" s="10"/>
      <c r="U53" t="s">
        <v>59</v>
      </c>
      <c r="AA53" s="59"/>
      <c r="AB53" s="56"/>
      <c r="AC53" s="5"/>
    </row>
    <row r="54" spans="2:29" x14ac:dyDescent="0.25">
      <c r="B54" s="7"/>
      <c r="C54" s="8"/>
      <c r="D54" s="8"/>
      <c r="E54" s="14"/>
      <c r="F54" s="9"/>
      <c r="G54" s="9"/>
      <c r="H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>
        <f>13.5+13.5</f>
        <v>27</v>
      </c>
      <c r="T54" s="10"/>
      <c r="U54" t="s">
        <v>44</v>
      </c>
      <c r="AA54" s="59"/>
      <c r="AB54" s="56"/>
      <c r="AC54" s="5"/>
    </row>
    <row r="55" spans="2:29" x14ac:dyDescent="0.25">
      <c r="B55" s="7" t="s">
        <v>24</v>
      </c>
      <c r="C55" s="8">
        <f>'Operacion 3'!B$2</f>
        <v>43154</v>
      </c>
      <c r="D55" s="8">
        <v>43442</v>
      </c>
      <c r="E55" s="14">
        <f>'Operacion 3'!B$5</f>
        <v>196</v>
      </c>
      <c r="F55" s="9">
        <v>20.22</v>
      </c>
      <c r="G55" s="9">
        <v>26.49</v>
      </c>
      <c r="H55" s="10">
        <v>0.31009999999999999</v>
      </c>
      <c r="I55" s="9">
        <v>586.38</v>
      </c>
      <c r="J55" s="9"/>
      <c r="K55" s="9"/>
      <c r="L55" s="9"/>
      <c r="M55" s="9"/>
      <c r="N55" s="9"/>
      <c r="O55" s="9"/>
      <c r="P55" s="9"/>
      <c r="Q55" s="9">
        <v>40</v>
      </c>
      <c r="R55" s="9">
        <f>1.62+2.07</f>
        <v>3.69</v>
      </c>
      <c r="S55" s="9">
        <v>138.16</v>
      </c>
      <c r="T55" s="10">
        <v>0.2356</v>
      </c>
      <c r="Z55">
        <f t="shared" si="4"/>
        <v>288</v>
      </c>
      <c r="AA55" s="59">
        <f t="shared" ca="1" si="5"/>
        <v>0.18762214983713354</v>
      </c>
      <c r="AB55" s="56">
        <f t="shared" ca="1" si="6"/>
        <v>110.01787622149837</v>
      </c>
      <c r="AC55" s="5"/>
    </row>
    <row r="56" spans="2:29" x14ac:dyDescent="0.25">
      <c r="B56" s="7" t="s">
        <v>24</v>
      </c>
      <c r="C56" s="8">
        <v>42234</v>
      </c>
      <c r="D56" s="8">
        <v>43103</v>
      </c>
      <c r="E56" s="14">
        <v>186</v>
      </c>
      <c r="F56" s="9">
        <v>23.6</v>
      </c>
      <c r="G56" s="9">
        <v>28.52</v>
      </c>
      <c r="H56" s="10">
        <v>0.20847457627118637</v>
      </c>
      <c r="I56" s="9">
        <v>4389.6000000000004</v>
      </c>
      <c r="J56" s="9"/>
      <c r="K56" s="9"/>
      <c r="L56" s="9"/>
      <c r="M56" s="9"/>
      <c r="N56" s="9"/>
      <c r="O56" s="9"/>
      <c r="P56" s="9"/>
      <c r="Q56" s="9">
        <v>48.471600000000009</v>
      </c>
      <c r="R56" s="9">
        <v>26.174664000000003</v>
      </c>
      <c r="S56" s="9">
        <v>840.47373599999992</v>
      </c>
      <c r="T56" s="10">
        <v>0.19146932203389827</v>
      </c>
      <c r="Z56">
        <f t="shared" si="4"/>
        <v>869</v>
      </c>
      <c r="AA56" s="59">
        <f t="shared" ca="1" si="5"/>
        <v>0.56612377850162865</v>
      </c>
      <c r="AB56" s="56">
        <f t="shared" ca="1" si="6"/>
        <v>2485.0569381107493</v>
      </c>
      <c r="AC56" s="5"/>
    </row>
    <row r="57" spans="2:29" x14ac:dyDescent="0.25">
      <c r="B57" s="7" t="s">
        <v>24</v>
      </c>
      <c r="C57" s="8">
        <v>42471</v>
      </c>
      <c r="D57" s="8">
        <v>43103</v>
      </c>
      <c r="E57" s="14">
        <v>91</v>
      </c>
      <c r="F57" s="9">
        <v>6.6000000000000005</v>
      </c>
      <c r="G57" s="9">
        <v>28.52</v>
      </c>
      <c r="H57" s="10">
        <v>3.3212121212121204</v>
      </c>
      <c r="I57" s="9">
        <v>600.6</v>
      </c>
      <c r="J57" s="9"/>
      <c r="K57" s="9"/>
      <c r="L57" s="9"/>
      <c r="M57" s="9"/>
      <c r="N57" s="9"/>
      <c r="O57" s="9"/>
      <c r="P57" s="9"/>
      <c r="Q57" s="9">
        <v>12.976600000000001</v>
      </c>
      <c r="R57" s="9">
        <v>7.0073640000000008</v>
      </c>
      <c r="S57" s="9">
        <v>1974.7360360000002</v>
      </c>
      <c r="T57" s="10">
        <v>3.287938787878788</v>
      </c>
      <c r="Z57">
        <f t="shared" si="4"/>
        <v>632</v>
      </c>
      <c r="AA57" s="59">
        <f t="shared" ca="1" si="5"/>
        <v>0.41172638436482084</v>
      </c>
      <c r="AB57" s="56">
        <f t="shared" ca="1" si="6"/>
        <v>247.2828664495114</v>
      </c>
      <c r="AC57" s="5"/>
    </row>
    <row r="58" spans="2:29" x14ac:dyDescent="0.25">
      <c r="B58" s="7"/>
      <c r="C58" s="8"/>
      <c r="D58" s="8"/>
      <c r="E58" s="14"/>
      <c r="F58" s="9"/>
      <c r="G58" s="9"/>
      <c r="H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>
        <v>-30.78</v>
      </c>
      <c r="T58" s="10"/>
      <c r="U58" t="s">
        <v>59</v>
      </c>
      <c r="AA58" s="59"/>
      <c r="AB58" s="56"/>
      <c r="AC58" s="5"/>
    </row>
    <row r="59" spans="2:29" x14ac:dyDescent="0.25">
      <c r="B59" s="7"/>
      <c r="C59" s="8"/>
      <c r="D59" s="8"/>
      <c r="E59" s="14"/>
      <c r="F59" s="9"/>
      <c r="G59" s="9"/>
      <c r="H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>
        <v>-12.1</v>
      </c>
      <c r="T59" s="10"/>
      <c r="U59" t="s">
        <v>59</v>
      </c>
      <c r="AA59" s="59"/>
      <c r="AB59" s="56"/>
      <c r="AC59" s="5"/>
    </row>
    <row r="60" spans="2:29" x14ac:dyDescent="0.25">
      <c r="B60" s="7" t="s">
        <v>46</v>
      </c>
      <c r="C60" s="8">
        <v>43154</v>
      </c>
      <c r="D60" s="8"/>
      <c r="E60" s="14"/>
      <c r="F60" s="9"/>
      <c r="G60" s="9"/>
      <c r="H60" s="10"/>
      <c r="I60" s="9"/>
      <c r="J60" s="9">
        <v>42.26</v>
      </c>
      <c r="K60" s="9">
        <v>13.75</v>
      </c>
      <c r="L60" s="9"/>
      <c r="M60" s="9"/>
      <c r="N60" s="9"/>
      <c r="O60" s="9"/>
      <c r="P60" s="9"/>
      <c r="Q60" s="9"/>
      <c r="R60" s="9"/>
      <c r="S60" s="9">
        <f>-J60-K60</f>
        <v>-56.01</v>
      </c>
      <c r="T60" s="10"/>
      <c r="U60" t="s">
        <v>69</v>
      </c>
      <c r="AA60" s="59"/>
      <c r="AB60" s="56"/>
      <c r="AC60" s="5"/>
    </row>
    <row r="61" spans="2:29" x14ac:dyDescent="0.25">
      <c r="B61" s="7" t="s">
        <v>46</v>
      </c>
      <c r="D61" s="8">
        <v>43222</v>
      </c>
      <c r="E61" s="14"/>
      <c r="F61" s="9"/>
      <c r="G61" s="9">
        <v>73.5</v>
      </c>
      <c r="H61" s="10"/>
      <c r="I61" s="9"/>
      <c r="J61" s="9"/>
      <c r="K61" s="9"/>
      <c r="L61" s="9"/>
      <c r="M61" s="9"/>
      <c r="N61" s="9"/>
      <c r="O61" s="9"/>
      <c r="P61" s="9"/>
      <c r="Q61" s="9">
        <f>2.5+0.53</f>
        <v>3.0300000000000002</v>
      </c>
      <c r="R61" s="9">
        <f>13.97+17.86</f>
        <v>31.83</v>
      </c>
      <c r="S61" s="9">
        <f>G61-Q61-R61</f>
        <v>38.64</v>
      </c>
      <c r="T61" s="10"/>
      <c r="U61" t="s">
        <v>71</v>
      </c>
      <c r="AA61" s="59"/>
      <c r="AB61" s="56"/>
      <c r="AC61" s="5"/>
    </row>
    <row r="62" spans="2:29" x14ac:dyDescent="0.25">
      <c r="B62" s="7" t="s">
        <v>46</v>
      </c>
      <c r="D62" s="8">
        <v>43406</v>
      </c>
      <c r="E62" s="14"/>
      <c r="F62" s="9"/>
      <c r="G62" s="9">
        <f>32.34+41.16</f>
        <v>73.5</v>
      </c>
      <c r="H62" s="10"/>
      <c r="I62" s="9"/>
      <c r="J62" s="9"/>
      <c r="K62" s="9"/>
      <c r="L62" s="9"/>
      <c r="M62" s="9"/>
      <c r="N62" s="9"/>
      <c r="O62" s="9"/>
      <c r="P62" s="9"/>
      <c r="Q62" s="9">
        <f>2.5+2.5+0.53+0.53</f>
        <v>6.0600000000000005</v>
      </c>
      <c r="R62" s="9">
        <f>6.14+7.86+7.82+10</f>
        <v>31.82</v>
      </c>
      <c r="S62" s="9">
        <f>G62-Q62-R62</f>
        <v>35.619999999999997</v>
      </c>
      <c r="T62" s="10"/>
      <c r="U62" t="s">
        <v>71</v>
      </c>
      <c r="AA62" s="59"/>
      <c r="AB62" s="56"/>
      <c r="AC62" s="5"/>
    </row>
    <row r="63" spans="2:29" x14ac:dyDescent="0.25">
      <c r="B63" s="7"/>
      <c r="C63" s="8"/>
      <c r="D63" s="8"/>
      <c r="E63" s="14"/>
      <c r="F63" s="9"/>
      <c r="G63" s="9"/>
      <c r="H63" s="10"/>
      <c r="I63" s="9"/>
      <c r="J63" s="9"/>
      <c r="K63" s="9"/>
      <c r="L63" s="9"/>
      <c r="M63" s="9"/>
      <c r="N63" s="9"/>
      <c r="O63" s="9"/>
      <c r="P63" s="9"/>
      <c r="Q63" s="9"/>
      <c r="R63" s="9"/>
      <c r="S63" s="9">
        <v>-25.87</v>
      </c>
      <c r="T63" s="10"/>
      <c r="U63" t="s">
        <v>139</v>
      </c>
      <c r="AA63" s="59"/>
      <c r="AB63" s="56"/>
      <c r="AC63" s="5"/>
    </row>
    <row r="64" spans="2:29" x14ac:dyDescent="0.25">
      <c r="B64" s="7"/>
      <c r="C64" s="8"/>
      <c r="D64" s="8"/>
      <c r="E64" s="14"/>
      <c r="F64" s="9"/>
      <c r="G64" s="9"/>
      <c r="H64" s="10"/>
      <c r="I64" s="9"/>
      <c r="J64" s="9"/>
      <c r="K64" s="9"/>
      <c r="L64" s="9"/>
      <c r="M64" s="9"/>
      <c r="N64" s="9"/>
      <c r="O64" s="9"/>
      <c r="P64" s="9"/>
      <c r="Q64" s="9"/>
      <c r="R64" s="9"/>
      <c r="S64" s="9">
        <f>-2.18-2.26-3.09-2.27</f>
        <v>-9.7999999999999989</v>
      </c>
      <c r="T64" s="10"/>
      <c r="U64" t="s">
        <v>140</v>
      </c>
      <c r="AA64" s="59"/>
      <c r="AB64" s="56"/>
      <c r="AC64" s="5"/>
    </row>
    <row r="65" spans="2:30" x14ac:dyDescent="0.25">
      <c r="B65" s="39" t="s">
        <v>136</v>
      </c>
      <c r="C65" s="8">
        <v>43550</v>
      </c>
      <c r="D65" s="8"/>
      <c r="E65" s="14"/>
      <c r="F65" s="9"/>
      <c r="G65" s="9"/>
      <c r="H65" s="10"/>
      <c r="I65" s="9"/>
      <c r="J65" s="9">
        <v>30.631499999999999</v>
      </c>
      <c r="K65" s="9">
        <v>14.294699999999999</v>
      </c>
      <c r="L65" s="9"/>
      <c r="M65" s="9"/>
      <c r="N65" s="9"/>
      <c r="O65" s="9"/>
      <c r="P65" s="9"/>
      <c r="Q65" s="9"/>
      <c r="R65" s="9"/>
      <c r="S65" s="9">
        <f>-J65-K65</f>
        <v>-44.926199999999994</v>
      </c>
      <c r="T65" s="10"/>
      <c r="U65" t="s">
        <v>137</v>
      </c>
      <c r="AA65" s="59"/>
      <c r="AB65" s="56"/>
      <c r="AC65" s="5"/>
    </row>
    <row r="66" spans="2:30" x14ac:dyDescent="0.25">
      <c r="B66" s="7" t="s">
        <v>136</v>
      </c>
      <c r="C66" s="8">
        <v>43545</v>
      </c>
      <c r="D66" s="8">
        <v>43567</v>
      </c>
      <c r="E66" s="14">
        <v>60</v>
      </c>
      <c r="F66" s="9">
        <v>68.069999999999993</v>
      </c>
      <c r="G66" s="9">
        <v>75.53</v>
      </c>
      <c r="H66" s="10">
        <v>0.10959306596151031</v>
      </c>
      <c r="I66" s="9">
        <v>4084.2</v>
      </c>
      <c r="J66" s="9">
        <v>30.631499999999999</v>
      </c>
      <c r="K66" s="9">
        <v>14.294699999999999</v>
      </c>
      <c r="L66" s="9">
        <v>4129.1262000000006</v>
      </c>
      <c r="M66" s="9">
        <v>4531.8</v>
      </c>
      <c r="N66" s="9">
        <v>-33.988500000000002</v>
      </c>
      <c r="O66" s="9">
        <v>-15.861300000000002</v>
      </c>
      <c r="P66" s="9">
        <v>4481.9502000000002</v>
      </c>
      <c r="Q66" s="9">
        <v>64.62</v>
      </c>
      <c r="R66" s="9">
        <v>30.155999999999999</v>
      </c>
      <c r="S66" s="9">
        <v>352.82399999999961</v>
      </c>
      <c r="T66" s="10">
        <v>8.5447618433168629E-2</v>
      </c>
      <c r="U66" t="s">
        <v>138</v>
      </c>
      <c r="Z66">
        <f t="shared" si="4"/>
        <v>22</v>
      </c>
      <c r="AA66" s="59">
        <f t="shared" ca="1" si="5"/>
        <v>1.4332247557003257E-2</v>
      </c>
      <c r="AB66" s="56">
        <f t="shared" ca="1" si="6"/>
        <v>58.535765472312697</v>
      </c>
      <c r="AC66" s="5"/>
    </row>
    <row r="67" spans="2:30" x14ac:dyDescent="0.25">
      <c r="B67" s="7" t="s">
        <v>46</v>
      </c>
      <c r="D67" s="8">
        <v>43587</v>
      </c>
      <c r="E67" s="14"/>
      <c r="F67" s="9"/>
      <c r="G67" s="9">
        <v>86.24</v>
      </c>
      <c r="H67" s="10"/>
      <c r="I67" s="9"/>
      <c r="J67" s="9"/>
      <c r="K67" s="9"/>
      <c r="L67" s="9"/>
      <c r="M67" s="9"/>
      <c r="N67" s="9"/>
      <c r="O67" s="9"/>
      <c r="P67" s="9"/>
      <c r="Q67" s="9">
        <f>2.5+0.53</f>
        <v>3.0300000000000002</v>
      </c>
      <c r="R67" s="9">
        <f>16.39+20.96</f>
        <v>37.35</v>
      </c>
      <c r="S67" s="9">
        <f>G67-Q67-R67</f>
        <v>45.859999999999992</v>
      </c>
      <c r="T67" s="10"/>
      <c r="U67" t="s">
        <v>71</v>
      </c>
      <c r="AA67" s="59"/>
      <c r="AB67" s="56"/>
      <c r="AC67" s="5"/>
    </row>
    <row r="68" spans="2:30" x14ac:dyDescent="0.25">
      <c r="B68" s="7"/>
      <c r="C68" s="8"/>
      <c r="D68" s="8"/>
      <c r="E68" s="14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0"/>
      <c r="AA68" s="59"/>
      <c r="AC68" s="5"/>
    </row>
    <row r="69" spans="2:30" x14ac:dyDescent="0.25">
      <c r="Z69">
        <f ca="1">_xlfn.DAYS(TODAY(),C74)</f>
        <v>455</v>
      </c>
      <c r="AA69" s="59">
        <f t="shared" ca="1" si="5"/>
        <v>0.29641693811074921</v>
      </c>
      <c r="AB69" s="56">
        <f ca="1">AA69*I74</f>
        <v>1509.3787622149839</v>
      </c>
      <c r="AC69" s="5"/>
    </row>
    <row r="70" spans="2:30" x14ac:dyDescent="0.25">
      <c r="I70" s="15">
        <f t="shared" ref="I70:P70" si="7">SUM(I45:I69)</f>
        <v>21656.039999999997</v>
      </c>
      <c r="J70" s="15">
        <f t="shared" si="7"/>
        <v>103.523</v>
      </c>
      <c r="K70" s="15">
        <f t="shared" si="7"/>
        <v>42.339399999999998</v>
      </c>
      <c r="L70" s="15">
        <f t="shared" si="7"/>
        <v>4129.1262000000006</v>
      </c>
      <c r="M70" s="15">
        <f t="shared" si="7"/>
        <v>4531.8</v>
      </c>
      <c r="N70" s="15">
        <f t="shared" si="7"/>
        <v>-33.988500000000002</v>
      </c>
      <c r="O70" s="15">
        <f t="shared" si="7"/>
        <v>-15.861300000000002</v>
      </c>
      <c r="P70" s="15">
        <f t="shared" si="7"/>
        <v>4481.9502000000002</v>
      </c>
      <c r="S70" s="15">
        <f>SUM(S45:S69)</f>
        <v>3571.3034679999992</v>
      </c>
      <c r="T70" s="16">
        <f>SUM(T45:T69)/7</f>
        <v>0.54861989434118641</v>
      </c>
      <c r="U70" s="16">
        <f>T70/4</f>
        <v>0.1371549735852966</v>
      </c>
      <c r="Z70">
        <f ca="1">SUM(Z45:Z69)</f>
        <v>2397</v>
      </c>
      <c r="AA70" s="59">
        <f ca="1">SUM(AA45:AA69)</f>
        <v>1.5615635179153098</v>
      </c>
      <c r="AB70" s="56">
        <f ca="1">SUM(AB45:AB69)</f>
        <v>4751.2764429967428</v>
      </c>
      <c r="AC70" s="3">
        <f ca="1">S70/AB70</f>
        <v>0.75165137428785211</v>
      </c>
      <c r="AD70" s="3">
        <f ca="1">AC70/(Y43/365)</f>
        <v>0.17873143427691596</v>
      </c>
    </row>
    <row r="71" spans="2:30" x14ac:dyDescent="0.25">
      <c r="I71" s="52"/>
      <c r="J71" s="52"/>
      <c r="K71" s="52"/>
      <c r="L71" s="52"/>
      <c r="M71" s="52"/>
      <c r="N71" s="52"/>
      <c r="O71" s="52"/>
      <c r="P71" s="52"/>
      <c r="S71" s="52"/>
      <c r="T71" s="51"/>
      <c r="U71" s="51"/>
      <c r="V71">
        <v>0.24199999999999999</v>
      </c>
    </row>
    <row r="72" spans="2:30" x14ac:dyDescent="0.25">
      <c r="B72" s="39" t="str">
        <f>'Operacion 1'!B$3</f>
        <v>ABI.BR</v>
      </c>
      <c r="C72" s="8">
        <f>'Operacion 1'!B$2</f>
        <v>42234</v>
      </c>
      <c r="D72" s="8"/>
      <c r="E72" s="14">
        <f>'Operacion 1'!B$5</f>
        <v>62</v>
      </c>
      <c r="F72" s="9">
        <f>'Operacion 1'!B$4</f>
        <v>89</v>
      </c>
      <c r="G72" s="9">
        <f>'Operacion 1'!B$6</f>
        <v>120</v>
      </c>
      <c r="H72" s="10">
        <f>'Operacion 1'!B$7</f>
        <v>0.348314606741573</v>
      </c>
      <c r="I72" s="9">
        <f>(F72*E72)</f>
        <v>5518</v>
      </c>
      <c r="J72" s="9">
        <f>IF((I72*0.005)&lt;20,20,(I72*0.005))</f>
        <v>27.59</v>
      </c>
      <c r="K72" s="9">
        <f>SUM(I72:J72)*0.0027</f>
        <v>14.973093</v>
      </c>
      <c r="L72" s="9">
        <f>SUM(I72:K72)</f>
        <v>5560.5630929999998</v>
      </c>
      <c r="M72" s="9">
        <f>E72*G72</f>
        <v>7440</v>
      </c>
      <c r="N72" s="9">
        <f>IF((M72*0.005)&lt;20,-20,-(M72*0.005))</f>
        <v>-37.200000000000003</v>
      </c>
      <c r="O72" s="9">
        <f>-(SUM(M72:N72)*0.0027)</f>
        <v>-19.987560000000002</v>
      </c>
      <c r="P72" s="9">
        <f>SUM(M72:O72)</f>
        <v>7382.8124400000006</v>
      </c>
      <c r="Q72" s="9">
        <f>J72-N72</f>
        <v>64.790000000000006</v>
      </c>
      <c r="R72" s="9">
        <f>K72-O72</f>
        <v>34.960653000000001</v>
      </c>
      <c r="S72" s="9">
        <f t="shared" ref="S72:S73" si="8">P72-L72</f>
        <v>1822.2493470000009</v>
      </c>
      <c r="T72" s="10">
        <f>S72/L72</f>
        <v>0.32770949929404947</v>
      </c>
      <c r="U72" t="s">
        <v>109</v>
      </c>
      <c r="V72" t="s">
        <v>111</v>
      </c>
    </row>
    <row r="73" spans="2:30" x14ac:dyDescent="0.25">
      <c r="B73" s="39" t="str">
        <f>'Operacion 2'!B$3</f>
        <v>BMW.DE</v>
      </c>
      <c r="C73" s="8">
        <f>'Operacion 2'!B$2</f>
        <v>43605</v>
      </c>
      <c r="D73" s="8"/>
      <c r="E73" s="14">
        <f>'Operacion 2'!B$5</f>
        <v>62</v>
      </c>
      <c r="F73" s="9">
        <f>'Operacion 2'!B$4</f>
        <v>65.23</v>
      </c>
      <c r="G73" s="9">
        <f>'Operacion 2'!B$6</f>
        <v>76.03</v>
      </c>
      <c r="H73" s="10">
        <f>'Operacion 2'!B$7</f>
        <v>0.16556799018856339</v>
      </c>
      <c r="I73" s="9">
        <f t="shared" ref="I73:I74" si="9">F73*E73</f>
        <v>4044.26</v>
      </c>
      <c r="J73" s="9">
        <f>IF((I73*(0.0075))&lt;30,30,(I73*(0.0075)))</f>
        <v>30.331949999999999</v>
      </c>
      <c r="K73" s="9">
        <f>I73*0.0035</f>
        <v>14.154910000000001</v>
      </c>
      <c r="L73" s="9">
        <f t="shared" ref="L73:L74" si="10">SUM(I73:K73)</f>
        <v>4088.7468600000002</v>
      </c>
      <c r="M73" s="9">
        <f t="shared" ref="M73:M74" si="11">E73*G73</f>
        <v>4713.8599999999997</v>
      </c>
      <c r="N73" s="9">
        <f>IF((M73*(0.0075))&lt;30,-30,-(M73*(0.0075)))</f>
        <v>-35.353949999999998</v>
      </c>
      <c r="O73" s="9">
        <f>-(M73*0.0035)</f>
        <v>-16.49851</v>
      </c>
      <c r="P73" s="9">
        <f t="shared" ref="P73:P74" si="12">SUM(M73:O73)</f>
        <v>4662.0075399999996</v>
      </c>
      <c r="Q73" s="9">
        <f t="shared" ref="Q73:R74" si="13">J73-N73</f>
        <v>65.685900000000004</v>
      </c>
      <c r="R73" s="9">
        <f t="shared" si="13"/>
        <v>30.653420000000001</v>
      </c>
      <c r="S73" s="9">
        <f t="shared" si="8"/>
        <v>573.26067999999941</v>
      </c>
      <c r="T73" s="10">
        <f t="shared" ref="T73" si="14">S73/L73</f>
        <v>0.14020449287486567</v>
      </c>
      <c r="U73" t="s">
        <v>108</v>
      </c>
      <c r="V73" t="s">
        <v>111</v>
      </c>
    </row>
    <row r="74" spans="2:30" x14ac:dyDescent="0.25">
      <c r="B74" s="39" t="str">
        <f>'Operacion 3'!B3</f>
        <v>ITX.MC</v>
      </c>
      <c r="C74" s="8">
        <f>'Operacion 3'!B$2</f>
        <v>43154</v>
      </c>
      <c r="D74" s="8"/>
      <c r="E74" s="14">
        <f>'Operacion 3'!B$5</f>
        <v>196</v>
      </c>
      <c r="F74" s="9">
        <f>'Operacion 3'!B$4</f>
        <v>25.98</v>
      </c>
      <c r="G74" s="9">
        <f>'Operacion 3'!B$6</f>
        <v>30.27</v>
      </c>
      <c r="H74" s="10">
        <f>'Operacion 3'!B$7</f>
        <v>0.16512702078521935</v>
      </c>
      <c r="I74" s="9">
        <f t="shared" si="9"/>
        <v>5092.08</v>
      </c>
      <c r="J74" s="9">
        <f>IF((I74*(0.0075+0.0008))&lt;30,30,(I74*(0.0075+0.0008)))</f>
        <v>42.264263999999997</v>
      </c>
      <c r="K74" s="9">
        <f>I74*0.0027</f>
        <v>13.748616</v>
      </c>
      <c r="L74" s="9">
        <f t="shared" si="10"/>
        <v>5148.0928800000002</v>
      </c>
      <c r="M74" s="9">
        <f t="shared" si="11"/>
        <v>5932.92</v>
      </c>
      <c r="N74" s="9">
        <f>IF((M74*(0.0075))&lt;30,-30,-(M74*(0.0075)))</f>
        <v>-44.496899999999997</v>
      </c>
      <c r="O74" s="9">
        <f>-(M74*0.0035)</f>
        <v>-20.765219999999999</v>
      </c>
      <c r="P74" s="9">
        <f t="shared" si="12"/>
        <v>5867.6578799999997</v>
      </c>
      <c r="Q74" s="9">
        <f t="shared" si="13"/>
        <v>86.761163999999994</v>
      </c>
      <c r="R74" s="9">
        <f t="shared" si="13"/>
        <v>34.513835999999998</v>
      </c>
      <c r="S74" s="9">
        <f>P74-L74</f>
        <v>719.5649999999996</v>
      </c>
      <c r="T74" s="10">
        <f>S74/L74</f>
        <v>0.13977311924488814</v>
      </c>
      <c r="U74" t="s">
        <v>58</v>
      </c>
      <c r="V74" t="s">
        <v>111</v>
      </c>
      <c r="AB74" s="56"/>
    </row>
    <row r="75" spans="2:30" x14ac:dyDescent="0.25">
      <c r="S75" s="56">
        <f>S74+SUM(S61:S64)+S67</f>
        <v>804.01499999999965</v>
      </c>
      <c r="T75" s="10">
        <f>S75/L74</f>
        <v>0.1561772521866388</v>
      </c>
    </row>
    <row r="76" spans="2:30" x14ac:dyDescent="0.25">
      <c r="E76" s="48"/>
      <c r="I76" s="48"/>
      <c r="J76" s="48"/>
      <c r="K76" s="48"/>
      <c r="L76" s="48"/>
      <c r="M76" s="48"/>
      <c r="N76" s="48"/>
      <c r="O76" s="48"/>
      <c r="P76" s="48"/>
      <c r="S76" s="48"/>
    </row>
    <row r="77" spans="2:30" x14ac:dyDescent="0.25">
      <c r="G77" s="5"/>
      <c r="H77" s="48"/>
      <c r="V77" t="s">
        <v>46</v>
      </c>
    </row>
    <row r="78" spans="2:30" x14ac:dyDescent="0.25">
      <c r="U78" t="s">
        <v>68</v>
      </c>
      <c r="V78">
        <v>26.25</v>
      </c>
      <c r="AB78" s="56"/>
    </row>
    <row r="79" spans="2:30" x14ac:dyDescent="0.25">
      <c r="I79" s="5"/>
      <c r="J79" s="5"/>
      <c r="K79" s="5"/>
      <c r="L79" s="5"/>
      <c r="M79" s="5"/>
      <c r="N79" s="5"/>
      <c r="O79" s="5"/>
      <c r="P79" s="5"/>
      <c r="Q79" s="5"/>
      <c r="S79" s="5"/>
      <c r="U79" t="s">
        <v>66</v>
      </c>
      <c r="V79">
        <v>30.27</v>
      </c>
      <c r="X79" t="s">
        <v>113</v>
      </c>
    </row>
    <row r="80" spans="2:30" x14ac:dyDescent="0.25">
      <c r="E80" t="s">
        <v>62</v>
      </c>
      <c r="F80">
        <v>74.89</v>
      </c>
      <c r="G80">
        <v>52</v>
      </c>
      <c r="H80" s="10">
        <f>1-(G80/F80)</f>
        <v>0.30564828415008682</v>
      </c>
      <c r="O80">
        <v>6769.84</v>
      </c>
      <c r="P80">
        <v>74.459999999999994</v>
      </c>
      <c r="Q80" s="5">
        <v>6695.38</v>
      </c>
      <c r="T80" s="10"/>
      <c r="U80" t="s">
        <v>67</v>
      </c>
      <c r="V80" s="3">
        <f>(V79/V78)-1</f>
        <v>0.15314285714285703</v>
      </c>
      <c r="W80" s="3"/>
      <c r="X80" t="s">
        <v>81</v>
      </c>
    </row>
    <row r="81" spans="4:21" x14ac:dyDescent="0.25">
      <c r="E81" t="s">
        <v>61</v>
      </c>
      <c r="F81">
        <v>182.08</v>
      </c>
      <c r="G81">
        <v>126</v>
      </c>
      <c r="H81" s="10">
        <f>1-(G81/F81)</f>
        <v>0.30799648506151145</v>
      </c>
      <c r="I81" s="5"/>
      <c r="J81" s="5"/>
      <c r="K81" s="5"/>
      <c r="L81" s="5"/>
      <c r="M81" s="5"/>
      <c r="N81" s="5"/>
      <c r="O81" s="5"/>
      <c r="P81" s="5"/>
      <c r="Q81" s="5">
        <f>Q80-L74</f>
        <v>1547.28712</v>
      </c>
      <c r="S81" s="5"/>
    </row>
    <row r="82" spans="4:21" x14ac:dyDescent="0.25">
      <c r="E82" t="s">
        <v>63</v>
      </c>
      <c r="F82">
        <v>93.54</v>
      </c>
      <c r="G82">
        <v>65</v>
      </c>
      <c r="H82" s="10">
        <f>1-(G82/F82)</f>
        <v>0.30511011332050464</v>
      </c>
      <c r="I82" s="9"/>
      <c r="J82" s="9"/>
      <c r="K82" s="9"/>
      <c r="L82" s="5"/>
      <c r="Q82" s="56">
        <f>Q81*0.1</f>
        <v>154.728712</v>
      </c>
    </row>
    <row r="83" spans="4:21" x14ac:dyDescent="0.25">
      <c r="D83" t="s">
        <v>107</v>
      </c>
      <c r="F83">
        <v>20</v>
      </c>
      <c r="G83">
        <v>14</v>
      </c>
      <c r="H83" s="10">
        <f>1-(G83/F83)</f>
        <v>0.30000000000000004</v>
      </c>
      <c r="Q83" s="56">
        <f>Q81-Q82</f>
        <v>1392.5584079999999</v>
      </c>
      <c r="S83" s="43"/>
    </row>
    <row r="84" spans="4:21" x14ac:dyDescent="0.25">
      <c r="G84" s="5"/>
      <c r="S84" s="9"/>
      <c r="T84">
        <f>(0.00242*12)</f>
        <v>2.9039999999999996E-2</v>
      </c>
    </row>
    <row r="85" spans="4:21" x14ac:dyDescent="0.25">
      <c r="P85" s="9"/>
      <c r="S85" s="45"/>
      <c r="T85">
        <f>4700*T84</f>
        <v>136.48799999999997</v>
      </c>
    </row>
    <row r="86" spans="4:21" x14ac:dyDescent="0.25">
      <c r="Q86" s="3"/>
      <c r="S86" s="50" t="s">
        <v>119</v>
      </c>
      <c r="T86" s="48" t="s">
        <v>120</v>
      </c>
      <c r="U86" s="5"/>
    </row>
    <row r="87" spans="4:21" ht="15.75" x14ac:dyDescent="0.25">
      <c r="G87" s="5"/>
      <c r="R87" t="s">
        <v>116</v>
      </c>
      <c r="S87" s="57" t="s">
        <v>148</v>
      </c>
      <c r="T87" s="49"/>
      <c r="U87" s="5"/>
    </row>
    <row r="88" spans="4:21" x14ac:dyDescent="0.25">
      <c r="F88" s="5"/>
      <c r="G88" s="5"/>
      <c r="R88" t="s">
        <v>117</v>
      </c>
      <c r="S88" s="57" t="s">
        <v>118</v>
      </c>
      <c r="T88" t="s">
        <v>121</v>
      </c>
    </row>
    <row r="89" spans="4:21" x14ac:dyDescent="0.25">
      <c r="F89" s="5"/>
      <c r="G89" s="5"/>
      <c r="H89" s="5"/>
      <c r="K89" t="s">
        <v>122</v>
      </c>
      <c r="S89" s="5"/>
      <c r="T89" t="s">
        <v>135</v>
      </c>
      <c r="U89" s="5"/>
    </row>
    <row r="90" spans="4:21" x14ac:dyDescent="0.25">
      <c r="K90" s="58">
        <v>43587</v>
      </c>
      <c r="S90" s="43"/>
    </row>
    <row r="91" spans="4:21" x14ac:dyDescent="0.25">
      <c r="K91" t="s">
        <v>123</v>
      </c>
      <c r="S91" s="44"/>
    </row>
    <row r="92" spans="4:21" x14ac:dyDescent="0.25">
      <c r="K92" t="s">
        <v>124</v>
      </c>
      <c r="M92" t="s">
        <v>147</v>
      </c>
      <c r="S92" s="57"/>
      <c r="T92">
        <f>5000/12</f>
        <v>416.66666666666669</v>
      </c>
    </row>
    <row r="93" spans="4:21" x14ac:dyDescent="0.25">
      <c r="K93" t="s">
        <v>125</v>
      </c>
      <c r="T93">
        <f>2.2/T92</f>
        <v>5.28E-3</v>
      </c>
    </row>
    <row r="94" spans="4:21" x14ac:dyDescent="0.25">
      <c r="K94" t="s">
        <v>126</v>
      </c>
      <c r="T94">
        <f>100*T93</f>
        <v>0.52800000000000002</v>
      </c>
    </row>
    <row r="95" spans="4:21" x14ac:dyDescent="0.25">
      <c r="K95" t="s">
        <v>127</v>
      </c>
      <c r="T95">
        <f>2.2*12</f>
        <v>26.400000000000002</v>
      </c>
    </row>
    <row r="96" spans="4:21" x14ac:dyDescent="0.25">
      <c r="K96" t="s">
        <v>128</v>
      </c>
    </row>
    <row r="97" spans="11:11" x14ac:dyDescent="0.25">
      <c r="K97" t="s">
        <v>129</v>
      </c>
    </row>
    <row r="98" spans="11:11" x14ac:dyDescent="0.25">
      <c r="K98" t="s">
        <v>130</v>
      </c>
    </row>
    <row r="99" spans="11:11" x14ac:dyDescent="0.25">
      <c r="K99" t="s">
        <v>131</v>
      </c>
    </row>
    <row r="100" spans="11:11" x14ac:dyDescent="0.25">
      <c r="K100" t="s">
        <v>132</v>
      </c>
    </row>
    <row r="101" spans="11:11" x14ac:dyDescent="0.25">
      <c r="K101" t="s">
        <v>133</v>
      </c>
    </row>
    <row r="102" spans="11:11" x14ac:dyDescent="0.25">
      <c r="K102" t="s">
        <v>134</v>
      </c>
    </row>
  </sheetData>
  <mergeCells count="5">
    <mergeCell ref="A11:R11"/>
    <mergeCell ref="A10:R10"/>
    <mergeCell ref="I43:L43"/>
    <mergeCell ref="M43:P43"/>
    <mergeCell ref="Q43:S4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H17" sqref="H17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74</v>
      </c>
      <c r="B2" s="55" t="s">
        <v>75</v>
      </c>
      <c r="C2" s="55" t="s">
        <v>76</v>
      </c>
      <c r="D2" s="55" t="s">
        <v>80</v>
      </c>
    </row>
    <row r="3" spans="1:5" x14ac:dyDescent="0.25">
      <c r="A3" t="s">
        <v>73</v>
      </c>
      <c r="B3" s="56">
        <f>1094.26</f>
        <v>1094.26</v>
      </c>
      <c r="C3" s="3">
        <f>B3/B$7</f>
        <v>0.27057113044166298</v>
      </c>
      <c r="D3" s="56">
        <f>D$7*C3</f>
        <v>0</v>
      </c>
    </row>
    <row r="4" spans="1:5" x14ac:dyDescent="0.25">
      <c r="A4" t="s">
        <v>77</v>
      </c>
      <c r="B4" s="56">
        <v>1350</v>
      </c>
      <c r="C4" s="3">
        <f t="shared" ref="C4:C6" si="0">B4/B$7</f>
        <v>0.33380643183178133</v>
      </c>
      <c r="D4" s="56">
        <f t="shared" ref="D4:D6" si="1">D$7*C4</f>
        <v>0</v>
      </c>
    </row>
    <row r="5" spans="1:5" x14ac:dyDescent="0.25">
      <c r="A5" t="s">
        <v>78</v>
      </c>
      <c r="B5" s="56">
        <v>550</v>
      </c>
      <c r="C5" s="3">
        <f t="shared" si="0"/>
        <v>0.1359952129685035</v>
      </c>
      <c r="D5" s="56">
        <f t="shared" si="1"/>
        <v>0</v>
      </c>
    </row>
    <row r="6" spans="1:5" x14ac:dyDescent="0.25">
      <c r="A6" t="s">
        <v>115</v>
      </c>
      <c r="B6" s="56">
        <v>1050</v>
      </c>
      <c r="C6" s="3">
        <f t="shared" si="0"/>
        <v>0.25962722475805217</v>
      </c>
      <c r="D6" s="56">
        <f t="shared" si="1"/>
        <v>0</v>
      </c>
    </row>
    <row r="7" spans="1:5" x14ac:dyDescent="0.25">
      <c r="A7" t="s">
        <v>54</v>
      </c>
      <c r="B7" s="56">
        <f>SUM(B3:B6)</f>
        <v>4044.26</v>
      </c>
      <c r="C7" s="3">
        <f>SUM(C3:C6)</f>
        <v>1</v>
      </c>
      <c r="D7" s="56">
        <v>0</v>
      </c>
      <c r="E7" t="s">
        <v>82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112</v>
      </c>
      <c r="B11" s="56">
        <v>5092.08</v>
      </c>
    </row>
    <row r="12" spans="1:5" x14ac:dyDescent="0.25">
      <c r="A12" t="s">
        <v>54</v>
      </c>
      <c r="B12" s="56">
        <f>B7+B11</f>
        <v>9136.34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5"/>
  <sheetViews>
    <sheetView topLeftCell="A4" workbookViewId="0">
      <selection sqref="A1:D25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79</v>
      </c>
    </row>
    <row r="4" spans="1:4" x14ac:dyDescent="0.25">
      <c r="A4" t="s">
        <v>83</v>
      </c>
    </row>
    <row r="5" spans="1:4" x14ac:dyDescent="0.25">
      <c r="A5" t="s">
        <v>84</v>
      </c>
    </row>
    <row r="6" spans="1:4" x14ac:dyDescent="0.25">
      <c r="A6" t="s">
        <v>85</v>
      </c>
    </row>
    <row r="7" spans="1:4" x14ac:dyDescent="0.25">
      <c r="A7" t="s">
        <v>110</v>
      </c>
    </row>
    <row r="8" spans="1:4" x14ac:dyDescent="0.25">
      <c r="A8" t="s">
        <v>86</v>
      </c>
    </row>
    <row r="9" spans="1:4" x14ac:dyDescent="0.25">
      <c r="A9" t="s">
        <v>87</v>
      </c>
    </row>
    <row r="10" spans="1:4" x14ac:dyDescent="0.25">
      <c r="A10" t="s">
        <v>114</v>
      </c>
    </row>
    <row r="15" spans="1:4" x14ac:dyDescent="0.25">
      <c r="A15" s="55" t="s">
        <v>88</v>
      </c>
      <c r="B15" s="55" t="s">
        <v>97</v>
      </c>
      <c r="C15" s="55" t="s">
        <v>96</v>
      </c>
      <c r="D15" s="55" t="s">
        <v>98</v>
      </c>
    </row>
    <row r="17" spans="1:4" x14ac:dyDescent="0.25">
      <c r="A17" t="s">
        <v>89</v>
      </c>
      <c r="B17" t="s">
        <v>99</v>
      </c>
      <c r="C17" t="s">
        <v>100</v>
      </c>
      <c r="D17" t="s">
        <v>103</v>
      </c>
    </row>
    <row r="18" spans="1:4" x14ac:dyDescent="0.25">
      <c r="A18" t="s">
        <v>90</v>
      </c>
      <c r="B18" t="s">
        <v>101</v>
      </c>
      <c r="C18" t="s">
        <v>104</v>
      </c>
      <c r="D18" t="s">
        <v>99</v>
      </c>
    </row>
    <row r="19" spans="1:4" x14ac:dyDescent="0.25">
      <c r="A19" t="s">
        <v>91</v>
      </c>
      <c r="B19" t="s">
        <v>105</v>
      </c>
      <c r="C19" t="s">
        <v>102</v>
      </c>
      <c r="D19" t="s">
        <v>103</v>
      </c>
    </row>
    <row r="20" spans="1:4" x14ac:dyDescent="0.25">
      <c r="A20" t="s">
        <v>92</v>
      </c>
      <c r="B20" t="s">
        <v>99</v>
      </c>
      <c r="C20" t="s">
        <v>104</v>
      </c>
      <c r="D20" t="s">
        <v>106</v>
      </c>
    </row>
    <row r="21" spans="1:4" x14ac:dyDescent="0.25">
      <c r="A21" t="s">
        <v>93</v>
      </c>
      <c r="B21" t="s">
        <v>99</v>
      </c>
      <c r="C21" t="s">
        <v>100</v>
      </c>
      <c r="D21" t="s">
        <v>106</v>
      </c>
    </row>
    <row r="22" spans="1:4" x14ac:dyDescent="0.25">
      <c r="A22" t="s">
        <v>94</v>
      </c>
      <c r="B22" t="s">
        <v>103</v>
      </c>
      <c r="C22" t="s">
        <v>102</v>
      </c>
      <c r="D22" t="s">
        <v>105</v>
      </c>
    </row>
    <row r="23" spans="1:4" x14ac:dyDescent="0.25">
      <c r="A23" t="s">
        <v>95</v>
      </c>
      <c r="B23" t="s">
        <v>99</v>
      </c>
      <c r="C23" t="s">
        <v>102</v>
      </c>
      <c r="D23" t="s">
        <v>99</v>
      </c>
    </row>
    <row r="24" spans="1:4" x14ac:dyDescent="0.25">
      <c r="A24" t="s">
        <v>55</v>
      </c>
      <c r="B24" t="s">
        <v>103</v>
      </c>
      <c r="C24" t="s">
        <v>100</v>
      </c>
      <c r="D24" t="s">
        <v>99</v>
      </c>
    </row>
    <row r="25" spans="1:4" x14ac:dyDescent="0.25">
      <c r="A25" t="s">
        <v>146</v>
      </c>
      <c r="B25" t="s">
        <v>103</v>
      </c>
      <c r="C25" t="s">
        <v>100</v>
      </c>
      <c r="D25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Operacion 1</vt:lpstr>
      <vt:lpstr>Operacion 2</vt:lpstr>
      <vt:lpstr>Operacion 3</vt:lpstr>
      <vt:lpstr>Historial</vt:lpstr>
      <vt:lpstr>Sheet1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2019-05-24T15:13:49Z</dcterms:modified>
</cp:coreProperties>
</file>