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C6FEB49C-0545-4666-B11A-390583259784}" xr6:coauthVersionLast="31" xr6:coauthVersionMax="31" xr10:uidLastSave="{00000000-0000-0000-0000-000000000000}"/>
  <bookViews>
    <workbookView xWindow="240" yWindow="105" windowWidth="14805" windowHeight="7785" activeTab="8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<sst xmlns="http://schemas.openxmlformats.org/spreadsheetml/2006/main" count="5147" uniqueCount="540">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</sst>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49" zoomScaleNormal="100" workbookViewId="0">
      <pane xSplit="1" topLeftCell="AD1" activePane="topRight" state="frozen"/>
      <selection pane="topRight" activeCell="AN68" sqref="AN68:AO6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30.24</v>
      </c>
      <c r="AH20" s="83">
        <f t="shared" ref="AH20:AH45" si="8">AD20+AF20-AG20</f>
        <v>605.64999999999986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1139.6499999999999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1673.6499999999999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1942.6499999999999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2211.6499999999996</v>
      </c>
      <c r="AY20" s="40">
        <f t="shared" ref="AY20:AY27" si="13">E20+I20+M20+Q20+U20+Y20+AC20+AG20+AK20+AO20+AS20+AW20</f>
        <v>5522.5099999999993</v>
      </c>
      <c r="AZ20" s="41">
        <f t="shared" ref="AZ20:AZ45" si="14">AY20/AY$46</f>
        <v>0.16927570970762637</v>
      </c>
      <c r="BA20" s="42">
        <f>_xlfn.RANK.EQ(AZ20,$AZ$20:$AZ$45,)</f>
        <v>2</v>
      </c>
      <c r="BB20" s="42">
        <f t="shared" ref="BB20:BB45" ca="1" si="15">AY20/BB$17</f>
        <v>690.31374999999991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0.23580239912825857</v>
      </c>
      <c r="BA21" s="42">
        <f t="shared" ref="BA21:BA45" si="16">_xlfn.RANK.EQ(AZ21,$AZ$20:$AZ$45,)</f>
        <v>1</v>
      </c>
      <c r="BB21" s="42">
        <f t="shared" ca="1" si="15"/>
        <v>961.61250000000007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161.96</v>
      </c>
      <c r="AH22" s="85">
        <f t="shared" si="8"/>
        <v>349.7700000000001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809.7700000000001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1309.77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1819.77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2329.77</v>
      </c>
      <c r="AY22" s="43">
        <f t="shared" si="13"/>
        <v>3259.69</v>
      </c>
      <c r="AZ22" s="41">
        <f t="shared" si="14"/>
        <v>9.9915860392620875E-2</v>
      </c>
      <c r="BA22" s="42">
        <f t="shared" si="16"/>
        <v>3</v>
      </c>
      <c r="BB22" s="42">
        <f t="shared" ca="1" si="15"/>
        <v>407.46125000000001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40.75</v>
      </c>
      <c r="AH23" s="84">
        <f t="shared" si="8"/>
        <v>159.01000000000002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309.01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459.01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609.01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759.01</v>
      </c>
      <c r="AY23" s="45">
        <f t="shared" si="13"/>
        <v>1434.09</v>
      </c>
      <c r="AZ23" s="41">
        <f t="shared" si="14"/>
        <v>4.3957657393940426E-2</v>
      </c>
      <c r="BA23" s="42">
        <f t="shared" si="16"/>
        <v>7</v>
      </c>
      <c r="BB23" s="42">
        <f t="shared" ca="1" si="15"/>
        <v>179.26124999999999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3.461157080524211E-2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8.0631798028159993E-2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22.990000000000002</v>
      </c>
      <c r="AH26" s="85">
        <f t="shared" si="8"/>
        <v>57.00999999999997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105.00999999999996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153.00999999999996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201.00999999999996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249.00999999999996</v>
      </c>
      <c r="AY26" s="43">
        <f t="shared" si="13"/>
        <v>352.46000000000004</v>
      </c>
      <c r="AZ26" s="41">
        <f t="shared" si="14"/>
        <v>1.0803586891386345E-2</v>
      </c>
      <c r="BA26" s="42">
        <f t="shared" si="16"/>
        <v>15</v>
      </c>
      <c r="BB26" s="42">
        <f t="shared" ca="1" si="15"/>
        <v>44.057500000000005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7.5719516250898509E-3</v>
      </c>
      <c r="BA27" s="42">
        <f t="shared" si="16"/>
        <v>18</v>
      </c>
      <c r="BB27" s="42">
        <f t="shared" ca="1" si="15"/>
        <v>30.87875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6.6062005833066428E-2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2.2999078908851826E-2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20.63</v>
      </c>
      <c r="AH30" s="89">
        <f t="shared" si="8"/>
        <v>54.410000000000011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89.410000000000011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124.41000000000001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159.41000000000003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194.41000000000003</v>
      </c>
      <c r="AY30" s="43">
        <f t="shared" si="17"/>
        <v>269.46000000000004</v>
      </c>
      <c r="AZ30" s="41">
        <f t="shared" si="14"/>
        <v>8.2594749014156636E-3</v>
      </c>
      <c r="BA30" s="42">
        <f t="shared" si="16"/>
        <v>16</v>
      </c>
      <c r="BB30" s="42">
        <f t="shared" ca="1" si="15"/>
        <v>33.682500000000005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1.9463989320860037E-2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12.46</v>
      </c>
      <c r="AH32" s="89">
        <f t="shared" si="8"/>
        <v>37.54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87.539999999999992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137.54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217.54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297.53999999999996</v>
      </c>
      <c r="AY32" s="43">
        <f t="shared" si="17"/>
        <v>1059.0500000000002</v>
      </c>
      <c r="AZ32" s="41">
        <f t="shared" si="14"/>
        <v>3.2461949433475315E-2</v>
      </c>
      <c r="BA32" s="42">
        <f t="shared" si="16"/>
        <v>10</v>
      </c>
      <c r="BB32" s="42">
        <f t="shared" ca="1" si="15"/>
        <v>132.38125000000002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9.6676255618885921E-4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7.9319587976465447E-2</v>
      </c>
      <c r="BA34" s="42">
        <f t="shared" si="16"/>
        <v>5</v>
      </c>
      <c r="BB34" s="42">
        <f t="shared" ca="1" si="15"/>
        <v>323.46875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4.2547974135883182E-2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8.1445300825916875E-3</v>
      </c>
      <c r="BA36" s="42">
        <f t="shared" si="16"/>
        <v>17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1.5391264500288899E-2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10.3</v>
      </c>
      <c r="AH38" s="85">
        <f t="shared" si="8"/>
        <v>59.350000000000023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129.35000000000002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199.35000000000002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259.35000000000002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319.35000000000002</v>
      </c>
      <c r="AY38" s="43">
        <f t="shared" si="17"/>
        <v>521.43999999999994</v>
      </c>
      <c r="AZ38" s="41">
        <f t="shared" si="14"/>
        <v>1.598315368735316E-2</v>
      </c>
      <c r="BA38" s="42">
        <f t="shared" si="16"/>
        <v>13</v>
      </c>
      <c r="BB38" s="42">
        <f t="shared" ca="1" si="15"/>
        <v>65.179999999999993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3.6442105359953542E-3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2.1854841552398749E-3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680.84</v>
      </c>
      <c r="AH46" s="116">
        <f>SUM(AH20:AH45)</f>
        <v>24791.529999999995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28691.53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32591.53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37475.17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42358.81</v>
      </c>
      <c r="AY46" s="28">
        <f>SUM(AY20:AY45)</f>
        <v>32624.349999999991</v>
      </c>
      <c r="AZ46" s="1"/>
      <c r="BA46" s="1"/>
      <c r="BB46" s="29">
        <f ca="1">SUM(BB20:BB45)</f>
        <v>4078.0437499999989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302.77999999999997</v>
      </c>
      <c r="AH47" s="82"/>
      <c r="AI47" s="82">
        <f>AI5-AH46</f>
        <v>-10239.639999999994</v>
      </c>
      <c r="AJ47" s="82">
        <f>AI17-AJ46</f>
        <v>-3900</v>
      </c>
      <c r="AK47" s="82">
        <f>AI17-AK46</f>
        <v>0</v>
      </c>
      <c r="AL47" s="82"/>
      <c r="AM47" s="82">
        <f>AM5-AL46</f>
        <v>-14139.639999999998</v>
      </c>
      <c r="AN47" s="82">
        <f>AM17-AN46</f>
        <v>-3900</v>
      </c>
      <c r="AO47" s="82">
        <f>AM17-AO46</f>
        <v>0</v>
      </c>
      <c r="AP47" s="82"/>
      <c r="AQ47" s="82">
        <f>AQ5-AP46</f>
        <v>-19039.64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-23923.279999999999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189.96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6" t="s">
        <v>200</v>
      </c>
      <c r="Y54" s="227"/>
      <c r="Z54" s="198">
        <v>15</v>
      </c>
      <c r="AA54" s="185"/>
      <c r="AB54" s="228" t="s">
        <v>372</v>
      </c>
      <c r="AC54" s="229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6" t="s">
        <v>200</v>
      </c>
      <c r="Q55" s="227"/>
      <c r="R55" s="196">
        <v>15</v>
      </c>
      <c r="S55" s="186">
        <v>43238</v>
      </c>
      <c r="T55" s="226" t="s">
        <v>361</v>
      </c>
      <c r="U55" s="227"/>
      <c r="V55" s="190"/>
      <c r="W55" s="186">
        <v>43253</v>
      </c>
      <c r="X55" s="226" t="s">
        <v>221</v>
      </c>
      <c r="Y55" s="227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6" t="s">
        <v>200</v>
      </c>
      <c r="AG55" s="227"/>
      <c r="AH55" s="190">
        <v>15</v>
      </c>
      <c r="AI55" s="186"/>
      <c r="AJ55" s="220"/>
      <c r="AK55" s="221"/>
      <c r="AL55" s="190"/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6" t="s">
        <v>330</v>
      </c>
      <c r="Q56" s="227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8" t="s">
        <v>289</v>
      </c>
      <c r="AG56" s="229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6" t="s">
        <v>301</v>
      </c>
      <c r="Q57" s="227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6" t="s">
        <v>289</v>
      </c>
      <c r="AC57" s="227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6" t="s">
        <v>361</v>
      </c>
      <c r="AC58" s="227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2" t="s">
        <v>380</v>
      </c>
      <c r="U59" s="233"/>
      <c r="V59" s="190"/>
      <c r="W59" s="186">
        <v>43263</v>
      </c>
      <c r="X59" s="232" t="s">
        <v>380</v>
      </c>
      <c r="Y59" s="233"/>
      <c r="Z59" s="190"/>
      <c r="AA59" s="186"/>
      <c r="AB59" s="232" t="s">
        <v>455</v>
      </c>
      <c r="AC59" s="233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2"/>
      <c r="U60" s="233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2" t="s">
        <v>380</v>
      </c>
      <c r="AG60" s="233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2"/>
      <c r="U61" s="233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2"/>
      <c r="U62" s="233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2"/>
      <c r="U63" s="233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2"/>
      <c r="U64" s="233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2"/>
      <c r="U65" s="233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0" t="s">
        <v>434</v>
      </c>
      <c r="Y71" s="231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E31" sqref="E3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-0.17619999999999997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134386.18232309908</v>
      </c>
      <c r="L6" s="123">
        <f>B4*(E8/100)</f>
        <v>36.359769135000001</v>
      </c>
      <c r="M6" s="133">
        <f ca="1">B13-L6</f>
        <v>362.8076769009142</v>
      </c>
    </row>
    <row r="7" spans="1:13" ht="12.75" customHeight="1">
      <c r="E7" s="126"/>
      <c r="J7" t="s">
        <v>144</v>
      </c>
      <c r="K7" s="133">
        <f ca="1">K6-(B13-L7)</f>
        <v>134023.27674859334</v>
      </c>
      <c r="L7" s="123">
        <f ca="1">(K6*(E8/100))</f>
        <v>36.261871530182908</v>
      </c>
      <c r="M7" s="133">
        <f ca="1">B13-L7</f>
        <v>362.90557450573129</v>
      </c>
    </row>
    <row r="8" spans="1:13" ht="12.75" customHeight="1">
      <c r="B8" s="126"/>
      <c r="D8" t="s">
        <v>145</v>
      </c>
      <c r="E8" s="134">
        <f>(B6+0.5)/12</f>
        <v>2.6983333333333335E-2</v>
      </c>
      <c r="J8" t="s">
        <v>146</v>
      </c>
      <c r="K8" s="133">
        <f ca="1">K7-(B13-L8)</f>
        <v>133660.27325006676</v>
      </c>
      <c r="L8" s="123">
        <f ca="1">(K7*(E8/100))</f>
        <v>36.163947509328771</v>
      </c>
      <c r="M8" s="133">
        <f ca="1">B13-L8</f>
        <v>363.00349852658547</v>
      </c>
    </row>
    <row r="9" spans="1:13" ht="12.75" customHeight="1">
      <c r="B9" s="126"/>
      <c r="D9" t="s">
        <v>147</v>
      </c>
      <c r="E9" s="134">
        <f>1+(E8/100)</f>
        <v>1.0002698333333333</v>
      </c>
      <c r="J9" t="s">
        <v>148</v>
      </c>
      <c r="K9" s="133">
        <f ca="1">K8-(B13-L9)</f>
        <v>133297.17180109615</v>
      </c>
      <c r="L9" s="123">
        <f ca="1">(K8*(E8/100))</f>
        <v>36.065997065309681</v>
      </c>
      <c r="M9" s="133">
        <f ca="1">B13-L9</f>
        <v>363.10144897060457</v>
      </c>
    </row>
    <row r="10" spans="1:13" ht="12.75" customHeight="1">
      <c r="B10" s="126"/>
      <c r="D10" t="s">
        <v>149</v>
      </c>
      <c r="E10" s="134">
        <f ca="1">E9^-B5</f>
        <v>0.90891098586298891</v>
      </c>
      <c r="J10" t="s">
        <v>150</v>
      </c>
      <c r="K10" s="133">
        <f ca="1">K9-(B13-L10)</f>
        <v>132933.97237525124</v>
      </c>
      <c r="L10" s="123">
        <f ca="1">(K9*(E8/100))</f>
        <v>35.96802019099578</v>
      </c>
      <c r="M10" s="133">
        <f ca="1">B13-L10</f>
        <v>363.19942584491844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9.1089014137011084</v>
      </c>
      <c r="J11" t="s">
        <v>153</v>
      </c>
      <c r="K11" s="135">
        <f ca="1">K10-(B13-L11)</f>
        <v>132570.67494609457</v>
      </c>
      <c r="L11" s="123">
        <f ca="1">(K10*(E8/100))</f>
        <v>35.870016879255296</v>
      </c>
      <c r="M11" s="133">
        <f ca="1">B13-L11</f>
        <v>363.29742915665895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399.16744603591422</v>
      </c>
      <c r="E13" s="126"/>
      <c r="F13" s="128"/>
      <c r="G13" s="137"/>
      <c r="L13" s="138">
        <f ca="1">SUM(L6:L11)</f>
        <v>216.68962231007245</v>
      </c>
      <c r="M13" s="138">
        <f ca="1">SUM(M6:M11)</f>
        <v>2178.3150539054127</v>
      </c>
    </row>
    <row r="14" spans="1:13" ht="12.75" customHeight="1">
      <c r="A14" t="s">
        <v>155</v>
      </c>
      <c r="B14" s="139">
        <f>B4*(E8/100)</f>
        <v>36.359769135000001</v>
      </c>
      <c r="E14" s="126"/>
    </row>
    <row r="15" spans="1:13" ht="12.75" customHeight="1">
      <c r="A15" t="s">
        <v>156</v>
      </c>
      <c r="B15" s="139">
        <f ca="1">B13-B14</f>
        <v>362.8076769009142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399.16900603591421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-0.17619999999999997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-0.88099999999999978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2178.3150539054127</v>
      </c>
      <c r="C22" s="142">
        <f ca="1">B22/170000</f>
        <v>1.2813617964149487E-2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132570.67494609457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0.22017250031709079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-8.2672500317090836E-2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5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F27" sqref="F27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-1.7619999999999997E-3</v>
      </c>
      <c r="C23" s="158">
        <f ca="1">Hipoteca!B$13</f>
        <v>399.16744603591422</v>
      </c>
      <c r="D23" s="157">
        <f ca="1">C23-C22</f>
        <v>0.85744603591422219</v>
      </c>
      <c r="F23" s="153">
        <f t="shared" ca="1" si="0"/>
        <v>2395.0046762154852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9.3756814058956889E-3</v>
      </c>
      <c r="C64" s="175">
        <f ca="1">AVERAGE(C2:C63)</f>
        <v>500.95488391072308</v>
      </c>
      <c r="D64" s="176">
        <f ca="1">AVERAGE(D3:D63)</f>
        <v>-21.375359712575513</v>
      </c>
      <c r="L64" s="176">
        <f>AVERAGE(L3:L63)</f>
        <v>-7008.5009999999993</v>
      </c>
    </row>
    <row r="66" spans="4:12">
      <c r="D66" t="s">
        <v>172</v>
      </c>
      <c r="F66" s="153">
        <f ca="1">SUM(F2:F63)</f>
        <v>66126.044676215475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0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B349" workbookViewId="0">
      <selection activeCell="F367" sqref="F367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30.24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161.96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33.75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22.990000000000002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20.63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12.46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</f>
        <v>10.3</v>
      </c>
      <c r="G366" s="91" t="s">
        <v>91</v>
      </c>
    </row>
    <row r="367" spans="2:7">
      <c r="B367" s="68">
        <v>26.77</v>
      </c>
      <c r="C367" s="34" t="s">
        <v>517</v>
      </c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10.3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2018-08-08T15:10:58Z</dcterms:modified>
</cp:coreProperties>
</file>