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153EC07-8C5F-4840-9C23-35607FEB5C7D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2" i="3" l="1"/>
  <c r="V37" i="3" l="1"/>
  <c r="C7" i="6" l="1"/>
  <c r="B3" i="6"/>
  <c r="R23" i="3"/>
  <c r="B4" i="6" l="1"/>
  <c r="S52" i="3" l="1"/>
  <c r="S51" i="3"/>
  <c r="S50" i="3"/>
  <c r="S49" i="3"/>
  <c r="S42" i="3" l="1"/>
  <c r="S41" i="3"/>
  <c r="B7" i="6"/>
  <c r="B12" i="6" l="1"/>
  <c r="C3" i="6"/>
  <c r="D3" i="6" s="1"/>
  <c r="C5" i="6"/>
  <c r="D5" i="6" s="1"/>
  <c r="C4" i="6"/>
  <c r="D4" i="6" s="1"/>
  <c r="C6" i="6"/>
  <c r="D6" i="6" s="1"/>
  <c r="P20" i="3" l="1"/>
  <c r="Q20" i="3"/>
  <c r="F20" i="3"/>
  <c r="R20" i="3" l="1"/>
  <c r="B5" i="2" l="1"/>
  <c r="A30" i="3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S27" i="3" s="1"/>
  <c r="R12" i="3"/>
  <c r="Q13" i="3"/>
  <c r="R27" i="3" l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<sst xmlns="http://schemas.openxmlformats.org/spreadsheetml/2006/main" count="250" uniqueCount="144">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</sst>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68.069999999999993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75.53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0.10959306596151031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75.932084999999987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9"/>
  <sheetViews>
    <sheetView tabSelected="1" topLeftCell="I7" zoomScaleNormal="100" workbookViewId="0">
      <selection activeCell="V17" sqref="V17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142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</f>
        <v>-7.5299999999999994</v>
      </c>
      <c r="S22" s="10"/>
      <c r="T22" t="s">
        <v>143</v>
      </c>
    </row>
    <row r="23" spans="1:21" x14ac:dyDescent="0.25">
      <c r="A23" s="39" t="s">
        <v>139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140</v>
      </c>
    </row>
    <row r="24" spans="1:21" x14ac:dyDescent="0.25">
      <c r="A24" s="7" t="s">
        <v>139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141</v>
      </c>
    </row>
    <row r="25" spans="1:21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7" spans="1:21" x14ac:dyDescent="0.25">
      <c r="H27" s="15">
        <f t="shared" ref="H27:O27" si="0">SUM(H3:H26)</f>
        <v>21656.039999999997</v>
      </c>
      <c r="I27" s="15">
        <f t="shared" si="0"/>
        <v>103.523</v>
      </c>
      <c r="J27" s="15">
        <f t="shared" si="0"/>
        <v>42.339399999999998</v>
      </c>
      <c r="K27" s="15">
        <f t="shared" si="0"/>
        <v>4129.1262000000006</v>
      </c>
      <c r="L27" s="15">
        <f t="shared" si="0"/>
        <v>4531.8</v>
      </c>
      <c r="M27" s="15">
        <f t="shared" si="0"/>
        <v>-33.988500000000002</v>
      </c>
      <c r="N27" s="15">
        <f t="shared" si="0"/>
        <v>-15.861300000000002</v>
      </c>
      <c r="O27" s="15">
        <f t="shared" si="0"/>
        <v>4481.9502000000002</v>
      </c>
      <c r="R27" s="15">
        <f>SUM(R3:R26)</f>
        <v>3527.713467999999</v>
      </c>
      <c r="S27" s="16">
        <f>SUM(S3:S26)</f>
        <v>3.8403392603883049</v>
      </c>
    </row>
    <row r="28" spans="1:21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1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1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1" x14ac:dyDescent="0.25">
      <c r="A30" s="39" t="str">
        <f>'Operacion 2'!B$3</f>
        <v>BMV.DE</v>
      </c>
      <c r="B30" s="8">
        <f>'Operacion 2'!B$2</f>
        <v>42471</v>
      </c>
      <c r="C30" s="8"/>
      <c r="D30" s="14">
        <f>'Operacion 2'!B$5</f>
        <v>60</v>
      </c>
      <c r="E30" s="9">
        <f>'Operacion 2'!B$4</f>
        <v>68.069999999999993</v>
      </c>
      <c r="F30" s="9">
        <f>'Operacion 2'!B$6</f>
        <v>75.53</v>
      </c>
      <c r="G30" s="10">
        <f>'Operacion 2'!B$7</f>
        <v>0.10959306596151031</v>
      </c>
      <c r="H30" s="9">
        <f t="shared" ref="H30:H31" si="2">E30*D30</f>
        <v>4084.2</v>
      </c>
      <c r="I30" s="9">
        <f>IF((H30*(0.0075))&lt;30,30,(H30*(0.0075)))</f>
        <v>30.631499999999999</v>
      </c>
      <c r="J30" s="9">
        <f>H30*0.0035</f>
        <v>14.294699999999999</v>
      </c>
      <c r="K30" s="9">
        <f t="shared" ref="K30:K31" si="3">SUM(H30:J30)</f>
        <v>4129.1262000000006</v>
      </c>
      <c r="L30" s="9">
        <f t="shared" ref="L30:L31" si="4">D30*F30</f>
        <v>4531.8</v>
      </c>
      <c r="M30" s="9">
        <f>IF((L30*(0.0075))&lt;30,-30,-(L30*(0.0075)))</f>
        <v>-33.988500000000002</v>
      </c>
      <c r="N30" s="9">
        <f>-(L30*0.0035)</f>
        <v>-15.861300000000002</v>
      </c>
      <c r="O30" s="9">
        <f t="shared" ref="O30:O31" si="5">SUM(L30:N30)</f>
        <v>4481.9502000000002</v>
      </c>
      <c r="P30" s="9">
        <f t="shared" ref="P30:P31" si="6">I30-M30</f>
        <v>64.62</v>
      </c>
      <c r="Q30" s="9">
        <f t="shared" ref="Q30:Q31" si="7">J30-N30</f>
        <v>30.155999999999999</v>
      </c>
      <c r="R30" s="9">
        <f t="shared" si="1"/>
        <v>352.82399999999961</v>
      </c>
      <c r="S30" s="10">
        <f t="shared" ref="S30" si="8">R30/K30</f>
        <v>8.5447618433168629E-2</v>
      </c>
      <c r="T30" t="s">
        <v>110</v>
      </c>
      <c r="U30" t="s">
        <v>113</v>
      </c>
    </row>
    <row r="31" spans="1:21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30.57</v>
      </c>
      <c r="G31" s="10">
        <f>'Operacion 3'!B$7</f>
        <v>0.1766743648960738</v>
      </c>
      <c r="H31" s="9">
        <f t="shared" si="2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3"/>
        <v>5148.0928800000002</v>
      </c>
      <c r="L31" s="9">
        <f t="shared" si="4"/>
        <v>5991.72</v>
      </c>
      <c r="M31" s="9">
        <f>IF((L31*(0.0075))&lt;30,-30,-(L31*(0.0075)))</f>
        <v>-44.937899999999999</v>
      </c>
      <c r="N31" s="9">
        <f>-(L31*0.0035)</f>
        <v>-20.971020000000003</v>
      </c>
      <c r="O31" s="9">
        <f t="shared" si="5"/>
        <v>5925.8110800000004</v>
      </c>
      <c r="P31" s="9">
        <f t="shared" si="6"/>
        <v>87.202163999999996</v>
      </c>
      <c r="Q31" s="9">
        <f t="shared" si="7"/>
        <v>34.719636000000001</v>
      </c>
      <c r="R31" s="9">
        <f>O31-K31</f>
        <v>777.71820000000025</v>
      </c>
      <c r="S31" s="10">
        <f>R31/K31</f>
        <v>0.15106918583799914</v>
      </c>
      <c r="T31" t="s">
        <v>58</v>
      </c>
      <c r="U31" t="s">
        <v>113</v>
      </c>
    </row>
    <row r="32" spans="1:21" x14ac:dyDescent="0.25">
      <c r="R32" s="56">
        <f>R31+SUM(R19:R22)</f>
        <v>818.57820000000027</v>
      </c>
      <c r="S32" s="10">
        <f>R32/K31</f>
        <v>0.15900610557748915</v>
      </c>
    </row>
    <row r="33" spans="3:23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3" x14ac:dyDescent="0.25">
      <c r="F34" s="5"/>
      <c r="G34" s="48"/>
      <c r="U34" t="s">
        <v>46</v>
      </c>
      <c r="V34" t="s">
        <v>139</v>
      </c>
    </row>
    <row r="35" spans="3:23" x14ac:dyDescent="0.25">
      <c r="T35" t="s">
        <v>70</v>
      </c>
      <c r="U35">
        <v>26</v>
      </c>
      <c r="V35">
        <v>73.510000000000005</v>
      </c>
    </row>
    <row r="36" spans="3:23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V36">
        <v>75.53</v>
      </c>
      <c r="W36" t="s">
        <v>115</v>
      </c>
    </row>
    <row r="37" spans="3:23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0.17576923076923068</v>
      </c>
      <c r="V37" s="3">
        <f>(V36/V35)-1</f>
        <v>2.7479254523194108E-2</v>
      </c>
      <c r="W37" t="s">
        <v>83</v>
      </c>
    </row>
    <row r="38" spans="3:23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3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3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3" x14ac:dyDescent="0.25">
      <c r="F41" s="5"/>
      <c r="R41" s="9"/>
      <c r="S41">
        <f>(0.00242*12)</f>
        <v>2.9039999999999996E-2</v>
      </c>
    </row>
    <row r="42" spans="3:23" x14ac:dyDescent="0.25">
      <c r="O42" s="9"/>
      <c r="R42" s="45"/>
      <c r="S42">
        <f>4700*S41</f>
        <v>136.48799999999997</v>
      </c>
    </row>
    <row r="43" spans="3:23" x14ac:dyDescent="0.25">
      <c r="P43" s="3"/>
      <c r="R43" s="50" t="s">
        <v>122</v>
      </c>
      <c r="S43" s="48" t="s">
        <v>123</v>
      </c>
      <c r="T43" s="5"/>
    </row>
    <row r="44" spans="3:23" ht="15.75" x14ac:dyDescent="0.25">
      <c r="F44" s="5"/>
      <c r="Q44" t="s">
        <v>119</v>
      </c>
      <c r="R44" s="57" t="s">
        <v>118</v>
      </c>
      <c r="S44" s="49"/>
      <c r="T44" s="5"/>
    </row>
    <row r="45" spans="3:23" x14ac:dyDescent="0.25">
      <c r="E45" s="5"/>
      <c r="F45" s="5"/>
      <c r="Q45" t="s">
        <v>120</v>
      </c>
      <c r="R45" s="57" t="s">
        <v>121</v>
      </c>
      <c r="S45" t="s">
        <v>124</v>
      </c>
    </row>
    <row r="46" spans="3:23" x14ac:dyDescent="0.25">
      <c r="E46" s="5"/>
      <c r="F46" s="5"/>
      <c r="G46" s="5"/>
      <c r="J46" t="s">
        <v>125</v>
      </c>
      <c r="R46" s="5"/>
      <c r="S46" t="s">
        <v>138</v>
      </c>
      <c r="T46" s="5"/>
    </row>
    <row r="47" spans="3:23" x14ac:dyDescent="0.25">
      <c r="J47" s="58">
        <v>43587</v>
      </c>
      <c r="R47" s="43"/>
    </row>
    <row r="48" spans="3:23" x14ac:dyDescent="0.25">
      <c r="J48" t="s">
        <v>126</v>
      </c>
      <c r="R48" s="44"/>
    </row>
    <row r="49" spans="10:19" x14ac:dyDescent="0.25">
      <c r="J49" t="s">
        <v>127</v>
      </c>
      <c r="R49" s="57"/>
      <c r="S49">
        <f>5000/12</f>
        <v>416.66666666666669</v>
      </c>
    </row>
    <row r="50" spans="10:19" x14ac:dyDescent="0.25">
      <c r="J50" t="s">
        <v>128</v>
      </c>
      <c r="S50">
        <f>2.2/S49</f>
        <v>5.28E-3</v>
      </c>
    </row>
    <row r="51" spans="10:19" x14ac:dyDescent="0.25">
      <c r="J51" t="s">
        <v>129</v>
      </c>
      <c r="S51">
        <f>100*S50</f>
        <v>0.52800000000000002</v>
      </c>
    </row>
    <row r="52" spans="10:19" x14ac:dyDescent="0.25">
      <c r="J52" t="s">
        <v>130</v>
      </c>
      <c r="S52">
        <f>2.2*12</f>
        <v>26.400000000000002</v>
      </c>
    </row>
    <row r="53" spans="10:19" x14ac:dyDescent="0.25">
      <c r="J53" t="s">
        <v>131</v>
      </c>
    </row>
    <row r="54" spans="10:19" x14ac:dyDescent="0.25">
      <c r="J54" t="s">
        <v>132</v>
      </c>
    </row>
    <row r="55" spans="10:19" x14ac:dyDescent="0.25">
      <c r="J55" t="s">
        <v>133</v>
      </c>
    </row>
    <row r="56" spans="10:19" x14ac:dyDescent="0.25">
      <c r="J56" t="s">
        <v>134</v>
      </c>
    </row>
    <row r="57" spans="10:19" x14ac:dyDescent="0.25">
      <c r="J57" t="s">
        <v>135</v>
      </c>
    </row>
    <row r="58" spans="10:19" x14ac:dyDescent="0.25">
      <c r="J58" t="s">
        <v>136</v>
      </c>
    </row>
    <row r="59" spans="10:19" x14ac:dyDescent="0.25">
      <c r="J59" t="s">
        <v>137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D3" sqref="D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1000-15.8</f>
        <v>984.2</v>
      </c>
      <c r="C3" s="3">
        <f>B3/B$7</f>
        <v>0.24097742519954951</v>
      </c>
      <c r="D3" s="56">
        <f>D$7*C3</f>
        <v>85.021655158905062</v>
      </c>
    </row>
    <row r="4" spans="1:5" x14ac:dyDescent="0.25">
      <c r="A4" t="s">
        <v>79</v>
      </c>
      <c r="B4" s="56">
        <f>1230</f>
        <v>1230</v>
      </c>
      <c r="C4" s="3">
        <f t="shared" ref="C4:C6" si="0">B4/B$7</f>
        <v>0.30116057000146906</v>
      </c>
      <c r="D4" s="56">
        <f t="shared" ref="D4:D6" si="1">D$7*C4</f>
        <v>106.25547230791831</v>
      </c>
    </row>
    <row r="5" spans="1:5" x14ac:dyDescent="0.25">
      <c r="A5" t="s">
        <v>80</v>
      </c>
      <c r="B5" s="56">
        <v>500</v>
      </c>
      <c r="C5" s="3">
        <f t="shared" si="0"/>
        <v>0.12242299593555654</v>
      </c>
      <c r="D5" s="56">
        <f t="shared" si="1"/>
        <v>43.193281425983059</v>
      </c>
    </row>
    <row r="6" spans="1:5" x14ac:dyDescent="0.25">
      <c r="A6" t="s">
        <v>117</v>
      </c>
      <c r="B6" s="56">
        <v>1370</v>
      </c>
      <c r="C6" s="3">
        <f t="shared" si="0"/>
        <v>0.33543900886342493</v>
      </c>
      <c r="D6" s="56">
        <f t="shared" si="1"/>
        <v>118.34959110719358</v>
      </c>
    </row>
    <row r="7" spans="1:5" x14ac:dyDescent="0.25">
      <c r="A7" t="s">
        <v>54</v>
      </c>
      <c r="B7" s="56">
        <f>SUM(B3:B6)</f>
        <v>4084.2</v>
      </c>
      <c r="C7" s="3">
        <f>SUM(C3:C6)</f>
        <v>1</v>
      </c>
      <c r="D7" s="56">
        <v>352.82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9176.2799999999988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topLeftCell="A4" workbookViewId="0">
      <selection activeCell="K19" sqref="K1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2019-04-12T15:51:53Z</dcterms:modified>
</cp:coreProperties>
</file>