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4CD023E-D71E-4AA7-9550-B64EC68E2EFD}" xr6:coauthVersionLast="41" xr6:coauthVersionMax="41" xr10:uidLastSave="{00000000-0000-0000-0000-000000000000}"/>
  <bookViews>
    <workbookView xWindow="-16320" yWindow="-120" windowWidth="16440" windowHeight="285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13" l="1"/>
  <c r="B468" i="13"/>
  <c r="B287" i="13"/>
  <c r="B299" i="13"/>
  <c r="A358" i="13"/>
  <c r="B359" i="13"/>
  <c r="B30" i="13"/>
  <c r="A111" i="13"/>
  <c r="A109" i="13"/>
  <c r="B467" i="13"/>
  <c r="B130" i="13"/>
  <c r="H257" i="13"/>
  <c r="A257" i="13"/>
  <c r="D54" i="13"/>
  <c r="D55" i="13" l="1"/>
  <c r="B358" i="13" l="1"/>
  <c r="D56" i="13"/>
  <c r="F79" i="13"/>
  <c r="D53" i="13" l="1"/>
  <c r="M5" i="13"/>
  <c r="D288" i="13"/>
  <c r="L25" i="13"/>
  <c r="D366" i="13" l="1"/>
  <c r="F366" i="13" l="1"/>
  <c r="A286" i="13" l="1"/>
  <c r="A346" i="13" l="1"/>
  <c r="A30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56" i="13" l="1"/>
  <c r="B257" i="13"/>
  <c r="B308" i="12" l="1"/>
  <c r="L55" i="11"/>
  <c r="H310" i="12"/>
  <c r="H309" i="12"/>
  <c r="A431" i="12" l="1"/>
  <c r="A430" i="1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60" i="13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AX28" i="1"/>
  <c r="BJ28" i="1"/>
  <c r="AX25" i="1"/>
  <c r="BJ25" i="1"/>
  <c r="AX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BJ29" i="1" l="1"/>
  <c r="BJ31" i="1"/>
  <c r="AH34" i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AX38" i="1"/>
  <c r="BJ38" i="1" s="1"/>
  <c r="AX30" i="1"/>
  <c r="BJ30" i="1"/>
  <c r="AX39" i="1"/>
  <c r="AX27" i="1"/>
  <c r="BJ27" i="1" s="1"/>
  <c r="AX34" i="1"/>
  <c r="AX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9" i="1" l="1"/>
  <c r="BJ36" i="1"/>
  <c r="BJ32" i="1"/>
  <c r="BJ23" i="1"/>
  <c r="BJ34" i="1"/>
  <c r="A300" i="9"/>
  <c r="A286" i="10"/>
  <c r="K8" i="14"/>
  <c r="L9" i="14" s="1"/>
  <c r="A246" i="5"/>
  <c r="A246" i="6" s="1"/>
  <c r="AX21" i="1"/>
  <c r="BJ21" i="1"/>
  <c r="AX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BJ22" i="1" l="1"/>
  <c r="A286" i="1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BJ26" i="1" l="1"/>
  <c r="A300" i="12"/>
  <c r="A300" i="13"/>
  <c r="M11" i="14"/>
  <c r="N11" i="14" s="1"/>
  <c r="L13" i="14"/>
  <c r="K11" i="14"/>
  <c r="B23" i="14" s="1"/>
  <c r="AX20" i="1"/>
  <c r="AX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J40" i="1" l="1"/>
  <c r="BJ20" i="1"/>
  <c r="M13" i="14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T46" i="1"/>
  <c r="AU47" i="1" s="1"/>
  <c r="AX46" i="1" l="1"/>
  <c r="AY48" i="1" s="1"/>
  <c r="BJ41" i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<sst xmlns="http://schemas.openxmlformats.org/spreadsheetml/2006/main" count="5959" uniqueCount="1011">
  <si>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</si>
  <si>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</si>
  <si>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</si>
  <si>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</si>
  <si>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</si>
  <si>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</si>
  <si>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</si>
  <si>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</si>
  <si>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</si>
  <si>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</si>
  <si>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</si>
  <si>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</si>
  <si>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</si>
  <si>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</si>
  <si>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</si>
  <si>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</si>
  <si>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</si>
  <si>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</si>
  <si>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</si>
  <si>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</si>
  <si>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</si>
  <si>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</si>
  <si>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</si>
  <si>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</si>
  <si>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</si>
  <si>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</si>
  <si>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</si>
  <si>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</si>
  <si>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</si>
  <si>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</si>
  <si>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</si>
  <si>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</si>
  <si>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</si>
  <si>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</si>
  <si>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</si>
  <si>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</si>
  <si>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</si>
  <si>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</si>
  <si>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</si>
  <si>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</si>
  <si>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</si>
  <si>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</si>
  <si>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</si>
  <si>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</si>
  <si>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</si>
  <si>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</si>
  <si>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</si>
  <si>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</si>
  <si>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</si>
  <si>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</si>
  <si>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</si>
  <si>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</si>
  <si>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</si>
  <si>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</si>
  <si>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</si>
  <si>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</si>
  <si>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</si>
  <si>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</si>
  <si>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</si>
  <si>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</si>
  <si>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</si>
  <si>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</si>
  <si>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</si>
  <si>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</si>
  <si>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</si>
  <si>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</si>
  <si>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</si>
  <si>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</si>
  <si>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</si>
  <si>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</si>
  <si>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</si>
  <si>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</si>
  <si>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</si>
  <si>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</si>
  <si>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</si>
  <si>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</si>
  <si>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</si>
  <si>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</si>
  <si>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</si>
  <si>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</si>
  <si>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</si>
  <si>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</si>
  <si>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</si>
  <si>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</si>
  <si>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</si>
  <si>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</si>
  <si>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</si>
  <si>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</si>
  <si>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</si>
  <si>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</si>
  <si>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</si>
  <si>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</si>
  <si>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</si>
  <si>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</si>
  <si>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</si>
  <si>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</si>
  <si>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</si>
  <si>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</si>
  <si>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</si>
  <si>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</si>
  <si>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</si>
  <si>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</si>
  <si>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</si>
  <si>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</si>
  <si>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</si>
  <si>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</si>
  <si>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</si>
  <si>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</si>
  <si>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</si>
  <si>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</si>
  <si>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</si>
  <si>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</si>
  <si>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</si>
  <si>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</si>
  <si>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</si>
  <si>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</si>
  <si>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</si>
  <si>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</si>
  <si>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</si>
  <si>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</si>
  <si>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</si>
  <si>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</si>
  <si>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</si>
  <si>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</si>
  <si>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</si>
  <si>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</si>
  <si>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</si>
  <si>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</si>
  <si>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</si>
  <si>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</si>
  <si>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</si>
  <si>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</si>
  <si>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</si>
  <si>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</si>
  <si>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</si>
  <si>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</si>
  <si>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</si>
  <si>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</si>
  <si>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</si>
  <si>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</si>
  <si>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</si>
  <si>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</si>
  <si>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</si>
  <si>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</si>
  <si>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</si>
  <si>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</si>
  <si>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</si>
  <si>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</si>
  <si>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</si>
  <si>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</si>
  <si>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</si>
  <si>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</si>
  <si>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</si>
  <si>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</si>
  <si>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</si>
  <si>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</si>
  <si>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</si>
  <si>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</si>
  <si>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</si>
  <si>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</si>
  <si>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</si>
  <si>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</si>
  <si>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</si>
  <si>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</si>
  <si>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</si>
  <si>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</si>
  <si>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</si>
  <si>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</si>
  <si>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</si>
  <si>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</si>
  <si>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</si>
  <si>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</si>
  <si>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</si>
  <si>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</si>
  <si>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</si>
  <si>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</si>
  <si>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</si>
  <si>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</si>
  <si>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</si>
  <si>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</si>
  <si>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</si>
  <si>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</si>
  <si>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</si>
  <si>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</si>
  <si>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</si>
  <si>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</si>
  <si>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</si>
  <si>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</si>
  <si>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</si>
  <si>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</si>
  <si>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</si>
  <si>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</si>
  <si>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</si>
  <si>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</si>
  <si>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</si>
  <si>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</si>
  <si>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</si>
  <si>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</si>
  <si>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</si>
  <si>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</si>
  <si>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</si>
  <si>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</si>
  <si>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</si>
  <si>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</si>
  <si>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</si>
  <si>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</si>
  <si>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</si>
  <si>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</si>
  <si>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</si>
  <si>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</si>
  <si>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</si>
  <si>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</si>
  <si>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</si>
  <si>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</si>
  <si>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</si>
  <si>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</si>
  <si>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</si>
  <si>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</si>
  <si>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</si>
  <si>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</si>
  <si>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</si>
  <si>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</si>
  <si>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</si>
  <si>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</si>
  <si>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</si>
  <si>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</si>
  <si>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</si>
  <si>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</si>
  <si>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</si>
  <si>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</si>
  <si>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</si>
  <si>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</si>
  <si>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</si>
  <si>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</si>
  <si>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</si>
  <si>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</si>
  <si>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</si>
  <si>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</si>
  <si>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</si>
  <si>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</si>
  <si>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</si>
  <si>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</si>
  <si>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</si>
  <si>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</si>
  <si>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</si>
  <si>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</si>
  <si>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</si>
  <si>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</si>
  <si>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</si>
  <si>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</si>
  <si>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</si>
  <si>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</si>
  <si>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</si>
  <si>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</si>
  <si>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</si>
  <si>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</si>
  <si>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</si>
  <si>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</si>
  <si>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</si>
  <si>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</si>
  <si>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</si>
  <si>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</si>
  <si>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</si>
  <si>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</si>
  <si>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</si>
  <si>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</si>
  <si>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</si>
  <si>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</si>
  <si>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</si>
  <si>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</si>
  <si>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</si>
  <si>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</si>
  <si>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</si>
  <si>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</si>
  <si>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</si>
  <si>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</si>
  <si>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</si>
  <si>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</si>
  <si>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</si>
  <si>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</si>
  <si>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</si>
  <si>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</si>
  <si>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</si>
  <si>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</si>
  <si>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</si>
  <si>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</si>
  <si>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</si>
  <si>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</si>
  <si>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</si>
  <si>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</si>
  <si>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</si>
  <si>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</si>
  <si>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</si>
  <si>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</si>
  <si>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</si>
  <si>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</si>
  <si>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</si>
  <si>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</si>
  <si>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</si>
  <si>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</si>
  <si>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</si>
  <si>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</si>
  <si>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</si>
  <si>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</si>
  <si>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</si>
  <si>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</si>
  <si>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</si>
  <si>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</si>
  <si>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</si>
  <si>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</si>
  <si>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</si>
  <si>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</si>
  <si>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</si>
  <si>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</si>
  <si>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</si>
  <si>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</si>
  <si>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</si>
  <si>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</si>
  <si>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</si>
  <si>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</si>
  <si>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</si>
  <si>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</si>
  <si>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</si>
  <si>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</si>
  <si>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</si>
  <si>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</si>
  <si>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</si>
  <si>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</si>
  <si>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</si>
  <si>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</si>
  <si>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</si>
  <si>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</si>
  <si>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</si>
  <si>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</si>
  <si>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</si>
  <si>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</si>
  <si>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</si>
  <si>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</si>
  <si>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</si>
  <si>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</si>
  <si>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</si>
  <si>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</si>
  <si>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</si>
  <si>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</si>
  <si>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</si>
  <si>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</si>
  <si>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</si>
  <si>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</si>
  <si>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</si>
  <si>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</si>
  <si>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</si>
  <si>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</si>
  <si>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</si>
  <si>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</si>
  <si>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</si>
  <si>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</si>
  <si>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</si>
  <si>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</si>
  <si>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</si>
  <si>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</si>
  <si>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</si>
  <si>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</si>
  <si>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</si>
  <si>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</si>
  <si>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</si>
  <si>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</si>
  <si>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</si>
  <si>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</si>
  <si>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</si>
  <si>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</si>
  <si>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</si>
  <si>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</si>
  <si>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</si>
  <si>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</si>
  <si>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</si>
  <si>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</si>
  <si>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</si>
  <si>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</si>
  <si>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</si>
  <si>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</si>
  <si>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</si>
  <si>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</si>
  <si>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</si>
  <si>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</si>
  <si>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</si>
  <si>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</si>
  <si>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</si>
  <si>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</si>
  <si>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</si>
  <si>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</si>
  <si>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</si>
  <si>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</si>
  <si>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</si>
  <si>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</si>
  <si>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</si>
  <si>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</si>
  <si>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</si>
  <si>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</si>
  <si>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</si>
  <si>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</si>
  <si>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</si>
  <si>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</si>
  <si>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</si>
  <si>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</si>
  <si>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</si>
  <si>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</si>
  <si>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</si>
  <si>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</si>
  <si>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</si>
  <si>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</si>
  <si>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</si>
  <si>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</si>
  <si>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</si>
  <si>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</si>
  <si>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</si>
  <si>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</si>
  <si>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</si>
  <si>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</si>
  <si>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</si>
  <si>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</si>
  <si>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</si>
  <si>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</si>
  <si>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</si>
  <si>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</si>
  <si>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</si>
  <si>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</si>
  <si>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</si>
  <si>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</si>
  <si>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</si>
  <si>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</si>
  <si>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</si>
  <si>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</si>
  <si>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</si>
  <si>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</si>
  <si>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</si>
  <si>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</si>
  <si>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</si>
  <si>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</si>
  <si>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</si>
  <si>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</si>
  <si>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</si>
  <si>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</si>
  <si>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</si>
  <si>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</si>
  <si>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</si>
  <si>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</si>
  <si>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</si>
  <si>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</si>
  <si>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</si>
  <si>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</si>
  <si>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</si>
  <si>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</si>
  <si>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</si>
  <si>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</si>
  <si>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</si>
  <si>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</si>
  <si>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</si>
  <si>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</si>
  <si>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</si>
  <si>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</si>
  <si>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</si>
  <si>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</si>
  <si>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</si>
  <si>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</si>
  <si>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</si>
  <si>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</si>
  <si>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</si>
  <si>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</si>
  <si>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</si>
  <si>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</si>
  <si>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</si>
  <si>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</si>
  <si>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</si>
  <si>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</si>
  <si>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</si>
  <si>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</si>
  <si>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</si>
  <si>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</si>
  <si>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</si>
  <si>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</si>
  <si>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</si>
  <si>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</si>
  <si>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</si>
  <si>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</si>
  <si>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</si>
  <si>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</si>
  <si>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</si>
  <si>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</si>
  <si>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</si>
  <si>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</si>
  <si>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</si>
  <si>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</si>
  <si>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</si>
  <si>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</si>
  <si>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</si>
  <si>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</si>
  <si>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</si>
  <si>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</si>
  <si>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</si>
  <si>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</si>
  <si>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</si>
  <si>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</si>
  <si>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</si>
  <si>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</si>
  <si>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</si>
  <si>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</si>
  <si>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</si>
  <si>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</si>
  <si>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</si>
  <si>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</si>
  <si>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</si>
  <si>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</si>
  <si>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</si>
  <si>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</si>
  <si>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</si>
  <si>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</si>
  <si>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</si>
  <si>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</si>
  <si>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</si>
  <si>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</si>
  <si>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</si>
  <si>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</si>
  <si>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</si>
  <si>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</si>
  <si>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</si>
  <si>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</si>
  <si>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</si>
  <si>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</si>
  <si>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</si>
  <si>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</si>
  <si>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</si>
  <si>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</si>
  <si>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</si>
  <si>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</si>
  <si>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</si>
  <si>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</si>
  <si>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</si>
  <si>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</si>
  <si>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</si>
  <si>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</si>
  <si>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</si>
  <si>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</si>
  <si>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</si>
  <si>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</si>
  <si>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</si>
  <si>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</si>
  <si>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</si>
  <si>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</si>
  <si>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</si>
  <si>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</si>
  <si>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</si>
  <si>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</si>
  <si>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</si>
  <si>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</si>
  <si>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</si>
  <si>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</si>
  <si>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</si>
  <si>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</si>
  <si>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</si>
  <si>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</si>
  <si>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</si>
  <si>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</si>
  <si>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</si>
  <si>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</si>
  <si>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</si>
  <si>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</si>
  <si>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</si>
  <si>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</si>
  <si>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</si>
  <si>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</si>
  <si>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</si>
  <si>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</si>
  <si>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</si>
  <si>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</si>
  <si>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</si>
  <si>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</si>
  <si>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</si>
  <si>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</si>
  <si>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</si>
  <si>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</si>
  <si>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</si>
  <si>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</si>
  <si>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</si>
  <si>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</si>
  <si>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</si>
  <si>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</si>
  <si>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</si>
  <si>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</si>
  <si>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</si>
  <si>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</si>
  <si>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</si>
  <si>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</si>
  <si>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</si>
  <si>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</si>
  <si>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</si>
  <si>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</si>
  <si>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</si>
  <si>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</si>
  <si>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</si>
  <si>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</si>
  <si>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</si>
  <si>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</si>
  <si>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</si>
  <si>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</si>
  <si>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</si>
  <si>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</si>
  <si>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</si>
  <si>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</si>
  <si>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</si>
  <si>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</si>
  <si>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</si>
  <si>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</si>
  <si>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</si>
  <si>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</si>
  <si>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</si>
  <si>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</si>
  <si>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</si>
  <si>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</si>
  <si>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</si>
  <si>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</si>
  <si>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</si>
  <si>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</si>
  <si>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</si>
  <si>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</si>
  <si>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</si>
  <si>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</si>
  <si>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</si>
  <si>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</si>
  <si>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</si>
  <si>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</si>
  <si>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</si>
  <si>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</si>
  <si>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</si>
  <si>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</si>
  <si>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</si>
  <si>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</si>
  <si>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</si>
  <si>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</si>
  <si>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</si>
  <si>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</si>
  <si>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</si>
  <si>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</si>
  <si>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</si>
  <si>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</si>
  <si>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</si>
  <si>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</si>
  <si>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</si>
  <si>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</si>
  <si>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</si>
  <si>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</si>
  <si>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</si>
  <si>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</si>
  <si>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</si>
  <si>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</si>
  <si>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</si>
  <si>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</si>
  <si>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</si>
  <si>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</si>
  <si>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</si>
  <si>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</si>
  <si>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</si>
  <si>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</si>
  <si>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</si>
  <si>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</si>
  <si>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</si>
  <si>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</si>
  <si>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</si>
  <si>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</si>
  <si>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</si>
  <si>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</si>
  <si>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</si>
  <si>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</si>
  <si>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</si>
  <si>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</si>
  <si>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</si>
  <si>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</si>
  <si>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</si>
  <si>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</si>
  <si>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</si>
  <si>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</si>
  <si>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</si>
  <si>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</si>
  <si>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</si>
  <si>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</si>
  <si>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</si>
  <si>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</si>
  <si>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</si>
  <si>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</si>
  <si>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</si>
  <si>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</si>
  <si>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</si>
  <si>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</si>
  <si>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</si>
  <si>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</si>
  <si>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</si>
  <si>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</si>
  <si>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</si>
  <si>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</si>
  <si>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</si>
  <si>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</si>
  <si>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</si>
  <si>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</si>
  <si>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</si>
  <si>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</si>
  <si>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</si>
  <si>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</si>
  <si>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</si>
  <si>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</si>
  <si>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</si>
  <si>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</si>
  <si>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</si>
  <si>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</si>
  <si>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</si>
  <si>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</si>
  <si>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</si>
  <si>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</si>
  <si>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</si>
  <si>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</si>
  <si>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</si>
  <si>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</si>
  <si>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</si>
  <si>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</si>
  <si>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</si>
  <si>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</si>
  <si>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</si>
  <si>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</si>
  <si>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</si>
  <si>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</si>
  <si>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</si>
  <si>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</si>
  <si>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</si>
  <si>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</si>
  <si>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</si>
  <si>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</si>
  <si>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</si>
  <si>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</si>
  <si>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</si>
  <si>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</si>
  <si>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</si>
  <si>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</si>
  <si>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</si>
  <si>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</si>
  <si>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</si>
  <si>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</si>
  <si>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</si>
  <si>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</si>
  <si>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</si>
  <si>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</si>
  <si>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</si>
  <si>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</si>
  <si>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</si>
  <si>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</si>
  <si>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</si>
  <si>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</si>
  <si>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</si>
  <si>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</si>
  <si>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</si>
  <si>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</si>
  <si>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</si>
  <si>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</si>
  <si>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</si>
  <si>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</si>
  <si>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</si>
  <si>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</si>
  <si>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</si>
  <si>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</si>
  <si>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</si>
  <si>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</si>
  <si>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</si>
  <si>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</si>
  <si>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</si>
  <si>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</si>
  <si>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</si>
  <si>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</si>
  <si>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</si>
  <si>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</si>
  <si>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</si>
  <si>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</si>
  <si>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</si>
  <si>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</si>
  <si>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</si>
  <si>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</si>
  <si>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</si>
  <si>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</si>
  <si>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</si>
  <si>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</si>
  <si>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</si>
  <si>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</si>
  <si>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</si>
  <si>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</si>
  <si>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</si>
  <si>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</si>
  <si>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</si>
  <si>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</si>
  <si>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</si>
  <si>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</si>
  <si>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</si>
  <si>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</si>
  <si>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</si>
  <si>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</si>
  <si>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</si>
  <si>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</si>
  <si>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</si>
  <si>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</si>
  <si>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</si>
  <si>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</si>
  <si>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</si>
  <si>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</si>
  <si>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</si>
  <si>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</si>
  <si>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</si>
  <si>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</si>
  <si>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</si>
  <si>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</si>
  <si>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</si>
  <si>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</si>
  <si>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</si>
  <si>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</si>
  <si>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</si>
  <si>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</si>
  <si>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</si>
  <si>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</si>
  <si>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</si>
  <si>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</si>
  <si>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</si>
  <si>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</si>
  <si>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</si>
  <si>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</si>
  <si>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</si>
  <si>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</si>
  <si>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</si>
  <si>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</si>
  <si>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</si>
  <si>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</si>
  <si>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</si>
  <si>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</si>
  <si>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</si>
  <si>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</si>
  <si>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</si>
  <si>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</si>
  <si>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</si>
  <si>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</si>
  <si>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</si>
  <si>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</si>
  <si>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</si>
  <si>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</si>
  <si>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</si>
  <si>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</si>
  <si>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</si>
  <si>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</si>
  <si>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</si>
  <si>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</si>
  <si>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</si>
  <si>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</si>
  <si>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</si>
  <si>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</si>
  <si>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</si>
  <si>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</si>
  <si>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</si>
  <si>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</si>
  <si>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</si>
  <si>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</si>
  <si>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</si>
  <si>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</si>
  <si>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</si>
  <si>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</si>
  <si>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</si>
  <si>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</si>
  <si>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</si>
  <si>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</si>
  <si>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</si>
  <si>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</si>
  <si>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</si>
  <si>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</si>
  <si>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</si>
  <si>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</si>
  <si>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</si>
  <si>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</si>
  <si>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</si>
  <si>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</si>
  <si>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</si>
  <si>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</si>
  <si>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</si>
  <si>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</si>
  <si>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</si>
  <si>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</si>
  <si>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</si>
  <si>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</si>
  <si>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</si>
  <si>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</si>
  <si>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</si>
  <si>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</si>
  <si>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</si>
  <si>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</si>
  <si>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</si>
  <si>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</si>
  <si>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</si>
  <si>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</si>
  <si>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</si>
  <si>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</si>
  <si>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</si>
  <si>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</si>
  <si>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</si>
  <si>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</si>
  <si>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</si>
  <si>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</si>
  <si>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</si>
  <si>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</si>
  <si>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</si>
  <si>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</si>
  <si>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</si>
  <si>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</si>
  <si>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</si>
  <si>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</si>
  <si>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</si>
  <si>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</si>
  <si>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</si>
  <si>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</si>
  <si>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</si>
  <si>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</si>
  <si>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</si>
  <si>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</si>
  <si>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</si>
  <si>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</si>
  <si>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</si>
  <si>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</si>
  <si>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</si>
  <si>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</si>
  <si>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</si>
  <si>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</si>
  <si>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</si>
  <si>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</si>
  <si>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</si>
  <si>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</si>
  <si>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</si>
  <si>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</si>
  <si>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</si>
  <si>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</si>
  <si>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</si>
  <si>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</si>
  <si>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</si>
  <si>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</si>
  <si>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</si>
  <si>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</si>
  <si>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</si>
  <si>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</si>
  <si>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</si>
  <si>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</si>
  <si>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</si>
  <si>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</si>
  <si>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</si>
  <si>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</si>
  <si>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</si>
  <si>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</si>
  <si>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</si>
  <si>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</si>
  <si>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</si>
  <si>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</si>
  <si>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</si>
  <si>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</si>
  <si>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</si>
  <si>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</si>
  <si>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</si>
  <si>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</si>
  <si>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</si>
  <si>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</si>
  <si>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</si>
  <si>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</si>
  <si>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</si>
  <si>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</si>
  <si>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</si>
  <si>
    <t>13/12 Hospital</t>
  </si>
  <si>
    <t>12/12 Salida Rocio</t>
  </si>
  <si>
    <t>13/12 Revision Caldera</t>
  </si>
  <si>
    <t>14/12 Burger King</t>
  </si>
  <si>
    <t>16/12 Carrefour</t>
  </si>
  <si>
    <t>17/12 Farmacia</t>
  </si>
  <si>
    <t>16/12 Shell</t>
  </si>
  <si>
    <t>18/12 Pay-Pal</t>
  </si>
  <si>
    <t>20/12 Pain quotidien</t>
  </si>
  <si>
    <t>20/12 Tartes Cole</t>
  </si>
  <si>
    <t>20/12 Watsec</t>
  </si>
  <si>
    <t>21/12 Aldi</t>
  </si>
  <si>
    <t>22/12 Leonidas</t>
  </si>
  <si>
    <t>21/12 Farmacia</t>
  </si>
  <si>
    <t>21/12 Colruyt</t>
  </si>
  <si>
    <t>22/12 Carrefour</t>
  </si>
  <si>
    <t>23/12 Pain quotidien</t>
  </si>
  <si>
    <t>22/12 Pay-pal chino</t>
  </si>
  <si>
    <t>24/12 KIA</t>
  </si>
  <si>
    <t>26/12 KIA</t>
  </si>
  <si>
    <t>24/12 Parking</t>
  </si>
  <si>
    <t>29/12 Gante</t>
  </si>
  <si>
    <t>SPF</t>
  </si>
  <si>
    <t>27/12 Sequoia</t>
  </si>
  <si>
    <t>26/12 Neuhaus</t>
  </si>
  <si>
    <t>27/12 Delhaize;29/12 Proxy</t>
  </si>
  <si>
    <t>27/12 Esso</t>
  </si>
  <si>
    <t>28/12 Sushi</t>
  </si>
  <si>
    <t>24/12 Extremoduro</t>
  </si>
  <si>
    <t>Abuelo Antonio</t>
  </si>
  <si>
    <t>30/12 Aldi</t>
  </si>
  <si>
    <t>29/12 Ghent</t>
  </si>
  <si>
    <t>Alquiler Diciembre</t>
  </si>
  <si>
    <t>22/12 Carrefour; 30/12 Carrefour</t>
  </si>
  <si>
    <t>21/12 Colruyt; 31/12 Colruyt</t>
  </si>
  <si>
    <t>30/12 Action</t>
  </si>
  <si>
    <t>31/12 Action</t>
  </si>
  <si>
    <t>Ajustes</t>
  </si>
  <si>
    <t>Abuelo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</si>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</sst>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topLeftCell="A7" zoomScaleNormal="100" workbookViewId="0">
      <pane xSplit="1" topLeftCell="AN1" activePane="topRight" state="frozen"/>
      <selection pane="topRight" activeCell="AV46" sqref="AV4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855468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2" t="s">
        <v>0</v>
      </c>
      <c r="D4" s="353"/>
      <c r="E4" s="353"/>
      <c r="F4" s="354"/>
      <c r="G4" s="352" t="s">
        <v>1</v>
      </c>
      <c r="H4" s="353"/>
      <c r="I4" s="353"/>
      <c r="J4" s="354"/>
      <c r="K4" s="352" t="s">
        <v>2</v>
      </c>
      <c r="L4" s="353"/>
      <c r="M4" s="353"/>
      <c r="N4" s="354"/>
      <c r="O4" s="352" t="s">
        <v>3</v>
      </c>
      <c r="P4" s="353"/>
      <c r="Q4" s="353"/>
      <c r="R4" s="354"/>
      <c r="S4" s="352" t="s">
        <v>71</v>
      </c>
      <c r="T4" s="353"/>
      <c r="U4" s="353"/>
      <c r="V4" s="354"/>
      <c r="W4" s="352" t="s">
        <v>70</v>
      </c>
      <c r="X4" s="353"/>
      <c r="Y4" s="353"/>
      <c r="Z4" s="354"/>
      <c r="AA4" s="352" t="s">
        <v>72</v>
      </c>
      <c r="AB4" s="353"/>
      <c r="AC4" s="353"/>
      <c r="AD4" s="354"/>
      <c r="AE4" s="352" t="s">
        <v>73</v>
      </c>
      <c r="AF4" s="353"/>
      <c r="AG4" s="353"/>
      <c r="AH4" s="354"/>
      <c r="AI4" s="352" t="s">
        <v>75</v>
      </c>
      <c r="AJ4" s="353"/>
      <c r="AK4" s="353"/>
      <c r="AL4" s="354"/>
      <c r="AM4" s="352" t="s">
        <v>77</v>
      </c>
      <c r="AN4" s="353"/>
      <c r="AO4" s="353"/>
      <c r="AP4" s="354"/>
      <c r="AQ4" s="352" t="s">
        <v>79</v>
      </c>
      <c r="AR4" s="353"/>
      <c r="AS4" s="353"/>
      <c r="AT4" s="354"/>
      <c r="AU4" s="352" t="s">
        <v>84</v>
      </c>
      <c r="AV4" s="353"/>
      <c r="AW4" s="353"/>
      <c r="AX4" s="3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5">
        <f>'01'!K19</f>
        <v>26383.54</v>
      </c>
      <c r="D5" s="356"/>
      <c r="E5" s="356"/>
      <c r="F5" s="357"/>
      <c r="G5" s="355">
        <f>'02'!K19</f>
        <v>25229.379999999997</v>
      </c>
      <c r="H5" s="356"/>
      <c r="I5" s="356"/>
      <c r="J5" s="357"/>
      <c r="K5" s="362">
        <f>'03'!K19</f>
        <v>25574.760000000002</v>
      </c>
      <c r="L5" s="356"/>
      <c r="M5" s="356"/>
      <c r="N5" s="357"/>
      <c r="O5" s="362">
        <f>'04'!K19</f>
        <v>26443.759999999998</v>
      </c>
      <c r="P5" s="356"/>
      <c r="Q5" s="356"/>
      <c r="R5" s="357"/>
      <c r="S5" s="362">
        <f>'05'!K19</f>
        <v>27163.090000000004</v>
      </c>
      <c r="T5" s="356"/>
      <c r="U5" s="356"/>
      <c r="V5" s="357"/>
      <c r="W5" s="362">
        <f>'06'!K19</f>
        <v>29014.079999999998</v>
      </c>
      <c r="X5" s="356"/>
      <c r="Y5" s="356"/>
      <c r="Z5" s="357"/>
      <c r="AA5" s="362">
        <f>'07'!K19</f>
        <v>29282.959999999999</v>
      </c>
      <c r="AB5" s="356"/>
      <c r="AC5" s="356"/>
      <c r="AD5" s="357"/>
      <c r="AE5" s="362">
        <f>'08'!K19</f>
        <v>29166.850000000002</v>
      </c>
      <c r="AF5" s="356"/>
      <c r="AG5" s="356"/>
      <c r="AH5" s="357"/>
      <c r="AI5" s="362">
        <f>'09'!K19</f>
        <v>29258.260000000002</v>
      </c>
      <c r="AJ5" s="356"/>
      <c r="AK5" s="356"/>
      <c r="AL5" s="357"/>
      <c r="AM5" s="362">
        <f>'10'!K19</f>
        <v>30089.47</v>
      </c>
      <c r="AN5" s="356"/>
      <c r="AO5" s="356"/>
      <c r="AP5" s="357"/>
      <c r="AQ5" s="362">
        <f>'11'!K19</f>
        <v>30103.380000000005</v>
      </c>
      <c r="AR5" s="356"/>
      <c r="AS5" s="356"/>
      <c r="AT5" s="357"/>
      <c r="AU5" s="362">
        <f>'12'!K19</f>
        <v>30685.880000000005</v>
      </c>
      <c r="AV5" s="356"/>
      <c r="AW5" s="356"/>
      <c r="AX5" s="357"/>
      <c r="AZ5" s="6"/>
      <c r="BA5" s="7"/>
      <c r="BB5" s="1"/>
      <c r="BC5" s="1"/>
    </row>
    <row r="6" spans="1:55" ht="17.25" thickTop="1" thickBot="1">
      <c r="A6" s="205"/>
      <c r="B6" s="8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8" t="s">
        <v>229</v>
      </c>
      <c r="D7" s="359"/>
      <c r="E7" s="359"/>
      <c r="F7" s="360"/>
      <c r="G7" s="358" t="s">
        <v>229</v>
      </c>
      <c r="H7" s="359"/>
      <c r="I7" s="359"/>
      <c r="J7" s="360"/>
      <c r="K7" s="358" t="s">
        <v>229</v>
      </c>
      <c r="L7" s="359"/>
      <c r="M7" s="359"/>
      <c r="N7" s="360"/>
      <c r="O7" s="358" t="s">
        <v>229</v>
      </c>
      <c r="P7" s="359"/>
      <c r="Q7" s="359"/>
      <c r="R7" s="360"/>
      <c r="S7" s="358" t="s">
        <v>229</v>
      </c>
      <c r="T7" s="359"/>
      <c r="U7" s="359"/>
      <c r="V7" s="360"/>
      <c r="W7" s="358" t="s">
        <v>229</v>
      </c>
      <c r="X7" s="359"/>
      <c r="Y7" s="359"/>
      <c r="Z7" s="360"/>
      <c r="AA7" s="358" t="s">
        <v>229</v>
      </c>
      <c r="AB7" s="359"/>
      <c r="AC7" s="359"/>
      <c r="AD7" s="360"/>
      <c r="AE7" s="358" t="s">
        <v>229</v>
      </c>
      <c r="AF7" s="359"/>
      <c r="AG7" s="359"/>
      <c r="AH7" s="360"/>
      <c r="AI7" s="358" t="s">
        <v>229</v>
      </c>
      <c r="AJ7" s="359"/>
      <c r="AK7" s="359"/>
      <c r="AL7" s="360"/>
      <c r="AM7" s="358" t="s">
        <v>229</v>
      </c>
      <c r="AN7" s="359"/>
      <c r="AO7" s="359"/>
      <c r="AP7" s="360"/>
      <c r="AQ7" s="358" t="s">
        <v>229</v>
      </c>
      <c r="AR7" s="359"/>
      <c r="AS7" s="359"/>
      <c r="AT7" s="360"/>
      <c r="AU7" s="358" t="s">
        <v>229</v>
      </c>
      <c r="AV7" s="359"/>
      <c r="AW7" s="359"/>
      <c r="AX7" s="360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0">
        <f>SUM('01'!L25:'01'!L29)</f>
        <v>2593.46</v>
      </c>
      <c r="D8" s="341"/>
      <c r="E8" s="341"/>
      <c r="F8" s="342"/>
      <c r="G8" s="340">
        <f>SUM('02'!L25:'02'!L29)</f>
        <v>2592.42</v>
      </c>
      <c r="H8" s="341"/>
      <c r="I8" s="341"/>
      <c r="J8" s="342"/>
      <c r="K8" s="340">
        <f>SUM('03'!L25:'03'!L29)</f>
        <v>2526.87</v>
      </c>
      <c r="L8" s="341"/>
      <c r="M8" s="341"/>
      <c r="N8" s="342"/>
      <c r="O8" s="340">
        <f>SUM('04'!L25:'04'!L29)</f>
        <v>2570.56</v>
      </c>
      <c r="P8" s="341"/>
      <c r="Q8" s="341"/>
      <c r="R8" s="342"/>
      <c r="S8" s="340">
        <f>SUM('05'!L25:'05'!L29)</f>
        <v>4448.8500000000004</v>
      </c>
      <c r="T8" s="341"/>
      <c r="U8" s="341"/>
      <c r="V8" s="342"/>
      <c r="W8" s="340">
        <f>SUM('06'!L25:'06'!L29)</f>
        <v>2574.61</v>
      </c>
      <c r="X8" s="341"/>
      <c r="Y8" s="341"/>
      <c r="Z8" s="342"/>
      <c r="AA8" s="340">
        <f>SUM('07'!L25:'07'!L29)</f>
        <v>2568.54</v>
      </c>
      <c r="AB8" s="341"/>
      <c r="AC8" s="341"/>
      <c r="AD8" s="342"/>
      <c r="AE8" s="340">
        <f>SUM('08'!L25:'08'!L29)</f>
        <v>2571.5500000000002</v>
      </c>
      <c r="AF8" s="341"/>
      <c r="AG8" s="341"/>
      <c r="AH8" s="342"/>
      <c r="AI8" s="340">
        <f>SUM('09'!L25:'09'!L29)</f>
        <v>2573.7399999999998</v>
      </c>
      <c r="AJ8" s="341"/>
      <c r="AK8" s="341"/>
      <c r="AL8" s="342"/>
      <c r="AM8" s="340">
        <f>SUM('10'!L25:'10'!L29)</f>
        <v>2617.69</v>
      </c>
      <c r="AN8" s="341"/>
      <c r="AO8" s="341"/>
      <c r="AP8" s="342"/>
      <c r="AQ8" s="340">
        <f>SUM('11'!L25:'11'!L29)</f>
        <v>2588.0700000000002</v>
      </c>
      <c r="AR8" s="341"/>
      <c r="AS8" s="341"/>
      <c r="AT8" s="342"/>
      <c r="AU8" s="340">
        <f>SUM('12'!L25:'12'!L29)</f>
        <v>4774.1100000000006</v>
      </c>
      <c r="AV8" s="341"/>
      <c r="AW8" s="341"/>
      <c r="AX8" s="342"/>
      <c r="AZ8" s="209">
        <f>SUM(C8:AU8)</f>
        <v>35000.47</v>
      </c>
      <c r="BA8" s="112">
        <f t="shared" ref="BA8:BA16" si="0">AZ8/BC$17</f>
        <v>2916.7058333333334</v>
      </c>
      <c r="BB8" s="1"/>
      <c r="BC8" s="1"/>
    </row>
    <row r="9" spans="1:55" ht="15.75">
      <c r="A9" s="189" t="s">
        <v>212</v>
      </c>
      <c r="B9" s="193">
        <v>5835.74</v>
      </c>
      <c r="C9" s="343">
        <f>SUM('01'!L30:'01'!L34)</f>
        <v>655.59</v>
      </c>
      <c r="D9" s="344"/>
      <c r="E9" s="344"/>
      <c r="F9" s="345"/>
      <c r="G9" s="343">
        <f>SUM('02'!L30:'02'!L34)</f>
        <v>760.26</v>
      </c>
      <c r="H9" s="344"/>
      <c r="I9" s="344"/>
      <c r="J9" s="345"/>
      <c r="K9" s="343">
        <f>SUM('03'!L30:'03'!L34)</f>
        <v>516.44000000000005</v>
      </c>
      <c r="L9" s="344"/>
      <c r="M9" s="344"/>
      <c r="N9" s="345"/>
      <c r="O9" s="343">
        <f>SUM('04'!L30:'04'!L34)</f>
        <v>507.54</v>
      </c>
      <c r="P9" s="344"/>
      <c r="Q9" s="344"/>
      <c r="R9" s="345"/>
      <c r="S9" s="343">
        <f>SUM('05'!L30:'05'!L34)</f>
        <v>578.16999999999996</v>
      </c>
      <c r="T9" s="344"/>
      <c r="U9" s="344"/>
      <c r="V9" s="345"/>
      <c r="W9" s="343">
        <f>SUM('06'!L30:'06'!L34)</f>
        <v>613.67000000000007</v>
      </c>
      <c r="X9" s="344"/>
      <c r="Y9" s="344"/>
      <c r="Z9" s="345"/>
      <c r="AA9" s="343">
        <f>SUM('07'!L30:'07'!L34)</f>
        <v>1147.52</v>
      </c>
      <c r="AB9" s="344"/>
      <c r="AC9" s="344"/>
      <c r="AD9" s="345"/>
      <c r="AE9" s="343">
        <f>SUM('08'!L30:'08'!L34)</f>
        <v>291.60000000000002</v>
      </c>
      <c r="AF9" s="344"/>
      <c r="AG9" s="344"/>
      <c r="AH9" s="345"/>
      <c r="AI9" s="343">
        <f>SUM('09'!L30:'09'!L34)</f>
        <v>291.60000000000002</v>
      </c>
      <c r="AJ9" s="344"/>
      <c r="AK9" s="344"/>
      <c r="AL9" s="345"/>
      <c r="AM9" s="343">
        <f>SUM('10'!L30:'10'!L34)</f>
        <v>599.04999999999995</v>
      </c>
      <c r="AN9" s="344"/>
      <c r="AO9" s="344"/>
      <c r="AP9" s="345"/>
      <c r="AQ9" s="343">
        <f>SUM('11'!L30:'11'!L34)</f>
        <v>302.78999999999996</v>
      </c>
      <c r="AR9" s="344"/>
      <c r="AS9" s="344"/>
      <c r="AT9" s="345"/>
      <c r="AU9" s="343">
        <f>SUM('12'!L30:'12'!L34)</f>
        <v>71</v>
      </c>
      <c r="AV9" s="344"/>
      <c r="AW9" s="344"/>
      <c r="AX9" s="345"/>
      <c r="AZ9" s="210">
        <f t="shared" ref="AZ9:AZ16" si="1">SUM(C9:AW9)</f>
        <v>6335.2300000000014</v>
      </c>
      <c r="BA9" s="112">
        <f t="shared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3">
        <f>SUM('01'!L35:'01'!L39)</f>
        <v>120.85</v>
      </c>
      <c r="D10" s="344"/>
      <c r="E10" s="344"/>
      <c r="F10" s="345"/>
      <c r="G10" s="343">
        <f>SUM('02'!L35:'02'!L39)</f>
        <v>107.38</v>
      </c>
      <c r="H10" s="344"/>
      <c r="I10" s="344"/>
      <c r="J10" s="345"/>
      <c r="K10" s="343">
        <f>SUM('03'!L35:'03'!L39)</f>
        <v>91.73</v>
      </c>
      <c r="L10" s="344"/>
      <c r="M10" s="344"/>
      <c r="N10" s="345"/>
      <c r="O10" s="343">
        <f>SUM('04'!L35:'04'!L39)</f>
        <v>204.23</v>
      </c>
      <c r="P10" s="344"/>
      <c r="Q10" s="344"/>
      <c r="R10" s="345"/>
      <c r="S10" s="343">
        <f>SUM('05'!L35:'05'!L39)</f>
        <v>119.85</v>
      </c>
      <c r="T10" s="344"/>
      <c r="U10" s="344"/>
      <c r="V10" s="345"/>
      <c r="W10" s="346">
        <f>SUM('06'!L35:'06'!L39)</f>
        <v>55.09</v>
      </c>
      <c r="X10" s="347"/>
      <c r="Y10" s="347"/>
      <c r="Z10" s="348"/>
      <c r="AA10" s="346">
        <f>SUM('07'!L35:'07'!L39)</f>
        <v>124.52</v>
      </c>
      <c r="AB10" s="347"/>
      <c r="AC10" s="347"/>
      <c r="AD10" s="348"/>
      <c r="AE10" s="346">
        <f>SUM('08'!L35:'08'!L39)</f>
        <v>164.91</v>
      </c>
      <c r="AF10" s="347"/>
      <c r="AG10" s="347"/>
      <c r="AH10" s="348"/>
      <c r="AI10" s="346">
        <f>SUM('09'!L35:'09'!L39)</f>
        <v>167.95</v>
      </c>
      <c r="AJ10" s="347"/>
      <c r="AK10" s="347"/>
      <c r="AL10" s="348"/>
      <c r="AM10" s="346">
        <f>SUM('10'!L35:'10'!L39)</f>
        <v>0</v>
      </c>
      <c r="AN10" s="347"/>
      <c r="AO10" s="347"/>
      <c r="AP10" s="348"/>
      <c r="AQ10" s="346">
        <f>SUM('11'!L35:'11'!L39)</f>
        <v>0</v>
      </c>
      <c r="AR10" s="347"/>
      <c r="AS10" s="347"/>
      <c r="AT10" s="348"/>
      <c r="AU10" s="346">
        <f>SUM('12'!L35:'12'!L39)</f>
        <v>0</v>
      </c>
      <c r="AV10" s="347"/>
      <c r="AW10" s="347"/>
      <c r="AX10" s="348"/>
      <c r="AZ10" s="211">
        <f t="shared" si="1"/>
        <v>1156.51</v>
      </c>
      <c r="BA10" s="112">
        <f t="shared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3">
        <f>SUM('01'!L40:'01'!L44)</f>
        <v>3.87</v>
      </c>
      <c r="D11" s="344"/>
      <c r="E11" s="344"/>
      <c r="F11" s="345"/>
      <c r="G11" s="343">
        <f>SUM('02'!L40:'02'!L44)</f>
        <v>0</v>
      </c>
      <c r="H11" s="344"/>
      <c r="I11" s="344"/>
      <c r="J11" s="345"/>
      <c r="K11" s="343">
        <f>SUM('03'!L40:'03'!L44)</f>
        <v>0</v>
      </c>
      <c r="L11" s="344"/>
      <c r="M11" s="344"/>
      <c r="N11" s="345"/>
      <c r="O11" s="343">
        <f>SUM('04'!L40:'04'!L44)</f>
        <v>356.59</v>
      </c>
      <c r="P11" s="344"/>
      <c r="Q11" s="344"/>
      <c r="R11" s="345"/>
      <c r="S11" s="343">
        <f>SUM('05'!L40:'05'!L44)</f>
        <v>45.86</v>
      </c>
      <c r="T11" s="344"/>
      <c r="U11" s="344"/>
      <c r="V11" s="345"/>
      <c r="W11" s="343">
        <f>SUM('06'!L40:'06'!L44)</f>
        <v>0</v>
      </c>
      <c r="X11" s="344"/>
      <c r="Y11" s="344"/>
      <c r="Z11" s="345"/>
      <c r="AA11" s="343">
        <f>SUM('07'!L40:'07'!L44)</f>
        <v>1.02</v>
      </c>
      <c r="AB11" s="344"/>
      <c r="AC11" s="344"/>
      <c r="AD11" s="345"/>
      <c r="AE11" s="343">
        <f>SUM('08'!L40:'08'!L44)</f>
        <v>0</v>
      </c>
      <c r="AF11" s="344"/>
      <c r="AG11" s="344"/>
      <c r="AH11" s="345"/>
      <c r="AI11" s="343">
        <f>SUM('09'!L40:'09'!L44)</f>
        <v>0</v>
      </c>
      <c r="AJ11" s="344"/>
      <c r="AK11" s="344"/>
      <c r="AL11" s="345"/>
      <c r="AM11" s="343">
        <f>SUM('10'!L40:'10'!L44)</f>
        <v>52.97</v>
      </c>
      <c r="AN11" s="344"/>
      <c r="AO11" s="344"/>
      <c r="AP11" s="345"/>
      <c r="AQ11" s="343">
        <f>SUM('11'!L40:'11'!L44)</f>
        <v>42.84</v>
      </c>
      <c r="AR11" s="344"/>
      <c r="AS11" s="344"/>
      <c r="AT11" s="345"/>
      <c r="AU11" s="343">
        <f>SUM('12'!L40:'12'!L44)</f>
        <v>721.3</v>
      </c>
      <c r="AV11" s="344"/>
      <c r="AW11" s="344"/>
      <c r="AX11" s="345"/>
      <c r="AZ11" s="210">
        <f t="shared" si="1"/>
        <v>1224.4499999999998</v>
      </c>
      <c r="BA11" s="112">
        <f t="shared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43">
        <f>SUM('01'!L45:'01'!L49)</f>
        <v>137</v>
      </c>
      <c r="D12" s="344"/>
      <c r="E12" s="344"/>
      <c r="F12" s="345"/>
      <c r="G12" s="343">
        <f>SUM('02'!L45:'02'!L49)</f>
        <v>600.04</v>
      </c>
      <c r="H12" s="344"/>
      <c r="I12" s="344"/>
      <c r="J12" s="345"/>
      <c r="K12" s="343">
        <f>SUM('03'!L45:'03'!L49)</f>
        <v>380</v>
      </c>
      <c r="L12" s="344"/>
      <c r="M12" s="344"/>
      <c r="N12" s="345"/>
      <c r="O12" s="343">
        <f>SUM('04'!L45:'04'!L49)</f>
        <v>0</v>
      </c>
      <c r="P12" s="344"/>
      <c r="Q12" s="344"/>
      <c r="R12" s="345"/>
      <c r="S12" s="343">
        <f>SUM('05'!L45:'05'!L49)</f>
        <v>0</v>
      </c>
      <c r="T12" s="344"/>
      <c r="U12" s="344"/>
      <c r="V12" s="345"/>
      <c r="W12" s="346">
        <f>SUM('06'!L45:'06'!L49)</f>
        <v>242.41</v>
      </c>
      <c r="X12" s="347"/>
      <c r="Y12" s="347"/>
      <c r="Z12" s="348"/>
      <c r="AA12" s="346">
        <f>SUM('07'!L45:'07'!L49)</f>
        <v>0</v>
      </c>
      <c r="AB12" s="347"/>
      <c r="AC12" s="347"/>
      <c r="AD12" s="348"/>
      <c r="AE12" s="346">
        <f>SUM('08'!L45:'08'!L49)</f>
        <v>222.98</v>
      </c>
      <c r="AF12" s="347"/>
      <c r="AG12" s="347"/>
      <c r="AH12" s="348"/>
      <c r="AI12" s="346">
        <f>SUM('09'!L45:'09'!L49)</f>
        <v>200</v>
      </c>
      <c r="AJ12" s="347"/>
      <c r="AK12" s="347"/>
      <c r="AL12" s="348"/>
      <c r="AM12" s="346">
        <f>SUM('10'!L45:'10'!L49)</f>
        <v>0</v>
      </c>
      <c r="AN12" s="347"/>
      <c r="AO12" s="347"/>
      <c r="AP12" s="348"/>
      <c r="AQ12" s="346">
        <f>SUM('11'!L45:'11'!L49)</f>
        <v>430</v>
      </c>
      <c r="AR12" s="347"/>
      <c r="AS12" s="347"/>
      <c r="AT12" s="348"/>
      <c r="AU12" s="346">
        <f>SUM('12'!L45:'12'!L49)</f>
        <v>100</v>
      </c>
      <c r="AV12" s="347"/>
      <c r="AW12" s="347"/>
      <c r="AX12" s="348"/>
      <c r="AZ12" s="211">
        <f t="shared" si="1"/>
        <v>2312.4300000000003</v>
      </c>
      <c r="BA12" s="112">
        <f t="shared" si="0"/>
        <v>192.70250000000001</v>
      </c>
      <c r="BB12" s="1"/>
      <c r="BC12" s="1"/>
    </row>
    <row r="13" spans="1:55" ht="15.75">
      <c r="A13" s="189" t="s">
        <v>214</v>
      </c>
      <c r="B13" s="195">
        <v>3443.8099999999995</v>
      </c>
      <c r="C13" s="343">
        <f>SUM('01'!L50:'01'!L54)</f>
        <v>95.8</v>
      </c>
      <c r="D13" s="344"/>
      <c r="E13" s="344"/>
      <c r="F13" s="345"/>
      <c r="G13" s="343">
        <f>SUM('02'!L50:'02'!L54)</f>
        <v>95.8</v>
      </c>
      <c r="H13" s="344"/>
      <c r="I13" s="344"/>
      <c r="J13" s="345"/>
      <c r="K13" s="343">
        <f>SUM('03'!L50:'03'!L54)</f>
        <v>4517.74</v>
      </c>
      <c r="L13" s="344"/>
      <c r="M13" s="344"/>
      <c r="N13" s="345"/>
      <c r="O13" s="343">
        <f>SUM('04'!L50:'04'!L54)</f>
        <v>95.8</v>
      </c>
      <c r="P13" s="344"/>
      <c r="Q13" s="344"/>
      <c r="R13" s="345"/>
      <c r="S13" s="343">
        <f>SUM('05'!L50:'05'!L54)</f>
        <v>95.8</v>
      </c>
      <c r="T13" s="344"/>
      <c r="U13" s="344"/>
      <c r="V13" s="345"/>
      <c r="W13" s="343">
        <f>SUM('06'!L50:'06'!L54)</f>
        <v>95.8</v>
      </c>
      <c r="X13" s="344"/>
      <c r="Y13" s="344"/>
      <c r="Z13" s="345"/>
      <c r="AA13" s="343">
        <f>SUM('07'!L50:'07'!L54)</f>
        <v>95.8</v>
      </c>
      <c r="AB13" s="344"/>
      <c r="AC13" s="344"/>
      <c r="AD13" s="345"/>
      <c r="AE13" s="343">
        <f>SUM('08'!L50:'08'!L54)</f>
        <v>117.03</v>
      </c>
      <c r="AF13" s="344"/>
      <c r="AG13" s="344"/>
      <c r="AH13" s="345"/>
      <c r="AI13" s="343">
        <f>SUM('09'!L50:'09'!L54)</f>
        <v>1072.33</v>
      </c>
      <c r="AJ13" s="344"/>
      <c r="AK13" s="344"/>
      <c r="AL13" s="345"/>
      <c r="AM13" s="343">
        <f>SUM('10'!L50:'10'!L54)</f>
        <v>95.8</v>
      </c>
      <c r="AN13" s="344"/>
      <c r="AO13" s="344"/>
      <c r="AP13" s="345"/>
      <c r="AQ13" s="343">
        <f>SUM('11'!L50:'11'!L54)</f>
        <v>95.8</v>
      </c>
      <c r="AR13" s="344"/>
      <c r="AS13" s="344"/>
      <c r="AT13" s="345"/>
      <c r="AU13" s="343">
        <f>SUM('12'!L50:'12'!L54)</f>
        <v>3626</v>
      </c>
      <c r="AV13" s="344"/>
      <c r="AW13" s="344"/>
      <c r="AX13" s="345"/>
      <c r="AZ13" s="212">
        <f t="shared" si="1"/>
        <v>10099.5</v>
      </c>
      <c r="BA13" s="112">
        <f t="shared" si="0"/>
        <v>841.625</v>
      </c>
      <c r="BB13" s="1"/>
      <c r="BC13" s="1"/>
    </row>
    <row r="14" spans="1:55" ht="15.75">
      <c r="A14" s="190" t="s">
        <v>215</v>
      </c>
      <c r="B14" s="194">
        <v>364.62</v>
      </c>
      <c r="C14" s="343">
        <f>SUM('01'!L55:'01'!L59)</f>
        <v>0</v>
      </c>
      <c r="D14" s="344"/>
      <c r="E14" s="344"/>
      <c r="F14" s="345"/>
      <c r="G14" s="343">
        <f>SUM('02'!L55:'02'!L59)</f>
        <v>0</v>
      </c>
      <c r="H14" s="344"/>
      <c r="I14" s="344"/>
      <c r="J14" s="345"/>
      <c r="K14" s="343">
        <f>SUM('03'!L55:'03'!L59)</f>
        <v>9.44</v>
      </c>
      <c r="L14" s="344"/>
      <c r="M14" s="344"/>
      <c r="N14" s="345"/>
      <c r="O14" s="343">
        <f>SUM('04'!L55:'04'!L59)</f>
        <v>37.980000000000004</v>
      </c>
      <c r="P14" s="344"/>
      <c r="Q14" s="344"/>
      <c r="R14" s="345"/>
      <c r="S14" s="343">
        <f>SUM('05'!L55:'05'!L59)</f>
        <v>17.350000000000001</v>
      </c>
      <c r="T14" s="344"/>
      <c r="U14" s="344"/>
      <c r="V14" s="345"/>
      <c r="W14" s="346">
        <f>SUM('06'!L55:'06'!L59)</f>
        <v>0</v>
      </c>
      <c r="X14" s="347"/>
      <c r="Y14" s="347"/>
      <c r="Z14" s="348"/>
      <c r="AA14" s="346">
        <f>SUM('07'!L55:'07'!L59)</f>
        <v>51.759999999999991</v>
      </c>
      <c r="AB14" s="347"/>
      <c r="AC14" s="347"/>
      <c r="AD14" s="348"/>
      <c r="AE14" s="346">
        <f>SUM('08'!L55:'08'!L59)</f>
        <v>27.42</v>
      </c>
      <c r="AF14" s="347"/>
      <c r="AG14" s="347"/>
      <c r="AH14" s="348"/>
      <c r="AI14" s="346">
        <f>SUM('09'!L55:'09'!L59)</f>
        <v>0</v>
      </c>
      <c r="AJ14" s="347"/>
      <c r="AK14" s="347"/>
      <c r="AL14" s="348"/>
      <c r="AM14" s="346">
        <f>SUM('10'!L55:'10'!L59)</f>
        <v>57.08</v>
      </c>
      <c r="AN14" s="347"/>
      <c r="AO14" s="347"/>
      <c r="AP14" s="348"/>
      <c r="AQ14" s="346">
        <f>SUM('11'!L55:'11'!L59)</f>
        <v>466.40999999999997</v>
      </c>
      <c r="AR14" s="347"/>
      <c r="AS14" s="347"/>
      <c r="AT14" s="348"/>
      <c r="AU14" s="346">
        <f>SUM('12'!L55:'12'!L59)</f>
        <v>100.91</v>
      </c>
      <c r="AV14" s="347"/>
      <c r="AW14" s="347"/>
      <c r="AX14" s="348"/>
      <c r="AZ14" s="211">
        <f t="shared" si="1"/>
        <v>768.34999999999991</v>
      </c>
      <c r="BA14" s="112">
        <f t="shared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3">
        <f>SUM('01'!L60:'01'!L64)</f>
        <v>0</v>
      </c>
      <c r="D15" s="344"/>
      <c r="E15" s="344"/>
      <c r="F15" s="345"/>
      <c r="G15" s="343">
        <f>SUM('02'!L60:'02'!L64)</f>
        <v>665.77</v>
      </c>
      <c r="H15" s="344"/>
      <c r="I15" s="344"/>
      <c r="J15" s="345"/>
      <c r="K15" s="343">
        <f>SUM('03'!L60:'03'!L64)</f>
        <v>682.39</v>
      </c>
      <c r="L15" s="344"/>
      <c r="M15" s="344"/>
      <c r="N15" s="345"/>
      <c r="O15" s="343">
        <f>SUM('04'!L60:'04'!L64)</f>
        <v>550</v>
      </c>
      <c r="P15" s="344"/>
      <c r="Q15" s="344"/>
      <c r="R15" s="345"/>
      <c r="S15" s="343">
        <f>SUM('05'!L60:'05'!L64)</f>
        <v>652.44000000000005</v>
      </c>
      <c r="T15" s="344"/>
      <c r="U15" s="344"/>
      <c r="V15" s="345"/>
      <c r="W15" s="343">
        <f>SUM('06'!L60:'06'!L64)</f>
        <v>511.74</v>
      </c>
      <c r="X15" s="344"/>
      <c r="Y15" s="344"/>
      <c r="Z15" s="345"/>
      <c r="AA15" s="343">
        <f>SUM('07'!L60:'07'!L64)</f>
        <v>649.1</v>
      </c>
      <c r="AB15" s="344"/>
      <c r="AC15" s="344"/>
      <c r="AD15" s="345"/>
      <c r="AE15" s="343">
        <f>SUM('08'!L60:'08'!L64)</f>
        <v>550</v>
      </c>
      <c r="AF15" s="344"/>
      <c r="AG15" s="344"/>
      <c r="AH15" s="345"/>
      <c r="AI15" s="343">
        <f>SUM('09'!L60:'09'!L64)</f>
        <v>676.35</v>
      </c>
      <c r="AJ15" s="344"/>
      <c r="AK15" s="344"/>
      <c r="AL15" s="345"/>
      <c r="AM15" s="343">
        <f>SUM('10'!L60:'10'!L64)</f>
        <v>550</v>
      </c>
      <c r="AN15" s="344"/>
      <c r="AO15" s="344"/>
      <c r="AP15" s="345"/>
      <c r="AQ15" s="343">
        <f>SUM('11'!L60:'11'!L64)</f>
        <v>647.88</v>
      </c>
      <c r="AR15" s="344"/>
      <c r="AS15" s="344"/>
      <c r="AT15" s="345"/>
      <c r="AU15" s="343">
        <f>SUM('12'!L60:'12'!L64)</f>
        <v>1124.17</v>
      </c>
      <c r="AV15" s="344"/>
      <c r="AW15" s="344"/>
      <c r="AX15" s="345"/>
      <c r="AZ15" s="210">
        <f t="shared" si="1"/>
        <v>7259.8400000000011</v>
      </c>
      <c r="BA15" s="112">
        <f t="shared" si="0"/>
        <v>604.98666666666679</v>
      </c>
      <c r="BB15" s="1"/>
      <c r="BC15" s="1"/>
    </row>
    <row r="16" spans="1:55" ht="16.5" thickBot="1">
      <c r="A16" s="191" t="s">
        <v>42</v>
      </c>
      <c r="B16" s="196">
        <v>2018.96</v>
      </c>
      <c r="C16" s="343">
        <f>SUM('01'!L65:'01'!L69)</f>
        <v>85</v>
      </c>
      <c r="D16" s="344"/>
      <c r="E16" s="344"/>
      <c r="F16" s="345"/>
      <c r="G16" s="343">
        <f>SUM('02'!L65:'02'!L69)</f>
        <v>0</v>
      </c>
      <c r="H16" s="344"/>
      <c r="I16" s="344"/>
      <c r="J16" s="345"/>
      <c r="K16" s="343">
        <f>SUM('03'!L65:'03'!L69)</f>
        <v>0</v>
      </c>
      <c r="L16" s="344"/>
      <c r="M16" s="344"/>
      <c r="N16" s="345"/>
      <c r="O16" s="343">
        <f>SUM('04'!L65:'04'!L69)</f>
        <v>0</v>
      </c>
      <c r="P16" s="344"/>
      <c r="Q16" s="344"/>
      <c r="R16" s="345"/>
      <c r="S16" s="343">
        <f>SUM('05'!L65:'05'!L69)</f>
        <v>0</v>
      </c>
      <c r="T16" s="344"/>
      <c r="U16" s="344"/>
      <c r="V16" s="345"/>
      <c r="W16" s="349">
        <f>SUM('06'!L65:'06'!L69)</f>
        <v>0</v>
      </c>
      <c r="X16" s="350"/>
      <c r="Y16" s="350"/>
      <c r="Z16" s="351"/>
      <c r="AA16" s="349">
        <f>SUM('07'!L65:'07'!L69)</f>
        <v>0</v>
      </c>
      <c r="AB16" s="350"/>
      <c r="AC16" s="350"/>
      <c r="AD16" s="351"/>
      <c r="AE16" s="349">
        <f>SUM('08'!L65:'08'!L69)</f>
        <v>0</v>
      </c>
      <c r="AF16" s="350"/>
      <c r="AG16" s="350"/>
      <c r="AH16" s="351"/>
      <c r="AI16" s="349">
        <f>SUM('09'!L65:'09'!L69)</f>
        <v>0</v>
      </c>
      <c r="AJ16" s="350"/>
      <c r="AK16" s="350"/>
      <c r="AL16" s="351"/>
      <c r="AM16" s="349">
        <f>SUM('10'!L65:'10'!L69)</f>
        <v>0</v>
      </c>
      <c r="AN16" s="350"/>
      <c r="AO16" s="350"/>
      <c r="AP16" s="351"/>
      <c r="AQ16" s="349">
        <f>SUM('11'!L65:'11'!L69)</f>
        <v>0</v>
      </c>
      <c r="AR16" s="350"/>
      <c r="AS16" s="350"/>
      <c r="AT16" s="351"/>
      <c r="AU16" s="349">
        <f>SUM('12'!L65:'12'!L69)</f>
        <v>100</v>
      </c>
      <c r="AV16" s="350"/>
      <c r="AW16" s="350"/>
      <c r="AX16" s="351"/>
      <c r="AZ16" s="213">
        <f t="shared" si="1"/>
        <v>185</v>
      </c>
      <c r="BA16" s="112">
        <f t="shared" si="0"/>
        <v>15.416666666666666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3">
        <f>SUM(C8:C16)</f>
        <v>3691.57</v>
      </c>
      <c r="D17" s="364"/>
      <c r="E17" s="364"/>
      <c r="F17" s="365"/>
      <c r="G17" s="363">
        <f>SUM(G8:G16)</f>
        <v>4821.67</v>
      </c>
      <c r="H17" s="364"/>
      <c r="I17" s="364"/>
      <c r="J17" s="365"/>
      <c r="K17" s="363">
        <f>SUM(K8:K16)</f>
        <v>8724.6099999999988</v>
      </c>
      <c r="L17" s="364"/>
      <c r="M17" s="364"/>
      <c r="N17" s="365"/>
      <c r="O17" s="363">
        <f>SUM(O8:O16)</f>
        <v>4322.7000000000007</v>
      </c>
      <c r="P17" s="364"/>
      <c r="Q17" s="364"/>
      <c r="R17" s="365"/>
      <c r="S17" s="363">
        <f>SUM(S8:S16)</f>
        <v>5958.3200000000015</v>
      </c>
      <c r="T17" s="364"/>
      <c r="U17" s="364"/>
      <c r="V17" s="365"/>
      <c r="W17" s="363">
        <f>SUM(W8:W16)</f>
        <v>4093.3200000000006</v>
      </c>
      <c r="X17" s="364"/>
      <c r="Y17" s="364"/>
      <c r="Z17" s="365"/>
      <c r="AA17" s="363">
        <f>SUM(AA8:AA16)</f>
        <v>4638.26</v>
      </c>
      <c r="AB17" s="364"/>
      <c r="AC17" s="364"/>
      <c r="AD17" s="365"/>
      <c r="AE17" s="363">
        <f>SUM(AE8:AE16)</f>
        <v>3945.4900000000002</v>
      </c>
      <c r="AF17" s="364"/>
      <c r="AG17" s="364"/>
      <c r="AH17" s="365"/>
      <c r="AI17" s="363">
        <f>SUM(AI8:AI16)</f>
        <v>4981.9699999999993</v>
      </c>
      <c r="AJ17" s="364"/>
      <c r="AK17" s="364"/>
      <c r="AL17" s="365"/>
      <c r="AM17" s="363">
        <f>SUM(AM8:AM16)</f>
        <v>3972.5899999999997</v>
      </c>
      <c r="AN17" s="364"/>
      <c r="AO17" s="364"/>
      <c r="AP17" s="365"/>
      <c r="AQ17" s="363">
        <f>SUM(AQ8:AQ16)</f>
        <v>4573.79</v>
      </c>
      <c r="AR17" s="364"/>
      <c r="AS17" s="364"/>
      <c r="AT17" s="365"/>
      <c r="AU17" s="363">
        <f>SUM(AU8:AU16)</f>
        <v>10617.49</v>
      </c>
      <c r="AV17" s="364"/>
      <c r="AW17" s="364"/>
      <c r="AX17" s="365"/>
      <c r="AZ17" s="227">
        <f>SUM(AZ8:AZ16)</f>
        <v>64341.780000000006</v>
      </c>
      <c r="BA17" s="112">
        <f>AZ17/BC$17</f>
        <v>5361.8150000000005</v>
      </c>
      <c r="BB17" s="1" t="s">
        <v>83</v>
      </c>
      <c r="BC17" s="1">
        <v>12</v>
      </c>
      <c r="BD17" s="39"/>
    </row>
    <row r="18" spans="1:62" ht="32.25" customHeight="1" thickTop="1" thickBot="1">
      <c r="A18" s="10"/>
      <c r="B18" s="10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 t="s">
        <v>173</v>
      </c>
      <c r="AV18" s="366"/>
      <c r="AW18" s="366"/>
      <c r="AX18" s="366"/>
      <c r="AZ18" s="131">
        <f>(2500*13)+(600*12)+(550*12)+(95*12)</f>
        <v>47440</v>
      </c>
      <c r="BA18" s="131">
        <f>12*BA17</f>
        <v>64341.780000000006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513.56999999999994</v>
      </c>
      <c r="AX20" s="145">
        <f t="shared" ref="AX20:AX45" si="13">AT20+AV20-AW20</f>
        <v>493.35999999999967</v>
      </c>
      <c r="AZ20" s="123">
        <f t="shared" ref="AZ20:AZ27" si="14">E20+I20+M20+Q20+U20+Y20+AC20+AG20+AK20+AO20+AS20+AW20</f>
        <v>6651.25</v>
      </c>
      <c r="BA20" s="21">
        <f t="shared" ref="BA20:BA45" si="15">AZ20/AZ$46</f>
        <v>0.11684479953903287</v>
      </c>
      <c r="BB20" s="22">
        <f>_xlfn.RANK.EQ(BA20,$BA$20:$BA$45,)</f>
        <v>3</v>
      </c>
      <c r="BC20" s="22">
        <f t="shared" ref="BC20:BC45" si="16">AZ20/BC$17</f>
        <v>554.27083333333337</v>
      </c>
      <c r="BE20" s="223">
        <f t="shared" ref="BE20:BE45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si="18">BE20/BE$46</f>
        <v>0.10442775294462828</v>
      </c>
      <c r="BG20" s="22">
        <f>_xlfn.RANK.EQ(BF20,$BF$20:$BF$45,)</f>
        <v>4</v>
      </c>
      <c r="BH20" s="22">
        <f t="shared" ref="BH20:BH45" si="19">BE20/BC$17</f>
        <v>557.9858333333334</v>
      </c>
      <c r="BJ20" s="223">
        <f>IF(BC$17&lt;2,F20,IF(BC$17&lt;3,J20,IF(BC$17&lt;4,N20,IF(BC$17&lt;5,R20,IF(BC$17&lt;6,V20,IF(BC$17&lt;7,Z20,IF(BC$17&lt;8,AD20,IF(BC$17&lt;9,AH20,IF(BC$17&lt;10,AL20,IF(BC$17&lt;11,AP20,IF(BC$17&lt;12,AT20,IF(BC$17&lt;13,AX20,0))))))))))))-B20</f>
        <v>44.580000000000041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1234.6099999999999</v>
      </c>
      <c r="AX21" s="151">
        <f t="shared" si="13"/>
        <v>265.72999999999934</v>
      </c>
      <c r="AZ21" s="152">
        <f t="shared" si="14"/>
        <v>14193.130000000001</v>
      </c>
      <c r="BA21" s="21">
        <f t="shared" si="15"/>
        <v>0.24933560303423175</v>
      </c>
      <c r="BB21" s="22">
        <f t="shared" ref="BB21:BB45" si="20">_xlfn.RANK.EQ(BA21,$BA$20:$BA$45,)</f>
        <v>1</v>
      </c>
      <c r="BC21" s="22">
        <f t="shared" si="16"/>
        <v>1182.7608333333335</v>
      </c>
      <c r="BE21" s="224">
        <f t="shared" si="17"/>
        <v>13806</v>
      </c>
      <c r="BF21" s="21">
        <f t="shared" si="18"/>
        <v>0.21531752705094631</v>
      </c>
      <c r="BG21" s="22">
        <f t="shared" ref="BG21:BG45" si="21">_xlfn.RANK.EQ(BF21,$BF$20:$BF$45,)</f>
        <v>1</v>
      </c>
      <c r="BH21" s="22">
        <f t="shared" si="19"/>
        <v>1150.5</v>
      </c>
      <c r="BJ21" s="224">
        <f t="shared" ref="BJ21:BJ45" si="22">IF(BC$17&lt;2,F21,IF(BC$17&lt;3,J21,IF(BC$17&lt;4,N21,IF(BC$17&lt;5,R21,IF(BC$17&lt;6,V21,IF(BC$17&lt;7,Z21,IF(BC$17&lt;8,AD21,IF(BC$17&lt;9,AH21,IF(BC$17&lt;10,AL21,IF(BC$17&lt;11,AP21,IF(BC$17&lt;12,AT21,IF(BC$17&lt;13,AX21,0))))))))))))-B21</f>
        <v>-387.13000000000034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320</v>
      </c>
      <c r="AW22" s="155">
        <f>SUM('12'!D60:F60)</f>
        <v>534.66999999999996</v>
      </c>
      <c r="AX22" s="156">
        <f t="shared" si="13"/>
        <v>63.379999999999995</v>
      </c>
      <c r="AZ22" s="157">
        <f t="shared" si="14"/>
        <v>3988.9199999999996</v>
      </c>
      <c r="BA22" s="21">
        <f t="shared" si="15"/>
        <v>7.0074731483140612E-2</v>
      </c>
      <c r="BB22" s="22">
        <f t="shared" si="20"/>
        <v>5</v>
      </c>
      <c r="BC22" s="22">
        <f t="shared" si="16"/>
        <v>332.40999999999997</v>
      </c>
      <c r="BE22" s="225">
        <f t="shared" si="17"/>
        <v>3806.23</v>
      </c>
      <c r="BF22" s="21">
        <f t="shared" si="18"/>
        <v>5.9361729029923462E-2</v>
      </c>
      <c r="BG22" s="22">
        <f t="shared" si="21"/>
        <v>7</v>
      </c>
      <c r="BH22" s="22">
        <f t="shared" si="19"/>
        <v>317.18583333333333</v>
      </c>
      <c r="BJ22" s="225">
        <f t="shared" si="22"/>
        <v>-182.69000000000017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182.39999999999998</v>
      </c>
      <c r="AX23" s="151">
        <f t="shared" si="13"/>
        <v>180.9500000000001</v>
      </c>
      <c r="AZ23" s="152">
        <f t="shared" si="14"/>
        <v>2141.1799999999998</v>
      </c>
      <c r="BA23" s="21">
        <f t="shared" si="15"/>
        <v>3.7614846514111844E-2</v>
      </c>
      <c r="BB23" s="22">
        <f t="shared" si="20"/>
        <v>8</v>
      </c>
      <c r="BC23" s="22">
        <f t="shared" si="16"/>
        <v>178.43166666666664</v>
      </c>
      <c r="BE23" s="224">
        <f t="shared" si="17"/>
        <v>2280</v>
      </c>
      <c r="BF23" s="21">
        <f t="shared" si="18"/>
        <v>3.55587397998086E-2</v>
      </c>
      <c r="BG23" s="22">
        <f t="shared" si="21"/>
        <v>10</v>
      </c>
      <c r="BH23" s="22">
        <f t="shared" si="19"/>
        <v>190</v>
      </c>
      <c r="BJ23" s="224">
        <f t="shared" si="22"/>
        <v>138.82000000000008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166.35</v>
      </c>
      <c r="AX24" s="156">
        <f t="shared" si="13"/>
        <v>236.62000000000003</v>
      </c>
      <c r="AZ24" s="157">
        <f t="shared" si="14"/>
        <v>1673.38</v>
      </c>
      <c r="BA24" s="21">
        <f t="shared" si="15"/>
        <v>2.939684279686177E-2</v>
      </c>
      <c r="BB24" s="22">
        <f t="shared" si="20"/>
        <v>11</v>
      </c>
      <c r="BC24" s="22">
        <f t="shared" si="16"/>
        <v>139.44833333333335</v>
      </c>
      <c r="BE24" s="225">
        <f t="shared" si="17"/>
        <v>1910</v>
      </c>
      <c r="BF24" s="21">
        <f t="shared" si="18"/>
        <v>2.9788242551594048E-2</v>
      </c>
      <c r="BG24" s="22">
        <f t="shared" si="21"/>
        <v>12</v>
      </c>
      <c r="BH24" s="22">
        <f t="shared" si="19"/>
        <v>159.16666666666666</v>
      </c>
      <c r="BJ24" s="225">
        <f t="shared" si="22"/>
        <v>236.62000000000003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3857.4700000000003</v>
      </c>
      <c r="AW25" s="150">
        <f>SUM('12'!D120:F120)</f>
        <v>3578.83</v>
      </c>
      <c r="AX25" s="151">
        <f t="shared" si="13"/>
        <v>4523.5915974244963</v>
      </c>
      <c r="AZ25" s="152">
        <f t="shared" si="14"/>
        <v>7638.5800000000008</v>
      </c>
      <c r="BA25" s="21">
        <f t="shared" si="15"/>
        <v>0.1341895657001114</v>
      </c>
      <c r="BB25" s="22">
        <f t="shared" si="20"/>
        <v>2</v>
      </c>
      <c r="BC25" s="22">
        <f t="shared" si="16"/>
        <v>636.5483333333334</v>
      </c>
      <c r="BE25" s="224">
        <f t="shared" si="17"/>
        <v>8999.6215974244988</v>
      </c>
      <c r="BF25" s="21">
        <f t="shared" si="18"/>
        <v>0.14035754503489281</v>
      </c>
      <c r="BG25" s="22">
        <f t="shared" si="21"/>
        <v>2</v>
      </c>
      <c r="BH25" s="22">
        <f t="shared" si="19"/>
        <v>749.96846645204153</v>
      </c>
      <c r="BJ25" s="224">
        <f t="shared" si="22"/>
        <v>1361.0415974244979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110.5</v>
      </c>
      <c r="AW26" s="155">
        <f>SUM('12'!D140:F140)</f>
        <v>37.5</v>
      </c>
      <c r="AX26" s="156">
        <f t="shared" si="13"/>
        <v>45.579999999999984</v>
      </c>
      <c r="AZ26" s="157">
        <f t="shared" si="14"/>
        <v>662.91000000000008</v>
      </c>
      <c r="BA26" s="21">
        <f t="shared" si="15"/>
        <v>1.1645568286024475E-2</v>
      </c>
      <c r="BB26" s="22">
        <f t="shared" si="20"/>
        <v>15</v>
      </c>
      <c r="BC26" s="22">
        <f t="shared" si="16"/>
        <v>55.242500000000007</v>
      </c>
      <c r="BE26" s="225">
        <f t="shared" si="17"/>
        <v>688.95</v>
      </c>
      <c r="BF26" s="21">
        <f t="shared" si="18"/>
        <v>1.0744821835560588E-2</v>
      </c>
      <c r="BG26" s="22">
        <f t="shared" si="21"/>
        <v>18</v>
      </c>
      <c r="BH26" s="22">
        <f t="shared" si="19"/>
        <v>57.412500000000001</v>
      </c>
      <c r="BJ26" s="225">
        <f t="shared" si="22"/>
        <v>26.040000000000035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29.5</v>
      </c>
      <c r="AX27" s="187">
        <f t="shared" si="13"/>
        <v>399.41000000000008</v>
      </c>
      <c r="AZ27" s="188">
        <f t="shared" si="14"/>
        <v>444.53999999999996</v>
      </c>
      <c r="BA27" s="21">
        <f t="shared" si="15"/>
        <v>7.8093872861614991E-3</v>
      </c>
      <c r="BB27" s="22">
        <f t="shared" si="20"/>
        <v>18</v>
      </c>
      <c r="BC27" s="22">
        <f t="shared" si="16"/>
        <v>37.044999999999995</v>
      </c>
      <c r="BE27" s="224">
        <f t="shared" si="17"/>
        <v>540</v>
      </c>
      <c r="BF27" s="21">
        <f t="shared" si="18"/>
        <v>8.4218067946915109E-3</v>
      </c>
      <c r="BG27" s="22">
        <f t="shared" si="21"/>
        <v>19</v>
      </c>
      <c r="BH27" s="22">
        <f t="shared" si="19"/>
        <v>45</v>
      </c>
      <c r="BJ27" s="224">
        <f t="shared" si="22"/>
        <v>95.460000000000036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5.9730552071365579E-2</v>
      </c>
      <c r="BB28" s="22">
        <f t="shared" si="20"/>
        <v>6</v>
      </c>
      <c r="BC28" s="22">
        <f t="shared" si="16"/>
        <v>283.34083333333336</v>
      </c>
      <c r="BE28" s="223">
        <f t="shared" si="17"/>
        <v>4080.04</v>
      </c>
      <c r="BF28" s="21">
        <f t="shared" si="18"/>
        <v>6.3632052952987322E-2</v>
      </c>
      <c r="BG28" s="22">
        <f t="shared" si="21"/>
        <v>6</v>
      </c>
      <c r="BH28" s="22">
        <f t="shared" si="19"/>
        <v>340.00333333333333</v>
      </c>
      <c r="BJ28" s="223">
        <f t="shared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230</v>
      </c>
      <c r="AW29" s="150">
        <f>SUM('12'!D200:F200)</f>
        <v>46.47</v>
      </c>
      <c r="AX29" s="160">
        <f t="shared" si="13"/>
        <v>125.57999999999998</v>
      </c>
      <c r="AZ29" s="152">
        <f t="shared" si="23"/>
        <v>1068.4099999999999</v>
      </c>
      <c r="BA29" s="21">
        <f t="shared" si="15"/>
        <v>1.8769126446231625E-2</v>
      </c>
      <c r="BB29" s="22">
        <f t="shared" si="20"/>
        <v>13</v>
      </c>
      <c r="BC29" s="22">
        <f t="shared" si="16"/>
        <v>89.03416666666665</v>
      </c>
      <c r="BE29" s="224">
        <f t="shared" si="17"/>
        <v>1240.6600000000001</v>
      </c>
      <c r="BF29" s="21">
        <f t="shared" si="18"/>
        <v>1.9349257070188836E-2</v>
      </c>
      <c r="BG29" s="22">
        <f t="shared" si="21"/>
        <v>15</v>
      </c>
      <c r="BH29" s="22">
        <f t="shared" si="19"/>
        <v>103.38833333333334</v>
      </c>
      <c r="BJ29" s="224">
        <f t="shared" si="22"/>
        <v>172.24999999999991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6.4897283737206579E-3</v>
      </c>
      <c r="BB30" s="22">
        <f t="shared" si="20"/>
        <v>19</v>
      </c>
      <c r="BC30" s="22">
        <f t="shared" si="16"/>
        <v>30.785</v>
      </c>
      <c r="BE30" s="225">
        <f t="shared" si="17"/>
        <v>460</v>
      </c>
      <c r="BF30" s="21">
        <f t="shared" si="18"/>
        <v>7.1741317139964724E-3</v>
      </c>
      <c r="BG30" s="22">
        <f t="shared" si="21"/>
        <v>20</v>
      </c>
      <c r="BH30" s="22">
        <f t="shared" si="19"/>
        <v>38.333333333333336</v>
      </c>
      <c r="BJ30" s="225">
        <f t="shared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21.66</v>
      </c>
      <c r="AX31" s="160">
        <f t="shared" si="13"/>
        <v>53.099999999999966</v>
      </c>
      <c r="AZ31" s="152">
        <f t="shared" si="23"/>
        <v>262.93999999999994</v>
      </c>
      <c r="BA31" s="21">
        <f t="shared" si="15"/>
        <v>4.6191575404312419E-3</v>
      </c>
      <c r="BB31" s="22">
        <f t="shared" si="20"/>
        <v>20</v>
      </c>
      <c r="BC31" s="22">
        <f t="shared" si="16"/>
        <v>21.911666666666662</v>
      </c>
      <c r="BE31" s="224">
        <f t="shared" si="17"/>
        <v>240</v>
      </c>
      <c r="BF31" s="21">
        <f t="shared" si="18"/>
        <v>3.7430252420851159E-3</v>
      </c>
      <c r="BG31" s="22">
        <f t="shared" si="21"/>
        <v>22</v>
      </c>
      <c r="BH31" s="22">
        <f t="shared" si="19"/>
        <v>20</v>
      </c>
      <c r="BJ31" s="224">
        <f t="shared" si="22"/>
        <v>-22.94000000000004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175.01</v>
      </c>
      <c r="AX32" s="161">
        <f t="shared" si="13"/>
        <v>466.89999999999975</v>
      </c>
      <c r="AZ32" s="157">
        <f t="shared" si="23"/>
        <v>2101.1800000000003</v>
      </c>
      <c r="BA32" s="21">
        <f t="shared" si="15"/>
        <v>3.6912152737519285E-2</v>
      </c>
      <c r="BB32" s="22">
        <f t="shared" si="20"/>
        <v>9</v>
      </c>
      <c r="BC32" s="22">
        <f t="shared" si="16"/>
        <v>175.09833333333336</v>
      </c>
      <c r="BE32" s="225">
        <f t="shared" si="17"/>
        <v>2582.33</v>
      </c>
      <c r="BF32" s="21">
        <f t="shared" si="18"/>
        <v>4.0273859889140243E-2</v>
      </c>
      <c r="BG32" s="22">
        <f t="shared" si="21"/>
        <v>9</v>
      </c>
      <c r="BH32" s="22">
        <f t="shared" si="19"/>
        <v>215.19416666666666</v>
      </c>
      <c r="BJ32" s="225">
        <f t="shared" si="22"/>
        <v>481.14999999999975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7.8909876009683119E-2</v>
      </c>
      <c r="BB33" s="22">
        <f t="shared" si="20"/>
        <v>4</v>
      </c>
      <c r="BC33" s="22">
        <f t="shared" si="16"/>
        <v>374.32083333333338</v>
      </c>
      <c r="BE33" s="224">
        <f t="shared" si="17"/>
        <v>4671.9400000000005</v>
      </c>
      <c r="BF33" s="21">
        <f t="shared" si="18"/>
        <v>7.2863288956279748E-2</v>
      </c>
      <c r="BG33" s="22">
        <f t="shared" si="21"/>
        <v>5</v>
      </c>
      <c r="BH33" s="22">
        <f t="shared" si="19"/>
        <v>389.32833333333338</v>
      </c>
      <c r="BJ33" s="224">
        <f t="shared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423.56000000000006</v>
      </c>
      <c r="AW34" s="155">
        <f>SUM('12'!D300:F300)</f>
        <v>627.19000000000005</v>
      </c>
      <c r="AX34" s="161">
        <f t="shared" si="13"/>
        <v>14.829999999999814</v>
      </c>
      <c r="AZ34" s="152">
        <f t="shared" si="23"/>
        <v>1924.7400000000002</v>
      </c>
      <c r="BA34" s="21">
        <f t="shared" si="15"/>
        <v>3.3812570488969469E-2</v>
      </c>
      <c r="BB34" s="22">
        <f t="shared" si="20"/>
        <v>10</v>
      </c>
      <c r="BC34" s="22">
        <f t="shared" si="16"/>
        <v>160.39500000000001</v>
      </c>
      <c r="BE34" s="225">
        <f t="shared" si="17"/>
        <v>1837.9699999999998</v>
      </c>
      <c r="BF34" s="21">
        <f t="shared" si="18"/>
        <v>2.866486710081325E-2</v>
      </c>
      <c r="BG34" s="22">
        <f t="shared" si="21"/>
        <v>13</v>
      </c>
      <c r="BH34" s="22">
        <f t="shared" si="19"/>
        <v>153.16416666666666</v>
      </c>
      <c r="BJ34" s="225">
        <f t="shared" si="22"/>
        <v>-86.770000000000095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330.90999999999997</v>
      </c>
      <c r="AW35" s="186">
        <f>SUM('12'!D320:F320)</f>
        <v>259.5</v>
      </c>
      <c r="AX35" s="187">
        <f t="shared" si="13"/>
        <v>1581.3600000000006</v>
      </c>
      <c r="AZ35" s="188">
        <f t="shared" si="23"/>
        <v>2562.0699999999997</v>
      </c>
      <c r="BA35" s="21">
        <f t="shared" si="15"/>
        <v>4.5008766104862985E-2</v>
      </c>
      <c r="BB35" s="22">
        <f t="shared" si="20"/>
        <v>7</v>
      </c>
      <c r="BC35" s="22">
        <f t="shared" si="16"/>
        <v>213.5058333333333</v>
      </c>
      <c r="BE35" s="224">
        <f t="shared" si="17"/>
        <v>2653.83</v>
      </c>
      <c r="BF35" s="21">
        <f t="shared" si="18"/>
        <v>4.1388969492511432E-2</v>
      </c>
      <c r="BG35" s="22">
        <f t="shared" si="21"/>
        <v>8</v>
      </c>
      <c r="BH35" s="22">
        <f t="shared" si="19"/>
        <v>221.1525</v>
      </c>
      <c r="BJ35" s="224">
        <f t="shared" si="22"/>
        <v>91.760000000000218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190</v>
      </c>
      <c r="AW36" s="164">
        <f>SUM('12'!D340:F340)</f>
        <v>8</v>
      </c>
      <c r="AX36" s="156">
        <f t="shared" si="13"/>
        <v>1087.4900000000002</v>
      </c>
      <c r="AZ36" s="182">
        <f t="shared" si="23"/>
        <v>1282.4699999999998</v>
      </c>
      <c r="BA36" s="21">
        <f t="shared" si="15"/>
        <v>2.252959219166675E-2</v>
      </c>
      <c r="BB36" s="22">
        <f t="shared" si="20"/>
        <v>12</v>
      </c>
      <c r="BC36" s="22">
        <f t="shared" si="16"/>
        <v>106.87249999999999</v>
      </c>
      <c r="BE36" s="223">
        <f t="shared" si="17"/>
        <v>2268.9700000000003</v>
      </c>
      <c r="BF36" s="21">
        <f t="shared" si="18"/>
        <v>3.5386716598057776E-2</v>
      </c>
      <c r="BG36" s="22">
        <f t="shared" si="21"/>
        <v>11</v>
      </c>
      <c r="BH36" s="22">
        <f t="shared" si="19"/>
        <v>189.08083333333335</v>
      </c>
      <c r="BJ36" s="223">
        <f t="shared" si="22"/>
        <v>986.50000000000023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347.93</v>
      </c>
      <c r="AW37" s="165">
        <f>SUM('12'!D360:F360)</f>
        <v>0</v>
      </c>
      <c r="AX37" s="151">
        <f t="shared" si="13"/>
        <v>693.66000000000008</v>
      </c>
      <c r="AZ37" s="152">
        <f t="shared" si="23"/>
        <v>496.95</v>
      </c>
      <c r="BA37" s="21">
        <f t="shared" si="15"/>
        <v>8.7300918069419114E-3</v>
      </c>
      <c r="BB37" s="22">
        <f t="shared" si="20"/>
        <v>17</v>
      </c>
      <c r="BC37" s="22">
        <f t="shared" si="16"/>
        <v>41.412500000000001</v>
      </c>
      <c r="BE37" s="224">
        <f t="shared" si="17"/>
        <v>917.23</v>
      </c>
      <c r="BF37" s="21">
        <f t="shared" si="18"/>
        <v>1.430506267832388E-2</v>
      </c>
      <c r="BG37" s="22">
        <f t="shared" si="21"/>
        <v>16</v>
      </c>
      <c r="BH37" s="22">
        <f t="shared" si="19"/>
        <v>76.435833333333335</v>
      </c>
      <c r="BJ37" s="224">
        <f t="shared" si="22"/>
        <v>420.28000000000009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30.2</v>
      </c>
      <c r="AX38" s="156">
        <f t="shared" si="13"/>
        <v>174.50000000000009</v>
      </c>
      <c r="AZ38" s="157">
        <f t="shared" si="23"/>
        <v>709.7</v>
      </c>
      <c r="BA38" s="21">
        <f t="shared" si="15"/>
        <v>1.246754433119363E-2</v>
      </c>
      <c r="BB38" s="22">
        <f t="shared" si="20"/>
        <v>14</v>
      </c>
      <c r="BC38" s="22">
        <f t="shared" si="16"/>
        <v>59.141666666666673</v>
      </c>
      <c r="BE38" s="225">
        <f t="shared" si="17"/>
        <v>845</v>
      </c>
      <c r="BF38" s="21">
        <f t="shared" si="18"/>
        <v>1.3178568039841345E-2</v>
      </c>
      <c r="BG38" s="22">
        <f t="shared" si="21"/>
        <v>17</v>
      </c>
      <c r="BH38" s="22">
        <f t="shared" si="19"/>
        <v>70.416666666666671</v>
      </c>
      <c r="BJ38" s="225">
        <f t="shared" si="22"/>
        <v>135.30000000000007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25</v>
      </c>
      <c r="AW39" s="165">
        <f>SUM('12'!D400:F400)</f>
        <v>0</v>
      </c>
      <c r="AX39" s="151">
        <f t="shared" si="13"/>
        <v>1499.2807879809902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si="16"/>
        <v>0</v>
      </c>
      <c r="BE39" s="224">
        <f t="shared" si="17"/>
        <v>319.28078798099023</v>
      </c>
      <c r="BF39" s="21">
        <f t="shared" si="18"/>
        <v>4.9794835363569691E-3</v>
      </c>
      <c r="BG39" s="22">
        <f t="shared" si="21"/>
        <v>21</v>
      </c>
      <c r="BH39" s="22">
        <f t="shared" si="19"/>
        <v>26.606732331749186</v>
      </c>
      <c r="BJ39" s="224">
        <f t="shared" si="22"/>
        <v>319.28078798099023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3.0760420070339647E-3</v>
      </c>
      <c r="BB40" s="22">
        <f t="shared" si="20"/>
        <v>22</v>
      </c>
      <c r="BC40" s="22">
        <f t="shared" si="16"/>
        <v>14.591666666666669</v>
      </c>
      <c r="BE40" s="225">
        <f t="shared" si="17"/>
        <v>6704.9561040380195</v>
      </c>
      <c r="BF40" s="21">
        <f t="shared" si="18"/>
        <v>0.1045700831020291</v>
      </c>
      <c r="BG40" s="22">
        <f t="shared" si="21"/>
        <v>3</v>
      </c>
      <c r="BH40" s="22">
        <f t="shared" si="19"/>
        <v>558.74634200316825</v>
      </c>
      <c r="BJ40" s="225">
        <f t="shared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868.18000000000029</v>
      </c>
      <c r="AW41" s="165">
        <f>SUM('12'!D440:F440)</f>
        <v>0</v>
      </c>
      <c r="AX41" s="151">
        <f t="shared" si="13"/>
        <v>8575.1200000000026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si="16"/>
        <v>0</v>
      </c>
      <c r="BE41" s="224">
        <f t="shared" si="17"/>
        <v>25.120000000003529</v>
      </c>
      <c r="BF41" s="21">
        <f t="shared" si="18"/>
        <v>3.917699753382972E-4</v>
      </c>
      <c r="BG41" s="22">
        <f t="shared" si="21"/>
        <v>24</v>
      </c>
      <c r="BH41" s="22">
        <f t="shared" si="19"/>
        <v>2.0933333333336273</v>
      </c>
      <c r="BJ41" s="224">
        <f t="shared" si="22"/>
        <v>25.120000000004438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si="16"/>
        <v>0</v>
      </c>
      <c r="BE42" s="225">
        <f t="shared" si="17"/>
        <v>-5090.1000000000004</v>
      </c>
      <c r="BF42" s="21">
        <f t="shared" si="18"/>
        <v>-7.9384886603072705E-2</v>
      </c>
      <c r="BG42" s="22">
        <f t="shared" si="21"/>
        <v>26</v>
      </c>
      <c r="BH42" s="22">
        <f t="shared" si="19"/>
        <v>-424.17500000000001</v>
      </c>
      <c r="BJ42" s="225">
        <f t="shared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467.90999999999997</v>
      </c>
      <c r="AW43" s="149">
        <f>SUM('12'!D480:F480)</f>
        <v>0</v>
      </c>
      <c r="AX43" s="151">
        <f t="shared" si="13"/>
        <v>1978.3991905564922</v>
      </c>
      <c r="AZ43" s="152">
        <f t="shared" si="23"/>
        <v>500</v>
      </c>
      <c r="BA43" s="21">
        <f t="shared" si="15"/>
        <v>8.7836722074070943E-3</v>
      </c>
      <c r="BB43" s="22">
        <f t="shared" si="20"/>
        <v>16</v>
      </c>
      <c r="BC43" s="22">
        <f t="shared" si="16"/>
        <v>41.666666666666664</v>
      </c>
      <c r="BE43" s="224">
        <f t="shared" si="17"/>
        <v>1515.3991905564922</v>
      </c>
      <c r="BF43" s="21">
        <f t="shared" si="18"/>
        <v>2.3634072592034594E-2</v>
      </c>
      <c r="BG43" s="22">
        <f t="shared" si="21"/>
        <v>14</v>
      </c>
      <c r="BH43" s="22">
        <f t="shared" si="19"/>
        <v>126.28326587970768</v>
      </c>
      <c r="BJ43" s="224">
        <f t="shared" si="22"/>
        <v>1015.3991905564922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si="16"/>
        <v>0</v>
      </c>
      <c r="BE44" s="225">
        <f t="shared" si="17"/>
        <v>0</v>
      </c>
      <c r="BF44" s="21">
        <f t="shared" si="18"/>
        <v>0</v>
      </c>
      <c r="BG44" s="22">
        <f t="shared" si="21"/>
        <v>25</v>
      </c>
      <c r="BH44" s="22">
        <f t="shared" si="19"/>
        <v>0</v>
      </c>
      <c r="BJ44" s="225">
        <f t="shared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100</v>
      </c>
      <c r="AW45" s="175">
        <f>SUM('12'!D520:F520)</f>
        <v>0</v>
      </c>
      <c r="AX45" s="176">
        <f t="shared" si="13"/>
        <v>30.930000000000035</v>
      </c>
      <c r="AZ45" s="177">
        <f t="shared" si="23"/>
        <v>184.99</v>
      </c>
      <c r="BA45" s="21">
        <f t="shared" si="15"/>
        <v>3.2497830432964771E-3</v>
      </c>
      <c r="BB45" s="22">
        <f t="shared" si="20"/>
        <v>21</v>
      </c>
      <c r="BC45" s="22">
        <f t="shared" si="16"/>
        <v>15.415833333333333</v>
      </c>
      <c r="BE45" s="226">
        <f t="shared" si="17"/>
        <v>120</v>
      </c>
      <c r="BF45" s="21">
        <f t="shared" si="18"/>
        <v>1.871512621042558E-3</v>
      </c>
      <c r="BG45" s="22">
        <f t="shared" si="21"/>
        <v>23</v>
      </c>
      <c r="BH45" s="22">
        <f t="shared" si="19"/>
        <v>10</v>
      </c>
      <c r="BJ45" s="226">
        <f t="shared" si="22"/>
        <v>-64.989999999999995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10452.070000000002</v>
      </c>
      <c r="AW46" s="219">
        <f>SUM(AW20:AW45)</f>
        <v>7558.95</v>
      </c>
      <c r="AX46" s="220">
        <f>SUM(AX20:AX45)</f>
        <v>33578.99768</v>
      </c>
      <c r="AZ46" s="227">
        <f>SUM(AZ20:AZ45)</f>
        <v>56923.8</v>
      </c>
      <c r="BA46" s="1"/>
      <c r="BB46" s="1"/>
      <c r="BC46" s="124">
        <f>SUM(BC20:BC45)</f>
        <v>4743.6500000000005</v>
      </c>
      <c r="BE46" s="227">
        <f>SUM(BE20:BE45)</f>
        <v>64119.257680000017</v>
      </c>
      <c r="BF46" s="1"/>
      <c r="BG46" s="1"/>
      <c r="BH46" s="124">
        <f>SUM(BH20:BH45)</f>
        <v>5343.2714733333323</v>
      </c>
      <c r="BJ46" s="227">
        <f>SUM(BJ20:BJ45)</f>
        <v>7195.4576800000032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165.41999999999825</v>
      </c>
      <c r="AW47" s="125">
        <f>AU17-AW46</f>
        <v>3058.54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Y48" s="119">
        <f>33579-AX46</f>
        <v>2.3199999995995313E-3</v>
      </c>
      <c r="AZ48" s="112">
        <f>4000*12</f>
        <v>48000</v>
      </c>
      <c r="BA48" s="112"/>
      <c r="BB48" s="1" t="s">
        <v>196</v>
      </c>
      <c r="BC48" s="112">
        <f>12*BC46</f>
        <v>56923.8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534.66999999999996</v>
      </c>
      <c r="AX50" s="119" t="s">
        <v>834</v>
      </c>
      <c r="AZ50" s="119"/>
    </row>
    <row r="51" spans="1:62" ht="15.75" thickBot="1"/>
    <row r="52" spans="1:62">
      <c r="C52" s="367" t="s">
        <v>149</v>
      </c>
      <c r="D52" s="368"/>
      <c r="E52" s="368"/>
      <c r="F52" s="369"/>
      <c r="G52" s="367" t="s">
        <v>149</v>
      </c>
      <c r="H52" s="368"/>
      <c r="I52" s="368"/>
      <c r="J52" s="369"/>
      <c r="K52" s="367" t="s">
        <v>149</v>
      </c>
      <c r="L52" s="368"/>
      <c r="M52" s="368"/>
      <c r="N52" s="369"/>
      <c r="O52" s="367" t="s">
        <v>149</v>
      </c>
      <c r="P52" s="368"/>
      <c r="Q52" s="368"/>
      <c r="R52" s="369"/>
      <c r="S52" s="367" t="s">
        <v>149</v>
      </c>
      <c r="T52" s="368"/>
      <c r="U52" s="368"/>
      <c r="V52" s="369"/>
      <c r="W52" s="367" t="s">
        <v>149</v>
      </c>
      <c r="X52" s="368"/>
      <c r="Y52" s="368"/>
      <c r="Z52" s="369"/>
      <c r="AA52" s="367" t="s">
        <v>149</v>
      </c>
      <c r="AB52" s="368"/>
      <c r="AC52" s="368"/>
      <c r="AD52" s="369"/>
      <c r="AE52" s="367" t="s">
        <v>149</v>
      </c>
      <c r="AF52" s="368"/>
      <c r="AG52" s="368"/>
      <c r="AH52" s="369"/>
      <c r="AI52" s="367" t="s">
        <v>149</v>
      </c>
      <c r="AJ52" s="368"/>
      <c r="AK52" s="368"/>
      <c r="AL52" s="369"/>
      <c r="AM52" s="367" t="s">
        <v>149</v>
      </c>
      <c r="AN52" s="368"/>
      <c r="AO52" s="368"/>
      <c r="AP52" s="369"/>
      <c r="AQ52" s="367" t="s">
        <v>149</v>
      </c>
      <c r="AR52" s="368"/>
      <c r="AS52" s="368"/>
      <c r="AT52" s="369"/>
      <c r="AU52" s="367" t="s">
        <v>149</v>
      </c>
      <c r="AV52" s="368"/>
      <c r="AW52" s="368"/>
      <c r="AX52" s="369"/>
    </row>
    <row r="53" spans="1:62" ht="15.75" thickBot="1">
      <c r="C53" s="93" t="s">
        <v>150</v>
      </c>
      <c r="D53" s="370" t="s">
        <v>31</v>
      </c>
      <c r="E53" s="371"/>
      <c r="F53" s="94" t="s">
        <v>88</v>
      </c>
      <c r="G53" s="93" t="s">
        <v>150</v>
      </c>
      <c r="H53" s="370" t="s">
        <v>31</v>
      </c>
      <c r="I53" s="371"/>
      <c r="J53" s="94" t="s">
        <v>88</v>
      </c>
      <c r="K53" s="93" t="s">
        <v>150</v>
      </c>
      <c r="L53" s="370" t="s">
        <v>31</v>
      </c>
      <c r="M53" s="371"/>
      <c r="N53" s="94" t="s">
        <v>88</v>
      </c>
      <c r="O53" s="93" t="s">
        <v>150</v>
      </c>
      <c r="P53" s="370" t="s">
        <v>31</v>
      </c>
      <c r="Q53" s="371"/>
      <c r="R53" s="94" t="s">
        <v>88</v>
      </c>
      <c r="S53" s="93" t="s">
        <v>150</v>
      </c>
      <c r="T53" s="370" t="s">
        <v>31</v>
      </c>
      <c r="U53" s="371"/>
      <c r="V53" s="94" t="s">
        <v>88</v>
      </c>
      <c r="W53" s="93" t="s">
        <v>150</v>
      </c>
      <c r="X53" s="370" t="s">
        <v>31</v>
      </c>
      <c r="Y53" s="371"/>
      <c r="Z53" s="94" t="s">
        <v>88</v>
      </c>
      <c r="AA53" s="93" t="s">
        <v>150</v>
      </c>
      <c r="AB53" s="370" t="s">
        <v>31</v>
      </c>
      <c r="AC53" s="371"/>
      <c r="AD53" s="94" t="s">
        <v>88</v>
      </c>
      <c r="AE53" s="93" t="s">
        <v>150</v>
      </c>
      <c r="AF53" s="370" t="s">
        <v>31</v>
      </c>
      <c r="AG53" s="371"/>
      <c r="AH53" s="94" t="s">
        <v>88</v>
      </c>
      <c r="AI53" s="93" t="s">
        <v>150</v>
      </c>
      <c r="AJ53" s="370" t="s">
        <v>31</v>
      </c>
      <c r="AK53" s="371"/>
      <c r="AL53" s="94" t="s">
        <v>88</v>
      </c>
      <c r="AM53" s="93" t="s">
        <v>150</v>
      </c>
      <c r="AN53" s="370" t="s">
        <v>31</v>
      </c>
      <c r="AO53" s="371"/>
      <c r="AP53" s="94" t="s">
        <v>88</v>
      </c>
      <c r="AQ53" s="93" t="s">
        <v>150</v>
      </c>
      <c r="AR53" s="370" t="s">
        <v>31</v>
      </c>
      <c r="AS53" s="371"/>
      <c r="AT53" s="94" t="s">
        <v>88</v>
      </c>
      <c r="AU53" s="93" t="s">
        <v>150</v>
      </c>
      <c r="AV53" s="370" t="s">
        <v>31</v>
      </c>
      <c r="AW53" s="371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78" t="s">
        <v>256</v>
      </c>
      <c r="M54" s="379"/>
      <c r="N54" s="100">
        <v>70</v>
      </c>
      <c r="O54" s="95"/>
      <c r="P54" s="383"/>
      <c r="Q54" s="384"/>
      <c r="R54" s="102"/>
      <c r="S54" s="95">
        <v>43594</v>
      </c>
      <c r="T54" s="378" t="s">
        <v>242</v>
      </c>
      <c r="U54" s="379"/>
      <c r="V54" s="103"/>
      <c r="W54" s="95">
        <v>43624</v>
      </c>
      <c r="X54" s="378" t="s">
        <v>153</v>
      </c>
      <c r="Y54" s="379"/>
      <c r="Z54" s="104">
        <v>10</v>
      </c>
      <c r="AA54" s="95"/>
      <c r="AB54" s="385" t="s">
        <v>475</v>
      </c>
      <c r="AC54" s="386"/>
      <c r="AD54" s="239">
        <v>15</v>
      </c>
      <c r="AE54" s="95"/>
      <c r="AF54" s="385" t="s">
        <v>475</v>
      </c>
      <c r="AG54" s="386"/>
      <c r="AH54" s="239">
        <v>14</v>
      </c>
      <c r="AI54" s="95"/>
      <c r="AJ54" s="385" t="s">
        <v>475</v>
      </c>
      <c r="AK54" s="386"/>
      <c r="AL54" s="239">
        <v>15</v>
      </c>
      <c r="AM54" s="95"/>
      <c r="AN54" s="385" t="s">
        <v>475</v>
      </c>
      <c r="AO54" s="386"/>
      <c r="AP54" s="239">
        <v>11</v>
      </c>
      <c r="AQ54" s="95"/>
      <c r="AR54" s="385" t="s">
        <v>475</v>
      </c>
      <c r="AS54" s="386"/>
      <c r="AT54" s="239">
        <v>7</v>
      </c>
      <c r="AU54" s="95"/>
      <c r="AV54" s="385" t="s">
        <v>475</v>
      </c>
      <c r="AW54" s="386"/>
      <c r="AX54" s="239">
        <v>0</v>
      </c>
    </row>
    <row r="55" spans="1:62">
      <c r="C55" s="96"/>
      <c r="D55" s="376" t="s">
        <v>235</v>
      </c>
      <c r="E55" s="377"/>
      <c r="F55" s="98">
        <v>121.4</v>
      </c>
      <c r="G55" s="96">
        <v>43516</v>
      </c>
      <c r="H55" s="376" t="s">
        <v>310</v>
      </c>
      <c r="I55" s="377"/>
      <c r="J55" s="100"/>
      <c r="K55" s="96">
        <v>43553</v>
      </c>
      <c r="L55" s="376" t="s">
        <v>296</v>
      </c>
      <c r="M55" s="377"/>
      <c r="N55" s="100">
        <v>4421.9399999999996</v>
      </c>
      <c r="O55" s="96">
        <v>43565</v>
      </c>
      <c r="P55" s="376" t="s">
        <v>322</v>
      </c>
      <c r="Q55" s="377"/>
      <c r="R55" s="100">
        <v>10</v>
      </c>
      <c r="S55" s="96">
        <v>43607</v>
      </c>
      <c r="T55" s="376" t="s">
        <v>310</v>
      </c>
      <c r="U55" s="377"/>
      <c r="V55" s="100"/>
      <c r="W55" s="96">
        <v>43637</v>
      </c>
      <c r="X55" s="376" t="s">
        <v>151</v>
      </c>
      <c r="Y55" s="377"/>
      <c r="Z55" s="100">
        <v>10</v>
      </c>
      <c r="AA55" s="96">
        <v>43666</v>
      </c>
      <c r="AB55" s="376" t="s">
        <v>234</v>
      </c>
      <c r="AC55" s="377"/>
      <c r="AD55" s="100"/>
      <c r="AE55" s="96">
        <v>43682</v>
      </c>
      <c r="AF55" s="376" t="s">
        <v>322</v>
      </c>
      <c r="AG55" s="377"/>
      <c r="AH55" s="100">
        <v>10</v>
      </c>
      <c r="AI55" s="96">
        <v>43711</v>
      </c>
      <c r="AJ55" s="376" t="s">
        <v>322</v>
      </c>
      <c r="AK55" s="377"/>
      <c r="AL55" s="100" t="s">
        <v>779</v>
      </c>
      <c r="AM55" s="96">
        <v>43740</v>
      </c>
      <c r="AN55" s="387" t="s">
        <v>153</v>
      </c>
      <c r="AO55" s="388"/>
      <c r="AP55" s="100">
        <v>10</v>
      </c>
      <c r="AQ55" s="96">
        <v>43798</v>
      </c>
      <c r="AR55" s="376" t="s">
        <v>153</v>
      </c>
      <c r="AS55" s="377"/>
      <c r="AT55" s="100">
        <v>10</v>
      </c>
      <c r="AU55" s="96"/>
      <c r="AV55" s="376"/>
      <c r="AW55" s="377"/>
      <c r="AX55" s="100"/>
    </row>
    <row r="56" spans="1:62">
      <c r="B56" s="119"/>
      <c r="C56" s="96">
        <v>43472</v>
      </c>
      <c r="D56" s="376" t="s">
        <v>151</v>
      </c>
      <c r="E56" s="377"/>
      <c r="F56" s="98">
        <v>15</v>
      </c>
      <c r="G56" s="96">
        <v>43507</v>
      </c>
      <c r="H56" s="376" t="s">
        <v>322</v>
      </c>
      <c r="I56" s="377"/>
      <c r="J56" s="100">
        <v>10</v>
      </c>
      <c r="K56" s="96">
        <v>43529</v>
      </c>
      <c r="L56" s="376" t="s">
        <v>324</v>
      </c>
      <c r="M56" s="377"/>
      <c r="N56" s="100">
        <v>3362.6</v>
      </c>
      <c r="O56" s="96">
        <v>43576</v>
      </c>
      <c r="P56" s="385" t="s">
        <v>234</v>
      </c>
      <c r="Q56" s="386"/>
      <c r="R56" s="102"/>
      <c r="S56" s="96">
        <v>43615</v>
      </c>
      <c r="T56" s="376" t="s">
        <v>234</v>
      </c>
      <c r="U56" s="377"/>
      <c r="V56" s="100"/>
      <c r="W56" s="96"/>
      <c r="X56" s="376"/>
      <c r="Y56" s="377"/>
      <c r="Z56" s="100"/>
      <c r="AA56" s="96"/>
      <c r="AB56" s="376"/>
      <c r="AC56" s="377"/>
      <c r="AD56" s="100"/>
      <c r="AE56" s="96">
        <v>43703</v>
      </c>
      <c r="AF56" s="376" t="s">
        <v>151</v>
      </c>
      <c r="AG56" s="377"/>
      <c r="AH56" s="100">
        <v>10</v>
      </c>
      <c r="AI56" s="96">
        <v>43498</v>
      </c>
      <c r="AJ56" s="387" t="s">
        <v>234</v>
      </c>
      <c r="AK56" s="388"/>
      <c r="AL56" s="100"/>
      <c r="AM56" s="96">
        <v>43769</v>
      </c>
      <c r="AN56" s="387" t="s">
        <v>153</v>
      </c>
      <c r="AO56" s="388"/>
      <c r="AP56" s="100" t="s">
        <v>779</v>
      </c>
      <c r="AQ56" s="96">
        <v>43791</v>
      </c>
      <c r="AR56" s="376" t="s">
        <v>933</v>
      </c>
      <c r="AS56" s="377"/>
      <c r="AT56" s="100">
        <v>10</v>
      </c>
      <c r="AU56" s="96"/>
      <c r="AV56" s="376"/>
      <c r="AW56" s="377"/>
      <c r="AX56" s="100"/>
    </row>
    <row r="57" spans="1:62">
      <c r="C57" s="96">
        <v>43476</v>
      </c>
      <c r="D57" s="376" t="s">
        <v>153</v>
      </c>
      <c r="E57" s="377"/>
      <c r="F57" s="98">
        <v>10</v>
      </c>
      <c r="G57" s="96">
        <v>43516</v>
      </c>
      <c r="H57" s="376" t="s">
        <v>351</v>
      </c>
      <c r="I57" s="377"/>
      <c r="J57" s="100"/>
      <c r="K57" s="96">
        <v>43533</v>
      </c>
      <c r="L57" s="376" t="s">
        <v>234</v>
      </c>
      <c r="M57" s="377"/>
      <c r="N57" s="100"/>
      <c r="O57" s="96">
        <v>43578</v>
      </c>
      <c r="P57" s="380" t="s">
        <v>388</v>
      </c>
      <c r="Q57" s="381"/>
      <c r="R57" s="100">
        <v>10</v>
      </c>
      <c r="S57" s="96"/>
      <c r="T57" s="376"/>
      <c r="U57" s="377"/>
      <c r="V57" s="100"/>
      <c r="W57" s="96"/>
      <c r="X57" s="376"/>
      <c r="Y57" s="377"/>
      <c r="Z57" s="100"/>
      <c r="AA57" s="96"/>
      <c r="AB57" s="393"/>
      <c r="AC57" s="394"/>
      <c r="AD57" s="100"/>
      <c r="AE57" s="96"/>
      <c r="AF57" s="376"/>
      <c r="AG57" s="377"/>
      <c r="AH57" s="100"/>
      <c r="AI57" s="96">
        <v>43733</v>
      </c>
      <c r="AJ57" s="387" t="s">
        <v>151</v>
      </c>
      <c r="AK57" s="388"/>
      <c r="AL57" s="100">
        <v>10</v>
      </c>
      <c r="AM57" s="96">
        <v>43762</v>
      </c>
      <c r="AN57" s="387" t="s">
        <v>151</v>
      </c>
      <c r="AO57" s="388"/>
      <c r="AP57" s="100" t="s">
        <v>779</v>
      </c>
      <c r="AQ57" s="96"/>
      <c r="AR57" s="376"/>
      <c r="AS57" s="377"/>
      <c r="AT57" s="100"/>
      <c r="AU57" s="96"/>
      <c r="AV57" s="376"/>
      <c r="AW57" s="377"/>
      <c r="AX57" s="100"/>
    </row>
    <row r="58" spans="1:62">
      <c r="C58" s="96">
        <v>43478</v>
      </c>
      <c r="D58" s="376" t="s">
        <v>242</v>
      </c>
      <c r="E58" s="377"/>
      <c r="F58" s="98"/>
      <c r="G58" s="96"/>
      <c r="H58" s="376"/>
      <c r="I58" s="377"/>
      <c r="J58" s="100"/>
      <c r="K58" s="96">
        <v>43536</v>
      </c>
      <c r="L58" s="376" t="s">
        <v>242</v>
      </c>
      <c r="M58" s="377"/>
      <c r="N58" s="100"/>
      <c r="O58" s="96"/>
      <c r="P58" s="376"/>
      <c r="Q58" s="377"/>
      <c r="R58" s="100"/>
      <c r="S58" s="96"/>
      <c r="T58" s="376"/>
      <c r="U58" s="377"/>
      <c r="V58" s="100"/>
      <c r="W58" s="96"/>
      <c r="X58" s="376"/>
      <c r="Y58" s="377"/>
      <c r="Z58" s="100"/>
      <c r="AA58" s="96"/>
      <c r="AB58" s="393"/>
      <c r="AC58" s="394"/>
      <c r="AD58" s="100"/>
      <c r="AE58" s="96"/>
      <c r="AF58" s="376"/>
      <c r="AG58" s="377"/>
      <c r="AH58" s="100"/>
      <c r="AI58" s="96"/>
      <c r="AJ58" s="389"/>
      <c r="AK58" s="390"/>
      <c r="AL58" s="100"/>
      <c r="AM58" s="96">
        <v>43749</v>
      </c>
      <c r="AN58" s="387" t="s">
        <v>234</v>
      </c>
      <c r="AO58" s="388"/>
      <c r="AP58" s="100"/>
      <c r="AQ58" s="96"/>
      <c r="AR58" s="376"/>
      <c r="AS58" s="377"/>
      <c r="AT58" s="100"/>
      <c r="AU58" s="96"/>
      <c r="AV58" s="376"/>
      <c r="AW58" s="377"/>
      <c r="AX58" s="100"/>
    </row>
    <row r="59" spans="1:62">
      <c r="C59" s="96">
        <v>43481</v>
      </c>
      <c r="D59" s="376" t="s">
        <v>270</v>
      </c>
      <c r="E59" s="377"/>
      <c r="F59" s="98">
        <v>50</v>
      </c>
      <c r="G59" s="96"/>
      <c r="H59" s="376"/>
      <c r="I59" s="377"/>
      <c r="J59" s="100"/>
      <c r="K59" s="96"/>
      <c r="L59" s="376" t="s">
        <v>384</v>
      </c>
      <c r="M59" s="377"/>
      <c r="N59" s="100">
        <f>3.1+10.5</f>
        <v>13.6</v>
      </c>
      <c r="O59" s="96"/>
      <c r="P59" s="376"/>
      <c r="Q59" s="377"/>
      <c r="R59" s="100"/>
      <c r="S59" s="96"/>
      <c r="T59" s="387"/>
      <c r="U59" s="388"/>
      <c r="V59" s="100"/>
      <c r="W59" s="96"/>
      <c r="X59" s="387"/>
      <c r="Y59" s="388"/>
      <c r="Z59" s="100"/>
      <c r="AA59" s="96"/>
      <c r="AB59" s="387"/>
      <c r="AC59" s="388"/>
      <c r="AD59" s="100"/>
      <c r="AE59" s="96"/>
      <c r="AF59" s="376"/>
      <c r="AG59" s="377"/>
      <c r="AH59" s="100"/>
      <c r="AI59" s="96"/>
      <c r="AJ59" s="389"/>
      <c r="AK59" s="390"/>
      <c r="AL59" s="100"/>
      <c r="AM59" s="96"/>
      <c r="AN59" s="397" t="s">
        <v>875</v>
      </c>
      <c r="AO59" s="398"/>
      <c r="AP59" s="100">
        <v>3352.93</v>
      </c>
      <c r="AQ59" s="96"/>
      <c r="AR59" s="376"/>
      <c r="AS59" s="377"/>
      <c r="AT59" s="100"/>
      <c r="AU59" s="96"/>
      <c r="AV59" s="376"/>
      <c r="AW59" s="377"/>
      <c r="AX59" s="100"/>
    </row>
    <row r="60" spans="1:62">
      <c r="C60" s="96">
        <v>43488</v>
      </c>
      <c r="D60" s="376" t="s">
        <v>289</v>
      </c>
      <c r="E60" s="377"/>
      <c r="F60" s="98"/>
      <c r="G60" s="96"/>
      <c r="H60" s="376"/>
      <c r="I60" s="377"/>
      <c r="J60" s="100"/>
      <c r="K60" s="235">
        <v>43549</v>
      </c>
      <c r="L60" s="380" t="s">
        <v>388</v>
      </c>
      <c r="M60" s="381"/>
      <c r="N60" s="236">
        <v>15</v>
      </c>
      <c r="O60" s="96"/>
      <c r="P60" s="376"/>
      <c r="Q60" s="377"/>
      <c r="R60" s="100"/>
      <c r="S60" s="96"/>
      <c r="T60" s="387"/>
      <c r="U60" s="388"/>
      <c r="V60" s="100"/>
      <c r="W60" s="96"/>
      <c r="X60" s="389"/>
      <c r="Y60" s="390"/>
      <c r="Z60" s="100"/>
      <c r="AA60" s="96"/>
      <c r="AB60" s="389"/>
      <c r="AC60" s="390"/>
      <c r="AD60" s="100"/>
      <c r="AE60" s="96"/>
      <c r="AF60" s="387"/>
      <c r="AG60" s="388"/>
      <c r="AH60" s="100"/>
      <c r="AI60" s="96"/>
      <c r="AJ60" s="389"/>
      <c r="AK60" s="390"/>
      <c r="AL60" s="100"/>
      <c r="AM60" s="96"/>
      <c r="AN60" s="389"/>
      <c r="AO60" s="390"/>
      <c r="AP60" s="100"/>
      <c r="AQ60" s="96"/>
      <c r="AR60" s="376"/>
      <c r="AS60" s="377"/>
      <c r="AT60" s="100"/>
      <c r="AU60" s="96"/>
      <c r="AV60" s="376"/>
      <c r="AW60" s="377"/>
      <c r="AX60" s="100"/>
    </row>
    <row r="61" spans="1:62">
      <c r="C61" s="96">
        <v>43490</v>
      </c>
      <c r="D61" s="376" t="s">
        <v>291</v>
      </c>
      <c r="E61" s="377"/>
      <c r="F61" s="98">
        <v>40</v>
      </c>
      <c r="G61" s="96"/>
      <c r="H61" s="376"/>
      <c r="I61" s="377"/>
      <c r="J61" s="100"/>
      <c r="K61" s="96"/>
      <c r="L61" s="382"/>
      <c r="M61" s="377"/>
      <c r="N61" s="100"/>
      <c r="O61" s="96"/>
      <c r="P61" s="376"/>
      <c r="Q61" s="377"/>
      <c r="R61" s="100"/>
      <c r="S61" s="96"/>
      <c r="T61" s="387"/>
      <c r="U61" s="388"/>
      <c r="V61" s="100"/>
      <c r="W61" s="96"/>
      <c r="X61" s="389"/>
      <c r="Y61" s="390"/>
      <c r="Z61" s="100"/>
      <c r="AA61" s="96"/>
      <c r="AB61" s="389"/>
      <c r="AC61" s="390"/>
      <c r="AD61" s="100"/>
      <c r="AE61" s="96"/>
      <c r="AF61" s="389"/>
      <c r="AG61" s="390"/>
      <c r="AH61" s="100"/>
      <c r="AI61" s="96"/>
      <c r="AJ61" s="389"/>
      <c r="AK61" s="390"/>
      <c r="AL61" s="100"/>
      <c r="AM61" s="96"/>
      <c r="AN61" s="389"/>
      <c r="AO61" s="390"/>
      <c r="AP61" s="100"/>
      <c r="AQ61" s="96"/>
      <c r="AR61" s="376"/>
      <c r="AS61" s="377"/>
      <c r="AT61" s="100"/>
      <c r="AU61" s="96"/>
      <c r="AV61" s="376"/>
      <c r="AW61" s="377"/>
      <c r="AX61" s="100"/>
    </row>
    <row r="62" spans="1:62">
      <c r="C62" s="96"/>
      <c r="D62" s="376"/>
      <c r="E62" s="377"/>
      <c r="F62" s="98"/>
      <c r="G62" s="96"/>
      <c r="H62" s="376"/>
      <c r="I62" s="377"/>
      <c r="J62" s="100"/>
      <c r="K62" s="96"/>
      <c r="L62" s="376"/>
      <c r="M62" s="377"/>
      <c r="N62" s="100"/>
      <c r="O62" s="96"/>
      <c r="P62" s="376"/>
      <c r="Q62" s="377"/>
      <c r="R62" s="100"/>
      <c r="S62" s="96"/>
      <c r="T62" s="387"/>
      <c r="U62" s="388"/>
      <c r="V62" s="100"/>
      <c r="W62" s="96"/>
      <c r="X62" s="389"/>
      <c r="Y62" s="390"/>
      <c r="Z62" s="100"/>
      <c r="AA62" s="96"/>
      <c r="AB62" s="389"/>
      <c r="AC62" s="390"/>
      <c r="AD62" s="100"/>
      <c r="AE62" s="96"/>
      <c r="AF62" s="389"/>
      <c r="AG62" s="390"/>
      <c r="AH62" s="100"/>
      <c r="AI62" s="96"/>
      <c r="AJ62" s="389"/>
      <c r="AK62" s="390"/>
      <c r="AL62" s="100"/>
      <c r="AM62" s="96"/>
      <c r="AN62" s="389"/>
      <c r="AO62" s="390"/>
      <c r="AP62" s="100"/>
      <c r="AQ62" s="96"/>
      <c r="AR62" s="376"/>
      <c r="AS62" s="377"/>
      <c r="AT62" s="100"/>
      <c r="AU62" s="96"/>
      <c r="AV62" s="376"/>
      <c r="AW62" s="377"/>
      <c r="AX62" s="100"/>
    </row>
    <row r="63" spans="1:62">
      <c r="C63" s="96"/>
      <c r="D63" s="376"/>
      <c r="E63" s="377"/>
      <c r="F63" s="98"/>
      <c r="G63" s="96"/>
      <c r="H63" s="376"/>
      <c r="I63" s="377"/>
      <c r="J63" s="100"/>
      <c r="K63" s="96"/>
      <c r="L63" s="376"/>
      <c r="M63" s="377"/>
      <c r="N63" s="100"/>
      <c r="O63" s="96"/>
      <c r="P63" s="376"/>
      <c r="Q63" s="377"/>
      <c r="R63" s="100"/>
      <c r="S63" s="96"/>
      <c r="T63" s="387"/>
      <c r="U63" s="388"/>
      <c r="V63" s="100"/>
      <c r="W63" s="96"/>
      <c r="X63" s="389"/>
      <c r="Y63" s="390"/>
      <c r="Z63" s="100"/>
      <c r="AA63" s="96"/>
      <c r="AB63" s="389"/>
      <c r="AC63" s="390"/>
      <c r="AD63" s="100"/>
      <c r="AE63" s="96"/>
      <c r="AF63" s="389"/>
      <c r="AG63" s="390"/>
      <c r="AH63" s="100"/>
      <c r="AI63" s="96"/>
      <c r="AJ63" s="389"/>
      <c r="AK63" s="390"/>
      <c r="AL63" s="100"/>
      <c r="AM63" s="96"/>
      <c r="AN63" s="389"/>
      <c r="AO63" s="390"/>
      <c r="AP63" s="100"/>
      <c r="AQ63" s="96"/>
      <c r="AR63" s="376"/>
      <c r="AS63" s="377"/>
      <c r="AT63" s="100"/>
      <c r="AU63" s="96"/>
      <c r="AV63" s="376"/>
      <c r="AW63" s="377"/>
      <c r="AX63" s="100"/>
    </row>
    <row r="64" spans="1:62">
      <c r="C64" s="96"/>
      <c r="D64" s="376"/>
      <c r="E64" s="377"/>
      <c r="F64" s="98"/>
      <c r="G64" s="96"/>
      <c r="H64" s="376"/>
      <c r="I64" s="377"/>
      <c r="J64" s="100"/>
      <c r="K64" s="96"/>
      <c r="L64" s="376"/>
      <c r="M64" s="377"/>
      <c r="N64" s="100"/>
      <c r="O64" s="96"/>
      <c r="P64" s="376"/>
      <c r="Q64" s="377"/>
      <c r="R64" s="100"/>
      <c r="S64" s="96"/>
      <c r="T64" s="387"/>
      <c r="U64" s="388"/>
      <c r="V64" s="100"/>
      <c r="W64" s="96"/>
      <c r="X64" s="389"/>
      <c r="Y64" s="390"/>
      <c r="Z64" s="100"/>
      <c r="AA64" s="96"/>
      <c r="AB64" s="389"/>
      <c r="AC64" s="390"/>
      <c r="AD64" s="100"/>
      <c r="AE64" s="96"/>
      <c r="AF64" s="389"/>
      <c r="AG64" s="390"/>
      <c r="AH64" s="100"/>
      <c r="AI64" s="96"/>
      <c r="AJ64" s="389"/>
      <c r="AK64" s="390"/>
      <c r="AL64" s="100"/>
      <c r="AM64" s="96"/>
      <c r="AN64" s="389"/>
      <c r="AO64" s="390"/>
      <c r="AP64" s="100"/>
      <c r="AQ64" s="96"/>
      <c r="AR64" s="376"/>
      <c r="AS64" s="377"/>
      <c r="AT64" s="100"/>
      <c r="AU64" s="96"/>
      <c r="AV64" s="376"/>
      <c r="AW64" s="377"/>
      <c r="AX64" s="100"/>
    </row>
    <row r="65" spans="1:50">
      <c r="C65" s="96"/>
      <c r="D65" s="376"/>
      <c r="E65" s="377"/>
      <c r="F65" s="98"/>
      <c r="G65" s="96"/>
      <c r="H65" s="376"/>
      <c r="I65" s="377"/>
      <c r="J65" s="100"/>
      <c r="K65" s="96"/>
      <c r="L65" s="376"/>
      <c r="M65" s="377"/>
      <c r="N65" s="100"/>
      <c r="O65" s="96"/>
      <c r="P65" s="376"/>
      <c r="Q65" s="377"/>
      <c r="R65" s="100"/>
      <c r="S65" s="96"/>
      <c r="T65" s="387"/>
      <c r="U65" s="388"/>
      <c r="V65" s="100"/>
      <c r="W65" s="96"/>
      <c r="X65" s="389"/>
      <c r="Y65" s="390"/>
      <c r="Z65" s="100"/>
      <c r="AA65" s="96"/>
      <c r="AB65" s="389"/>
      <c r="AC65" s="390"/>
      <c r="AD65" s="100"/>
      <c r="AE65" s="96"/>
      <c r="AF65" s="389"/>
      <c r="AG65" s="390"/>
      <c r="AH65" s="100"/>
      <c r="AI65" s="96"/>
      <c r="AJ65" s="389"/>
      <c r="AK65" s="390"/>
      <c r="AL65" s="100"/>
      <c r="AM65" s="96"/>
      <c r="AN65" s="389"/>
      <c r="AO65" s="390"/>
      <c r="AP65" s="100"/>
      <c r="AQ65" s="96"/>
      <c r="AR65" s="376"/>
      <c r="AS65" s="377"/>
      <c r="AT65" s="100"/>
      <c r="AU65" s="96"/>
      <c r="AV65" s="376"/>
      <c r="AW65" s="377"/>
      <c r="AX65" s="100"/>
    </row>
    <row r="66" spans="1:50">
      <c r="C66" s="96"/>
      <c r="D66" s="376"/>
      <c r="E66" s="377"/>
      <c r="F66" s="98"/>
      <c r="G66" s="96"/>
      <c r="H66" s="376"/>
      <c r="I66" s="377"/>
      <c r="J66" s="100"/>
      <c r="K66" s="96"/>
      <c r="L66" s="376"/>
      <c r="M66" s="377"/>
      <c r="N66" s="100"/>
      <c r="O66" s="96"/>
      <c r="P66" s="376"/>
      <c r="Q66" s="377"/>
      <c r="R66" s="100"/>
      <c r="S66" s="96"/>
      <c r="T66" s="389"/>
      <c r="U66" s="390"/>
      <c r="V66" s="100"/>
      <c r="W66" s="96"/>
      <c r="X66" s="389"/>
      <c r="Y66" s="390"/>
      <c r="Z66" s="100"/>
      <c r="AA66" s="96"/>
      <c r="AB66" s="389"/>
      <c r="AC66" s="390"/>
      <c r="AD66" s="100"/>
      <c r="AE66" s="96"/>
      <c r="AF66" s="389"/>
      <c r="AG66" s="390"/>
      <c r="AH66" s="100"/>
      <c r="AI66" s="96"/>
      <c r="AJ66" s="389"/>
      <c r="AK66" s="390"/>
      <c r="AL66" s="100"/>
      <c r="AM66" s="96"/>
      <c r="AN66" s="389"/>
      <c r="AO66" s="390"/>
      <c r="AP66" s="100"/>
      <c r="AQ66" s="96"/>
      <c r="AR66" s="376"/>
      <c r="AS66" s="377"/>
      <c r="AT66" s="100"/>
      <c r="AU66" s="96"/>
      <c r="AV66" s="376"/>
      <c r="AW66" s="377"/>
      <c r="AX66" s="100"/>
    </row>
    <row r="67" spans="1:50">
      <c r="C67" s="96"/>
      <c r="D67" s="376"/>
      <c r="E67" s="377"/>
      <c r="F67" s="98"/>
      <c r="G67" s="96"/>
      <c r="H67" s="376"/>
      <c r="I67" s="377"/>
      <c r="J67" s="100"/>
      <c r="K67" s="96"/>
      <c r="L67" s="376"/>
      <c r="M67" s="377"/>
      <c r="N67" s="100"/>
      <c r="O67" s="96"/>
      <c r="P67" s="376"/>
      <c r="Q67" s="377"/>
      <c r="R67" s="100"/>
      <c r="S67" s="96"/>
      <c r="T67" s="389"/>
      <c r="U67" s="390"/>
      <c r="V67" s="100"/>
      <c r="W67" s="96"/>
      <c r="X67" s="389"/>
      <c r="Y67" s="390"/>
      <c r="Z67" s="100"/>
      <c r="AA67" s="96"/>
      <c r="AB67" s="389"/>
      <c r="AC67" s="390"/>
      <c r="AD67" s="100"/>
      <c r="AE67" s="96"/>
      <c r="AF67" s="389"/>
      <c r="AG67" s="390"/>
      <c r="AH67" s="100"/>
      <c r="AI67" s="96"/>
      <c r="AJ67" s="389"/>
      <c r="AK67" s="390"/>
      <c r="AL67" s="100"/>
      <c r="AM67" s="96"/>
      <c r="AN67" s="389"/>
      <c r="AO67" s="390"/>
      <c r="AP67" s="100"/>
      <c r="AQ67" s="96"/>
      <c r="AR67" s="376"/>
      <c r="AS67" s="377"/>
      <c r="AT67" s="100"/>
      <c r="AU67" s="96"/>
      <c r="AV67" s="376"/>
      <c r="AW67" s="377"/>
      <c r="AX67" s="100"/>
    </row>
    <row r="68" spans="1:50">
      <c r="C68" s="96"/>
      <c r="D68" s="376"/>
      <c r="E68" s="377"/>
      <c r="F68" s="98"/>
      <c r="G68" s="96"/>
      <c r="H68" s="376"/>
      <c r="I68" s="377"/>
      <c r="J68" s="100"/>
      <c r="K68" s="96"/>
      <c r="L68" s="376"/>
      <c r="M68" s="377"/>
      <c r="N68" s="100"/>
      <c r="O68" s="96"/>
      <c r="P68" s="376"/>
      <c r="Q68" s="377"/>
      <c r="R68" s="100"/>
      <c r="S68" s="96"/>
      <c r="T68" s="389"/>
      <c r="U68" s="390"/>
      <c r="V68" s="100"/>
      <c r="W68" s="96"/>
      <c r="X68" s="389"/>
      <c r="Y68" s="390"/>
      <c r="Z68" s="100"/>
      <c r="AA68" s="96"/>
      <c r="AB68" s="389"/>
      <c r="AC68" s="390"/>
      <c r="AD68" s="100"/>
      <c r="AE68" s="96"/>
      <c r="AF68" s="389"/>
      <c r="AG68" s="390"/>
      <c r="AH68" s="100"/>
      <c r="AI68" s="96"/>
      <c r="AJ68" s="389"/>
      <c r="AK68" s="390"/>
      <c r="AL68" s="100"/>
      <c r="AM68" s="96"/>
      <c r="AN68" s="389"/>
      <c r="AO68" s="390"/>
      <c r="AP68" s="100"/>
      <c r="AQ68" s="96"/>
      <c r="AR68" s="376"/>
      <c r="AS68" s="377"/>
      <c r="AT68" s="100"/>
      <c r="AU68" s="96"/>
      <c r="AV68" s="376"/>
      <c r="AW68" s="377"/>
      <c r="AX68" s="100"/>
    </row>
    <row r="69" spans="1:50">
      <c r="C69" s="96"/>
      <c r="D69" s="376"/>
      <c r="E69" s="377"/>
      <c r="F69" s="98"/>
      <c r="G69" s="96"/>
      <c r="H69" s="376"/>
      <c r="I69" s="377"/>
      <c r="J69" s="100"/>
      <c r="K69" s="96"/>
      <c r="L69" s="376"/>
      <c r="M69" s="377"/>
      <c r="N69" s="100"/>
      <c r="O69" s="96"/>
      <c r="P69" s="376"/>
      <c r="Q69" s="377"/>
      <c r="R69" s="100"/>
      <c r="S69" s="96"/>
      <c r="T69" s="389"/>
      <c r="U69" s="390"/>
      <c r="V69" s="100"/>
      <c r="W69" s="96"/>
      <c r="X69" s="389"/>
      <c r="Y69" s="390"/>
      <c r="Z69" s="100"/>
      <c r="AA69" s="96"/>
      <c r="AB69" s="389"/>
      <c r="AC69" s="390"/>
      <c r="AD69" s="100"/>
      <c r="AE69" s="96"/>
      <c r="AF69" s="389"/>
      <c r="AG69" s="390"/>
      <c r="AH69" s="100"/>
      <c r="AI69" s="96"/>
      <c r="AJ69" s="389"/>
      <c r="AK69" s="390"/>
      <c r="AL69" s="100"/>
      <c r="AM69" s="96"/>
      <c r="AN69" s="389"/>
      <c r="AO69" s="390"/>
      <c r="AP69" s="100"/>
      <c r="AQ69" s="96"/>
      <c r="AR69" s="376"/>
      <c r="AS69" s="377"/>
      <c r="AT69" s="100"/>
      <c r="AU69" s="96"/>
      <c r="AV69" s="376"/>
      <c r="AW69" s="377"/>
      <c r="AX69" s="100"/>
    </row>
    <row r="70" spans="1:50">
      <c r="C70" s="96"/>
      <c r="D70" s="376"/>
      <c r="E70" s="377"/>
      <c r="F70" s="98"/>
      <c r="G70" s="96"/>
      <c r="H70" s="376"/>
      <c r="I70" s="377"/>
      <c r="J70" s="100"/>
      <c r="K70" s="96"/>
      <c r="L70" s="376"/>
      <c r="M70" s="377"/>
      <c r="N70" s="100"/>
      <c r="O70" s="96"/>
      <c r="P70" s="376"/>
      <c r="Q70" s="377"/>
      <c r="R70" s="100"/>
      <c r="S70" s="96"/>
      <c r="T70" s="376" t="s">
        <v>564</v>
      </c>
      <c r="U70" s="377"/>
      <c r="V70" s="100">
        <v>3742.92</v>
      </c>
      <c r="W70" s="96"/>
      <c r="X70" s="376" t="s">
        <v>562</v>
      </c>
      <c r="Y70" s="377"/>
      <c r="Z70" s="100">
        <f>3289.11+270.87</f>
        <v>3559.98</v>
      </c>
      <c r="AA70" s="96"/>
      <c r="AB70" s="389"/>
      <c r="AC70" s="390"/>
      <c r="AD70" s="100"/>
      <c r="AE70" s="96"/>
      <c r="AF70" s="389"/>
      <c r="AG70" s="390"/>
      <c r="AH70" s="100"/>
      <c r="AI70" s="96"/>
      <c r="AJ70" s="389"/>
      <c r="AK70" s="390"/>
      <c r="AL70" s="100"/>
      <c r="AM70" s="96"/>
      <c r="AN70" s="389"/>
      <c r="AO70" s="390"/>
      <c r="AP70" s="100"/>
      <c r="AQ70" s="96"/>
      <c r="AR70" s="376"/>
      <c r="AS70" s="377"/>
      <c r="AT70" s="100"/>
      <c r="AU70" s="96"/>
      <c r="AV70" s="376"/>
      <c r="AW70" s="377"/>
      <c r="AX70" s="100"/>
    </row>
    <row r="71" spans="1:50" ht="15.75" thickBot="1">
      <c r="C71" s="97"/>
      <c r="D71" s="374"/>
      <c r="E71" s="375"/>
      <c r="F71" s="99"/>
      <c r="G71" s="97"/>
      <c r="H71" s="374"/>
      <c r="I71" s="375"/>
      <c r="J71" s="101"/>
      <c r="K71" s="97"/>
      <c r="L71" s="374"/>
      <c r="M71" s="375"/>
      <c r="N71" s="101"/>
      <c r="O71" s="97"/>
      <c r="P71" s="374"/>
      <c r="Q71" s="375"/>
      <c r="R71" s="101"/>
      <c r="S71" s="97"/>
      <c r="T71" s="391" t="s">
        <v>565</v>
      </c>
      <c r="U71" s="392"/>
      <c r="V71" s="101">
        <v>1872.17</v>
      </c>
      <c r="W71" s="97"/>
      <c r="X71" s="391" t="s">
        <v>563</v>
      </c>
      <c r="Y71" s="392"/>
      <c r="Z71" s="101">
        <f>Z70-1484.91-429.89</f>
        <v>1645.1799999999998</v>
      </c>
      <c r="AA71" s="97"/>
      <c r="AB71" s="395"/>
      <c r="AC71" s="396"/>
      <c r="AD71" s="101"/>
      <c r="AE71" s="97"/>
      <c r="AF71" s="395"/>
      <c r="AG71" s="396"/>
      <c r="AH71" s="101"/>
      <c r="AI71" s="97"/>
      <c r="AJ71" s="395"/>
      <c r="AK71" s="396"/>
      <c r="AL71" s="101"/>
      <c r="AM71" s="97"/>
      <c r="AN71" s="395"/>
      <c r="AO71" s="396"/>
      <c r="AP71" s="101"/>
      <c r="AQ71" s="97"/>
      <c r="AR71" s="374"/>
      <c r="AS71" s="375"/>
      <c r="AT71" s="101"/>
      <c r="AU71" s="97"/>
      <c r="AV71" s="374"/>
      <c r="AW71" s="37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16</v>
      </c>
      <c r="D75">
        <f>C75*D74</f>
        <v>51.612903225806448</v>
      </c>
      <c r="Z75" s="111"/>
    </row>
    <row r="76" spans="1:50">
      <c r="D76">
        <f>D75-D73</f>
        <v>-3.3870967741935516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799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789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19"/>
      <c r="J46" s="423" t="s">
        <v>831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8" t="str">
        <f>AÑO!A13</f>
        <v>Gubernamental</v>
      </c>
      <c r="J50" s="421" t="s">
        <v>797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798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860</v>
      </c>
      <c r="K32" s="424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327</v>
      </c>
      <c r="K33" s="424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863</v>
      </c>
      <c r="K42" s="424"/>
      <c r="L42" s="229">
        <v>52.06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8" t="str">
        <f>AÑO!A13</f>
        <v>Gubernamental</v>
      </c>
      <c r="J50" s="421" t="s">
        <v>797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8" t="str">
        <f>AÑO!A14</f>
        <v>Mutualite/DKV</v>
      </c>
      <c r="J55" s="421" t="s">
        <v>465</v>
      </c>
      <c r="K55" s="422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4501.8900000000003</v>
      </c>
      <c r="L5" s="430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687</v>
      </c>
      <c r="K31" s="424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899</v>
      </c>
      <c r="K40" s="422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905</v>
      </c>
      <c r="K45" s="422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19"/>
      <c r="J46" s="423" t="s">
        <v>920</v>
      </c>
      <c r="K46" s="424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19"/>
      <c r="J47" s="423" t="s">
        <v>921</v>
      </c>
      <c r="K47" s="424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8" t="str">
        <f>AÑO!A13</f>
        <v>Gubernamental</v>
      </c>
      <c r="J50" s="421" t="s">
        <v>910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8" t="str">
        <f>AÑO!A14</f>
        <v>Mutualite/DKV</v>
      </c>
      <c r="J55" s="421" t="s">
        <v>909</v>
      </c>
      <c r="K55" s="422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19"/>
      <c r="J56" s="423" t="s">
        <v>688</v>
      </c>
      <c r="K56" s="424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902</v>
      </c>
      <c r="K60" s="422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74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5609</v>
      </c>
      <c r="L5" s="430"/>
      <c r="M5" s="1">
        <f>571.43+571.43</f>
        <v>1142.8599999999999</v>
      </c>
      <c r="N5" s="1" t="s">
        <v>160</v>
      </c>
      <c r="R5" s="3"/>
    </row>
    <row r="6" spans="1:22" ht="15.75">
      <c r="A6" s="112">
        <f>'11'!A6+(B6-SUM(D6:F6))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6749.51</v>
      </c>
      <c r="L7" s="414"/>
      <c r="M7" s="1"/>
      <c r="N7" s="1"/>
      <c r="R7" s="3"/>
    </row>
    <row r="8" spans="1:22" ht="15.75">
      <c r="A8" s="112">
        <f>'11'!A8+(B8-SUM(D8:F8))</f>
        <v>-112.31</v>
      </c>
      <c r="B8" s="134">
        <v>0</v>
      </c>
      <c r="C8" s="16" t="s">
        <v>35</v>
      </c>
      <c r="D8" s="137"/>
      <c r="E8" s="113">
        <v>112.31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4335.62</v>
      </c>
      <c r="L9" s="414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>
        <v>170</v>
      </c>
      <c r="L11" s="414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30685.880000000005</v>
      </c>
      <c r="L19" s="439"/>
      <c r="M19" s="1"/>
      <c r="N19" s="1"/>
      <c r="R19" s="3"/>
    </row>
    <row r="20" spans="1:18" ht="16.5" thickBot="1">
      <c r="A20" s="112">
        <f>SUM(A6:A15)</f>
        <v>505.36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513.56999999999994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f>2064.5+1836.92</f>
        <v>3901.42</v>
      </c>
      <c r="M25" s="1"/>
      <c r="R25" s="3"/>
    </row>
    <row r="26" spans="1:18" ht="15.75">
      <c r="A26" s="112">
        <f>'11'!A26+(B26-SUM(D26:F26))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 t="s">
        <v>688</v>
      </c>
      <c r="K26" s="424"/>
      <c r="L26" s="229">
        <v>872.69</v>
      </c>
      <c r="M26" s="1"/>
      <c r="R26" s="3"/>
    </row>
    <row r="27" spans="1:18" ht="15.75">
      <c r="A27" s="112">
        <f>'11'!A27+(B27-SUM(D27:F27))</f>
        <v>54.089999999999918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'11'!A29+(B29-SUM(D29:F29))</f>
        <v>0.44000000000000483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'11'!A30+(B30-SUM(D30:F30))</f>
        <v>61.279999999999973</v>
      </c>
      <c r="B30" s="134">
        <f>5</f>
        <v>5</v>
      </c>
      <c r="C30" s="27" t="s">
        <v>42</v>
      </c>
      <c r="D30" s="137"/>
      <c r="E30" s="138"/>
      <c r="F30" s="138">
        <v>130</v>
      </c>
      <c r="G30" s="16" t="s">
        <v>973</v>
      </c>
      <c r="H30" s="1"/>
      <c r="I30" s="418" t="str">
        <f>AÑO!A9</f>
        <v>Rocío Salario</v>
      </c>
      <c r="J30" s="421" t="s">
        <v>429</v>
      </c>
      <c r="K30" s="422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265.7299999999999</v>
      </c>
      <c r="B40" s="135">
        <f>SUM(B26:B39)</f>
        <v>1153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130</v>
      </c>
      <c r="G40" s="17" t="s">
        <v>53</v>
      </c>
      <c r="H40" s="1"/>
      <c r="I40" s="418" t="str">
        <f>AÑO!A11</f>
        <v>Finanazas</v>
      </c>
      <c r="J40" s="421" t="s">
        <v>968</v>
      </c>
      <c r="K40" s="422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tr">
        <f t="shared" ref="J45:K45" si="0">J65</f>
        <v>Abuelo Antonio</v>
      </c>
      <c r="K45" s="422"/>
      <c r="L45" s="231">
        <v>100</v>
      </c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5</v>
      </c>
      <c r="C47" s="16" t="s">
        <v>1000</v>
      </c>
      <c r="D47" s="137">
        <v>25</v>
      </c>
      <c r="E47" s="138"/>
      <c r="F47" s="138"/>
      <c r="G47" s="16" t="s">
        <v>951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18" t="str">
        <f>AÑO!A13</f>
        <v>Gubernamental</v>
      </c>
      <c r="J50" s="421" t="s">
        <v>910</v>
      </c>
      <c r="K50" s="422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19"/>
      <c r="J51" s="423" t="s">
        <v>993</v>
      </c>
      <c r="K51" s="424"/>
      <c r="L51" s="229">
        <v>3352.93</v>
      </c>
      <c r="M51" s="1"/>
      <c r="R51" s="3"/>
    </row>
    <row r="52" spans="1:18" ht="15.75">
      <c r="A52" s="1"/>
      <c r="B52" s="134"/>
      <c r="C52" s="16"/>
      <c r="D52" s="137">
        <v>43.64</v>
      </c>
      <c r="E52" s="138"/>
      <c r="F52" s="138"/>
      <c r="G52" s="16" t="s">
        <v>975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f>72.43-D289</f>
        <v>46.430000000000007</v>
      </c>
      <c r="E53" s="138"/>
      <c r="F53" s="138"/>
      <c r="G53" s="16" t="s">
        <v>982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f>72.2-D146+15.17-D294</f>
        <v>47.870000000000005</v>
      </c>
      <c r="E54" s="138"/>
      <c r="F54" s="138"/>
      <c r="G54" s="16" t="s">
        <v>1005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f>11.54-D291+46.15</f>
        <v>51.69</v>
      </c>
      <c r="E55" s="138"/>
      <c r="F55" s="138"/>
      <c r="G55" s="16" t="s">
        <v>1004</v>
      </c>
      <c r="H55" s="1"/>
      <c r="I55" s="418" t="str">
        <f>AÑO!A14</f>
        <v>Mutualite/DKV</v>
      </c>
      <c r="J55" s="421" t="s">
        <v>688</v>
      </c>
      <c r="K55" s="422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>
        <f>71.29+5.1</f>
        <v>76.39</v>
      </c>
      <c r="E56" s="138"/>
      <c r="F56" s="138"/>
      <c r="G56" s="16" t="s">
        <v>996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>
        <v>4.67</v>
      </c>
      <c r="E57" s="138"/>
      <c r="F57" s="138"/>
      <c r="G57" s="16" t="s">
        <v>994</v>
      </c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>
        <v>37</v>
      </c>
      <c r="E58" s="138"/>
      <c r="F58" s="138"/>
      <c r="G58" s="16" t="s">
        <v>995</v>
      </c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>
        <v>26.92</v>
      </c>
      <c r="E59" s="139"/>
      <c r="F59" s="139"/>
      <c r="G59" s="17" t="s">
        <v>1001</v>
      </c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320</v>
      </c>
      <c r="C60" s="17" t="s">
        <v>53</v>
      </c>
      <c r="D60" s="135">
        <f>SUM(D46:D59)</f>
        <v>534.66999999999996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954</v>
      </c>
      <c r="K60" s="422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 t="s">
        <v>1003</v>
      </c>
      <c r="K61" s="424"/>
      <c r="L61" s="229">
        <v>550</v>
      </c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 t="s">
        <v>1000</v>
      </c>
      <c r="K65" s="422"/>
      <c r="L65" s="231">
        <v>100</v>
      </c>
      <c r="M65" s="1"/>
      <c r="R65" s="3"/>
    </row>
    <row r="66" spans="1:18" ht="15.75">
      <c r="A66" s="112">
        <f>'11'!A66+(B66-SUM(D66:F78))+B67</f>
        <v>128.63000000000008</v>
      </c>
      <c r="B66" s="133">
        <v>175</v>
      </c>
      <c r="C66" s="19" t="s">
        <v>33</v>
      </c>
      <c r="D66" s="137"/>
      <c r="E66" s="138"/>
      <c r="F66" s="138">
        <v>25</v>
      </c>
      <c r="G66" s="19" t="s">
        <v>972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22.6</v>
      </c>
      <c r="E67" s="138"/>
      <c r="F67" s="138"/>
      <c r="G67" s="31" t="s">
        <v>974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25.95</v>
      </c>
      <c r="E68" s="138"/>
      <c r="F68" s="138"/>
      <c r="G68" s="16" t="s">
        <v>979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7.3</v>
      </c>
      <c r="E69" s="138"/>
      <c r="F69" s="138"/>
      <c r="G69" s="16" t="s">
        <v>987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26</v>
      </c>
      <c r="E70" s="138"/>
      <c r="F70" s="138"/>
      <c r="G70" s="16" t="s">
        <v>988</v>
      </c>
      <c r="H70" s="1"/>
      <c r="M70" s="1"/>
      <c r="R70" s="3"/>
    </row>
    <row r="71" spans="1:18" ht="15.75">
      <c r="A71" s="1"/>
      <c r="B71" s="134"/>
      <c r="C71" s="16"/>
      <c r="D71" s="137">
        <v>44.05</v>
      </c>
      <c r="E71" s="138"/>
      <c r="F71" s="138"/>
      <c r="G71" s="16" t="s">
        <v>998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32.319999999999993</v>
      </c>
      <c r="B79" s="233">
        <v>10</v>
      </c>
      <c r="C79" s="17" t="s">
        <v>236</v>
      </c>
      <c r="D79" s="135"/>
      <c r="E79" s="139"/>
      <c r="F79" s="139">
        <f>8+6+17.5</f>
        <v>31.5</v>
      </c>
      <c r="G79" s="17" t="s">
        <v>992</v>
      </c>
      <c r="H79" s="1"/>
      <c r="M79" s="1"/>
      <c r="R79" s="3"/>
    </row>
    <row r="80" spans="1:18" ht="16.5" thickBot="1">
      <c r="A80" s="112">
        <f>SUM(A66:A79)</f>
        <v>160.95000000000007</v>
      </c>
      <c r="B80" s="233">
        <f>SUM(B66:B79)</f>
        <v>185</v>
      </c>
      <c r="C80" s="17" t="s">
        <v>53</v>
      </c>
      <c r="D80" s="135">
        <f>SUM(D66:D79)</f>
        <v>125.89999999999999</v>
      </c>
      <c r="E80" s="135">
        <f>SUM(E66:E79)</f>
        <v>0</v>
      </c>
      <c r="F80" s="135">
        <f>SUM(F66:F79)</f>
        <v>56.5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>
        <v>34.08</v>
      </c>
      <c r="E88" s="138"/>
      <c r="F88" s="138"/>
      <c r="G88" s="16" t="s">
        <v>977</v>
      </c>
      <c r="H88" s="1"/>
      <c r="M88" s="1"/>
      <c r="R88" s="3"/>
    </row>
    <row r="89" spans="1:18" ht="15.75">
      <c r="A89" s="1"/>
      <c r="B89" s="134"/>
      <c r="C89" s="16"/>
      <c r="D89" s="137">
        <v>2</v>
      </c>
      <c r="E89" s="138"/>
      <c r="F89" s="138"/>
      <c r="G89" s="16" t="s">
        <v>991</v>
      </c>
      <c r="H89" s="1"/>
      <c r="M89" s="1"/>
      <c r="R89" s="3"/>
    </row>
    <row r="90" spans="1:18" ht="15.75">
      <c r="A90" s="1"/>
      <c r="B90" s="134"/>
      <c r="C90" s="16"/>
      <c r="D90" s="137">
        <v>43.27</v>
      </c>
      <c r="E90" s="138"/>
      <c r="F90" s="138"/>
      <c r="G90" s="16" t="s">
        <v>997</v>
      </c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166.35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'11'!A109+(B109-SUM(D109:F119))+B110</f>
        <v>3834.0415974244993</v>
      </c>
      <c r="B109" s="134">
        <v>80</v>
      </c>
      <c r="C109" s="18" t="s">
        <v>454</v>
      </c>
      <c r="D109" s="137">
        <v>1000</v>
      </c>
      <c r="E109" s="138"/>
      <c r="F109" s="138"/>
      <c r="G109" s="31" t="s">
        <v>989</v>
      </c>
      <c r="H109" s="1"/>
      <c r="M109" s="1"/>
      <c r="R109" s="3"/>
    </row>
    <row r="110" spans="1:18" ht="15.75">
      <c r="A110" s="112"/>
      <c r="B110" s="134">
        <v>3200</v>
      </c>
      <c r="C110" s="18" t="s">
        <v>416</v>
      </c>
      <c r="D110" s="137">
        <v>2200</v>
      </c>
      <c r="E110" s="138"/>
      <c r="F110" s="138"/>
      <c r="G110" s="31" t="s">
        <v>990</v>
      </c>
      <c r="H110" s="1"/>
      <c r="M110" s="1"/>
      <c r="R110" s="3"/>
    </row>
    <row r="111" spans="1:18" ht="15.75">
      <c r="A111" s="112">
        <f>'11'!A111+(B111-SUM(D111:F119))</f>
        <v>200</v>
      </c>
      <c r="B111" s="134">
        <v>200</v>
      </c>
      <c r="C111" s="27" t="s">
        <v>1010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3857.4700000000003</v>
      </c>
      <c r="C120" s="17" t="s">
        <v>53</v>
      </c>
      <c r="D120" s="135">
        <f>SUM(D106:D119)</f>
        <v>3578.83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17.5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D127+D128+'11'!I127</f>
        <v>180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I129" s="113"/>
      <c r="M129" s="1"/>
      <c r="R129" s="3"/>
    </row>
    <row r="130" spans="1:18" ht="15.75">
      <c r="A130" s="112">
        <f>'11'!A130+(B130-SUM(D130:F130))</f>
        <v>0</v>
      </c>
      <c r="B130" s="134">
        <f>2.5+15+42.5</f>
        <v>60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110.5</v>
      </c>
      <c r="C140" s="17" t="s">
        <v>53</v>
      </c>
      <c r="D140" s="135">
        <f>SUM(D126:D139)</f>
        <v>37.5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29.5</v>
      </c>
      <c r="E146" s="138"/>
      <c r="F146" s="138"/>
      <c r="G146" s="16" t="s">
        <v>985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29.5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>
        <v>125</v>
      </c>
      <c r="C188" s="16" t="s">
        <v>728</v>
      </c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230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21.66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4.1299999999999955</v>
      </c>
      <c r="B246" s="134">
        <v>50</v>
      </c>
      <c r="C246" s="27" t="s">
        <v>401</v>
      </c>
      <c r="D246" s="137">
        <v>35</v>
      </c>
      <c r="E246" s="138"/>
      <c r="F246" s="138"/>
      <c r="G246" s="16" t="s">
        <v>981</v>
      </c>
    </row>
    <row r="247" spans="1:7" ht="15" customHeight="1">
      <c r="A247" s="112"/>
      <c r="B247" s="134"/>
      <c r="C247" s="16"/>
      <c r="D247" s="137">
        <v>39.340000000000003</v>
      </c>
      <c r="E247" s="138"/>
      <c r="F247" s="138"/>
      <c r="G247" s="16" t="s">
        <v>1006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402.77000000000004</v>
      </c>
      <c r="B257" s="134">
        <f>40+140</f>
        <v>180</v>
      </c>
      <c r="C257" s="16" t="s">
        <v>914</v>
      </c>
      <c r="D257" s="137"/>
      <c r="E257" s="138">
        <v>100.67</v>
      </c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476.90000000000003</v>
      </c>
      <c r="B260" s="135">
        <f>SUM(B246:B259)</f>
        <v>250</v>
      </c>
      <c r="C260" s="17" t="s">
        <v>53</v>
      </c>
      <c r="D260" s="135">
        <f>SUM(D246:D259)</f>
        <v>74.34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14.829999999999785</v>
      </c>
      <c r="B286" s="133">
        <v>50</v>
      </c>
      <c r="C286" s="19" t="s">
        <v>33</v>
      </c>
      <c r="D286" s="137">
        <v>118.9</v>
      </c>
      <c r="E286" s="138"/>
      <c r="F286" s="138"/>
      <c r="G286" s="16" t="s">
        <v>978</v>
      </c>
      <c r="H286" s="113"/>
    </row>
    <row r="287" spans="1:8" ht="15.75">
      <c r="A287" s="112"/>
      <c r="B287" s="134">
        <f>313.73-131+14.83</f>
        <v>197.56000000000003</v>
      </c>
      <c r="C287" s="16" t="s">
        <v>1008</v>
      </c>
      <c r="D287" s="137">
        <v>29.99</v>
      </c>
      <c r="E287" s="138"/>
      <c r="F287" s="138"/>
      <c r="G287" s="16" t="s">
        <v>982</v>
      </c>
      <c r="H287" s="92"/>
    </row>
    <row r="288" spans="1:8" ht="15.75">
      <c r="A288" s="112"/>
      <c r="B288" s="134"/>
      <c r="C288" s="16"/>
      <c r="D288" s="137">
        <f>7.15</f>
        <v>7.15</v>
      </c>
      <c r="E288" s="138"/>
      <c r="F288" s="138"/>
      <c r="G288" s="16" t="s">
        <v>983</v>
      </c>
    </row>
    <row r="289" spans="1:8" ht="15.75">
      <c r="A289" s="112"/>
      <c r="B289" s="134"/>
      <c r="C289" s="16"/>
      <c r="D289" s="137">
        <v>26</v>
      </c>
      <c r="E289" s="138"/>
      <c r="F289" s="138"/>
      <c r="G289" s="16" t="s">
        <v>982</v>
      </c>
    </row>
    <row r="290" spans="1:8" ht="15.75">
      <c r="A290" s="112"/>
      <c r="B290" s="134"/>
      <c r="C290" s="16"/>
      <c r="D290" s="137">
        <v>7.15</v>
      </c>
      <c r="E290" s="138"/>
      <c r="F290" s="138"/>
      <c r="G290" s="16" t="s">
        <v>983</v>
      </c>
    </row>
    <row r="291" spans="1:8" ht="15.75">
      <c r="A291" s="112"/>
      <c r="B291" s="134"/>
      <c r="C291" s="16"/>
      <c r="D291" s="137">
        <v>6</v>
      </c>
      <c r="E291" s="138"/>
      <c r="F291" s="138"/>
      <c r="G291" s="16" t="s">
        <v>986</v>
      </c>
    </row>
    <row r="292" spans="1:8" ht="15.75">
      <c r="A292" s="112"/>
      <c r="B292" s="134"/>
      <c r="C292" s="16"/>
      <c r="D292" s="137"/>
      <c r="E292" s="138">
        <v>91</v>
      </c>
      <c r="F292" s="138"/>
      <c r="G292" s="16" t="s">
        <v>999</v>
      </c>
      <c r="H292" s="92"/>
    </row>
    <row r="293" spans="1:8" ht="15.75">
      <c r="A293" s="112"/>
      <c r="B293" s="134"/>
      <c r="C293" s="16"/>
      <c r="D293" s="137">
        <v>25</v>
      </c>
      <c r="E293" s="138"/>
      <c r="F293" s="138">
        <v>-10</v>
      </c>
      <c r="G293" s="16" t="s">
        <v>1002</v>
      </c>
    </row>
    <row r="294" spans="1:8" ht="15.75">
      <c r="A294" s="112"/>
      <c r="B294" s="134"/>
      <c r="C294" s="16"/>
      <c r="D294" s="137">
        <v>10</v>
      </c>
      <c r="E294" s="138"/>
      <c r="F294" s="138"/>
      <c r="G294" s="16" t="s">
        <v>1007</v>
      </c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0</v>
      </c>
      <c r="B299" s="135">
        <f>40+5+131</f>
        <v>176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14.829999999999785</v>
      </c>
      <c r="B300" s="135">
        <f>SUM(B286:B299)</f>
        <v>423.56000000000006</v>
      </c>
      <c r="C300" s="17" t="s">
        <v>53</v>
      </c>
      <c r="D300" s="135">
        <f>SUM(D286:D299)</f>
        <v>230.19000000000003</v>
      </c>
      <c r="E300" s="135">
        <f>SUM(E286:E299)</f>
        <v>407</v>
      </c>
      <c r="F300" s="135">
        <f>SUM(F286:F299)</f>
        <v>-10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>
        <v>100</v>
      </c>
      <c r="C308" s="27" t="s">
        <v>1008</v>
      </c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>
        <v>35.96</v>
      </c>
      <c r="E309" s="138"/>
      <c r="F309" s="138"/>
      <c r="G309" s="16" t="s">
        <v>971</v>
      </c>
    </row>
    <row r="310" spans="2:7">
      <c r="B310" s="134"/>
      <c r="C310" s="16"/>
      <c r="D310" s="137">
        <v>12.1</v>
      </c>
      <c r="E310" s="138"/>
      <c r="F310" s="138"/>
      <c r="G310" s="16" t="s">
        <v>976</v>
      </c>
    </row>
    <row r="311" spans="2:7">
      <c r="B311" s="134"/>
      <c r="C311" s="16"/>
      <c r="D311" s="137">
        <v>5.44</v>
      </c>
      <c r="E311" s="138"/>
      <c r="F311" s="138"/>
      <c r="G311" s="16" t="s">
        <v>984</v>
      </c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330.90999999999997</v>
      </c>
      <c r="C320" s="17" t="s">
        <v>53</v>
      </c>
      <c r="D320" s="135">
        <f>SUM(D306:D319)</f>
        <v>59.5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</v>
      </c>
      <c r="E326" s="138"/>
      <c r="F326" s="138"/>
      <c r="G326" s="16" t="s">
        <v>980</v>
      </c>
    </row>
    <row r="327" spans="2:7">
      <c r="B327" s="134">
        <v>100</v>
      </c>
      <c r="C327" s="16" t="s">
        <v>1009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8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>
        <v>100</v>
      </c>
      <c r="C356" s="16" t="s">
        <v>728</v>
      </c>
      <c r="D356" s="137"/>
      <c r="E356" s="138"/>
      <c r="F356" s="138"/>
      <c r="G356" s="16"/>
    </row>
    <row r="357" spans="1:7" ht="15.75">
      <c r="A357" s="112"/>
      <c r="B357" s="134">
        <v>152.93</v>
      </c>
      <c r="C357" s="16" t="s">
        <v>416</v>
      </c>
      <c r="D357" s="137"/>
      <c r="E357" s="138"/>
      <c r="F357" s="138"/>
      <c r="G357" s="16"/>
    </row>
    <row r="358" spans="1:7" ht="15.75">
      <c r="A358" s="112">
        <f>'11'!A358+(B358-SUM(D358:F358))+B357+B356</f>
        <v>427.93</v>
      </c>
      <c r="B358" s="134">
        <f>35</f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35</v>
      </c>
      <c r="B359" s="135">
        <f>10+50</f>
        <v>60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693.66</v>
      </c>
      <c r="B360" s="135">
        <f>SUM(B346:B359)</f>
        <v>347.93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>
        <f>4.5</f>
        <v>4.5</v>
      </c>
      <c r="E366" s="138"/>
      <c r="F366" s="138">
        <f>4.5+4+3.5+4.7+4.5+4.5</f>
        <v>25.7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25.7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15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AÑO!AU17</f>
        <v>10617.49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2318.1800000000003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>
        <v>-1450</v>
      </c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>
        <v>3352.93</v>
      </c>
      <c r="B430" s="134"/>
      <c r="C430" s="16"/>
      <c r="D430" s="137"/>
      <c r="E430" s="138"/>
      <c r="F430" s="138"/>
      <c r="G430" s="16"/>
    </row>
    <row r="431" spans="1:7">
      <c r="A431" s="113">
        <v>100</v>
      </c>
      <c r="B431" s="134"/>
      <c r="C431" s="16"/>
      <c r="D431" s="137"/>
      <c r="E431" s="138"/>
      <c r="F431" s="138"/>
      <c r="G431" s="16"/>
    </row>
    <row r="432" spans="1:7">
      <c r="A432" s="113">
        <v>100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868.18000000000029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9" ht="15.75">
      <c r="A467" s="112">
        <f>'11'!A467+(B467-SUM(D467:F467))</f>
        <v>1129.9991905564923</v>
      </c>
      <c r="B467" s="134">
        <f>71.35+63.04+263.52</f>
        <v>397.90999999999997</v>
      </c>
      <c r="C467" s="16" t="s">
        <v>452</v>
      </c>
      <c r="D467" s="137"/>
      <c r="E467" s="138"/>
      <c r="F467" s="138"/>
      <c r="G467" s="16"/>
    </row>
    <row r="468" spans="1:9" ht="15.75">
      <c r="A468" s="112">
        <f>'11'!A468+(B468-SUM(D468:F468))</f>
        <v>298.39999999999998</v>
      </c>
      <c r="B468" s="134">
        <f>10+60</f>
        <v>70</v>
      </c>
      <c r="C468" s="16" t="s">
        <v>186</v>
      </c>
      <c r="D468" s="137"/>
      <c r="E468" s="138"/>
      <c r="F468" s="138"/>
      <c r="G468" s="16"/>
    </row>
    <row r="469" spans="1:9">
      <c r="B469" s="134"/>
      <c r="C469" s="16"/>
      <c r="D469" s="137"/>
      <c r="E469" s="138"/>
      <c r="F469" s="138"/>
      <c r="G469" s="16"/>
      <c r="I469" s="113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1978.3991905564922</v>
      </c>
      <c r="B480" s="135">
        <f>SUM(B466:B479)</f>
        <v>467.90999999999997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>
        <v>95</v>
      </c>
      <c r="C507" s="16" t="s">
        <v>1000</v>
      </c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100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0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6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1623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43832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227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43832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678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43832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3.5267349260523322E-2</v>
      </c>
      <c r="Y13" s="119">
        <f ca="1">X13*E13</f>
        <v>141.74896183162684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3.1285551763367461E-2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7.9635949943117172E-3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0.49431171786120592</v>
      </c>
      <c r="Y19" s="119">
        <f t="shared" ca="1" si="3"/>
        <v>2186.5384132423214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0.35949943117178612</v>
      </c>
      <c r="Y20" s="119">
        <f t="shared" ca="1" si="3"/>
        <v>215.91535836177476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0.16382252559726962</v>
      </c>
      <c r="Y25" s="119">
        <f t="shared" ca="1" si="3"/>
        <v>99.598071153583604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0.3731513083048919</v>
      </c>
      <c r="Y28" s="119">
        <f t="shared" ca="1" si="3"/>
        <v>1921.017593447099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1.2514220705346985E-2</v>
      </c>
      <c r="Y33" s="119">
        <f t="shared" ca="1" si="3"/>
        <v>51.67279658703071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8.4755403868031848E-2</v>
      </c>
      <c r="Y35" s="119">
        <f t="shared" ca="1" si="3"/>
        <v>346.54339143344708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1.5625711035267349</v>
      </c>
      <c r="Y42" s="327">
        <f ca="1">SUM(Y13:Y41)</f>
        <v>4963.0345860568832</v>
      </c>
      <c r="Z42" s="328">
        <f ca="1">P42/Y42</f>
        <v>0.8872263544910004</v>
      </c>
      <c r="AA42" s="328">
        <f ca="1">Z42/(D$43/365)</f>
        <v>0.18420797462412691</v>
      </c>
    </row>
    <row r="43" spans="1:27">
      <c r="C43" s="119" t="s">
        <v>567</v>
      </c>
      <c r="D43" s="46">
        <f ca="1">_xlfn.DAYS(TODAY(),F13)</f>
        <v>1758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16" workbookViewId="0">
      <selection activeCell="F42" sqref="F4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M51" sqref="M51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2018</v>
      </c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9">
        <v>2901.68</v>
      </c>
      <c r="L5" s="430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3">
        <v>620.05999999999995</v>
      </c>
      <c r="L6" s="414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3">
        <v>8035.29</v>
      </c>
      <c r="L7" s="414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3">
        <v>7000</v>
      </c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3">
        <v>659.39</v>
      </c>
      <c r="L9" s="414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3">
        <v>1800.04</v>
      </c>
      <c r="L10" s="414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3">
        <f>240+35</f>
        <v>275</v>
      </c>
      <c r="L11" s="414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5">
        <f>SUM(K5:K18)</f>
        <v>26383.54</v>
      </c>
      <c r="L19" s="41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8" t="str">
        <f>AÑO!A8</f>
        <v>Manolo Salario</v>
      </c>
      <c r="J25" s="421" t="s">
        <v>290</v>
      </c>
      <c r="K25" s="422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8" t="str">
        <f>AÑO!A9</f>
        <v>Rocío Salario</v>
      </c>
      <c r="J30" s="421" t="s">
        <v>237</v>
      </c>
      <c r="K30" s="422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9"/>
      <c r="J31" s="423" t="s">
        <v>255</v>
      </c>
      <c r="K31" s="424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31" t="s">
        <v>266</v>
      </c>
      <c r="K32" s="424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217</v>
      </c>
      <c r="J35" s="421" t="s">
        <v>305</v>
      </c>
      <c r="K35" s="422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8" t="str">
        <f>AÑO!A11</f>
        <v>Finanazas</v>
      </c>
      <c r="J40" s="421" t="s">
        <v>238</v>
      </c>
      <c r="K40" s="422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 t="s">
        <v>239</v>
      </c>
      <c r="K41" s="424"/>
      <c r="L41" s="229">
        <v>1.87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12"/>
      <c r="I42" s="419"/>
      <c r="J42" s="423" t="s">
        <v>268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8" t="str">
        <f>AÑO!A12</f>
        <v>Regalos</v>
      </c>
      <c r="J45" s="421" t="s">
        <v>298</v>
      </c>
      <c r="K45" s="422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8" t="str">
        <f>AÑO!A13</f>
        <v>Gubernamental</v>
      </c>
      <c r="J50" s="421" t="s">
        <v>258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8" t="str">
        <f>AÑO!A16</f>
        <v>Otros</v>
      </c>
      <c r="J65" s="421" t="s">
        <v>295</v>
      </c>
      <c r="K65" s="422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2:8" ht="15" customHeight="1" thickBot="1">
      <c r="B243" s="410"/>
      <c r="C243" s="411"/>
      <c r="D243" s="411"/>
      <c r="E243" s="411"/>
      <c r="F243" s="411"/>
      <c r="G243" s="412"/>
      <c r="H243" s="112"/>
    </row>
    <row r="244" spans="2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2:8" ht="15" customHeight="1" thickBot="1">
      <c r="B263" s="410"/>
      <c r="C263" s="411"/>
      <c r="D263" s="411"/>
      <c r="E263" s="411"/>
      <c r="F263" s="411"/>
      <c r="G263" s="412"/>
      <c r="H263" s="112"/>
    </row>
    <row r="264" spans="2:8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2:8" ht="15" customHeight="1" thickBot="1">
      <c r="B283" s="410"/>
      <c r="C283" s="411"/>
      <c r="D283" s="411"/>
      <c r="E283" s="411"/>
      <c r="F283" s="411"/>
      <c r="G283" s="412"/>
      <c r="H283" s="112"/>
    </row>
    <row r="284" spans="2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2:8" ht="15" customHeight="1" thickBot="1">
      <c r="B303" s="410"/>
      <c r="C303" s="411"/>
      <c r="D303" s="411"/>
      <c r="E303" s="411"/>
      <c r="F303" s="411"/>
      <c r="G303" s="412"/>
      <c r="H303" s="112"/>
    </row>
    <row r="304" spans="2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Impuestos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Cartama Finanazas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313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318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313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8" t="str">
        <f>AÑO!A15</f>
        <v>Alquiler Cartama</v>
      </c>
      <c r="J60" s="421" t="s">
        <v>314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237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378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19"/>
      <c r="J46" s="423" t="s">
        <v>160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19"/>
      <c r="J51" s="423" t="s">
        <v>416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8" t="str">
        <f>AÑO!A14</f>
        <v>Mutualite/DKV</v>
      </c>
      <c r="J55" s="437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365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443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60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432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7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0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447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361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471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8" t="str">
        <f>AÑO!A13</f>
        <v>Gubernamental</v>
      </c>
      <c r="J50" s="421" t="s">
        <v>482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8" t="str">
        <f>AÑO!A14</f>
        <v>Mutualite/DKV</v>
      </c>
      <c r="J55" s="421" t="s">
        <v>476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M5+2156.93</f>
        <v>1614.1099999999997</v>
      </c>
      <c r="L5" s="430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625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626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687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674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688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688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688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703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396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775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19"/>
      <c r="J46" s="423" t="s">
        <v>776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8" t="str">
        <f>AÑO!A13</f>
        <v>Gubernamental</v>
      </c>
      <c r="J50" s="421" t="s">
        <v>638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1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2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2020-01-02T10:25:26Z</dcterms:modified>
</cp:coreProperties>
</file>