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DD293EC2-9B73-4A5B-A85B-40E2835F95B9}" xr6:coauthVersionLast="41" xr6:coauthVersionMax="41" xr10:uidLastSave="{00000000-0000-0000-0000-000000000000}"/>
  <bookViews>
    <workbookView xWindow="-108" yWindow="12852" windowWidth="22116" windowHeight="13176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8" i="2" l="1"/>
  <c r="D366" i="2"/>
  <c r="AZ48" i="1"/>
  <c r="AZ18" i="1"/>
  <c r="L73" i="2"/>
  <c r="L74" i="2" s="1"/>
  <c r="L75" i="2" s="1"/>
  <c r="B406" i="2"/>
  <c r="B14" i="2"/>
  <c r="A286" i="2"/>
  <c r="A130" i="2"/>
  <c r="A129" i="2"/>
  <c r="A127" i="2"/>
  <c r="A126" i="2"/>
  <c r="A118" i="2"/>
  <c r="A110" i="2"/>
  <c r="B106" i="2"/>
  <c r="A427" i="2"/>
  <c r="K9" i="2"/>
  <c r="K8" i="2"/>
  <c r="K10" i="2"/>
  <c r="K5" i="2"/>
  <c r="M5" i="2"/>
  <c r="G74" i="17" l="1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D6" i="19" s="1"/>
  <c r="B7" i="19"/>
  <c r="C6" i="19"/>
  <c r="C7" i="19" s="1"/>
  <c r="C5" i="19"/>
  <c r="C4" i="19"/>
  <c r="D3" i="19"/>
  <c r="C3" i="19"/>
  <c r="G71" i="17" l="1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BJ41" i="1"/>
  <c r="F46" i="1"/>
  <c r="G47" i="1" s="1"/>
  <c r="AL20" i="1"/>
  <c r="AX22" i="1"/>
  <c r="N41" i="1" l="1"/>
  <c r="H427" i="3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<sst xmlns="http://schemas.openxmlformats.org/spreadsheetml/2006/main" count="5787" uniqueCount="891">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</sst>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28" zoomScaleNormal="100" workbookViewId="0">
      <pane xSplit="1" topLeftCell="B1" activePane="topRight" state="frozen"/>
      <selection pane="topRight" activeCell="I51" sqref="I5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69</v>
      </c>
      <c r="T4" s="381"/>
      <c r="U4" s="381"/>
      <c r="V4" s="382"/>
      <c r="W4" s="380" t="s">
        <v>68</v>
      </c>
      <c r="X4" s="381"/>
      <c r="Y4" s="381"/>
      <c r="Z4" s="382"/>
      <c r="AA4" s="380" t="s">
        <v>70</v>
      </c>
      <c r="AB4" s="381"/>
      <c r="AC4" s="381"/>
      <c r="AD4" s="382"/>
      <c r="AE4" s="380" t="s">
        <v>71</v>
      </c>
      <c r="AF4" s="381"/>
      <c r="AG4" s="381"/>
      <c r="AH4" s="382"/>
      <c r="AI4" s="380" t="s">
        <v>73</v>
      </c>
      <c r="AJ4" s="381"/>
      <c r="AK4" s="381"/>
      <c r="AL4" s="382"/>
      <c r="AM4" s="380" t="s">
        <v>75</v>
      </c>
      <c r="AN4" s="381"/>
      <c r="AO4" s="381"/>
      <c r="AP4" s="382"/>
      <c r="AQ4" s="380" t="s">
        <v>77</v>
      </c>
      <c r="AR4" s="381"/>
      <c r="AS4" s="381"/>
      <c r="AT4" s="382"/>
      <c r="AU4" s="380" t="s">
        <v>82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89">
        <f>'01'!K19</f>
        <v>33579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30103.380000000005</v>
      </c>
      <c r="AR5" s="387"/>
      <c r="AS5" s="387"/>
      <c r="AT5" s="388"/>
      <c r="AU5" s="386">
        <f>'12'!K19</f>
        <v>30103.380000000005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340"/>
      <c r="P6" s="340"/>
      <c r="Q6" s="340"/>
      <c r="R6" s="340"/>
      <c r="S6" s="340"/>
      <c r="T6" s="340"/>
      <c r="U6" s="340"/>
      <c r="V6" s="340"/>
      <c r="W6" s="340"/>
      <c r="X6" s="340"/>
      <c r="Y6" s="340"/>
      <c r="Z6" s="340"/>
      <c r="AA6" s="340"/>
      <c r="AB6" s="340"/>
      <c r="AC6" s="340"/>
      <c r="AD6" s="340"/>
      <c r="AE6" s="340"/>
      <c r="AF6" s="340"/>
      <c r="AG6" s="340"/>
      <c r="AH6" s="340"/>
      <c r="AI6" s="340"/>
      <c r="AJ6" s="340"/>
      <c r="AK6" s="340"/>
      <c r="AL6" s="340"/>
      <c r="AM6" s="340"/>
      <c r="AN6" s="340"/>
      <c r="AO6" s="340"/>
      <c r="AP6" s="340"/>
      <c r="AQ6" s="340"/>
      <c r="AR6" s="340"/>
      <c r="AS6" s="340"/>
      <c r="AT6" s="340"/>
      <c r="AU6" s="340"/>
      <c r="AV6" s="340"/>
      <c r="AW6" s="340"/>
      <c r="AX6" s="3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3" t="s">
        <v>221</v>
      </c>
      <c r="D7" s="384"/>
      <c r="E7" s="384"/>
      <c r="F7" s="385"/>
      <c r="G7" s="383" t="s">
        <v>221</v>
      </c>
      <c r="H7" s="384"/>
      <c r="I7" s="384"/>
      <c r="J7" s="385"/>
      <c r="K7" s="383" t="s">
        <v>221</v>
      </c>
      <c r="L7" s="384"/>
      <c r="M7" s="384"/>
      <c r="N7" s="385"/>
      <c r="O7" s="383" t="s">
        <v>221</v>
      </c>
      <c r="P7" s="384"/>
      <c r="Q7" s="384"/>
      <c r="R7" s="385"/>
      <c r="S7" s="383" t="s">
        <v>221</v>
      </c>
      <c r="T7" s="384"/>
      <c r="U7" s="384"/>
      <c r="V7" s="385"/>
      <c r="W7" s="383" t="s">
        <v>221</v>
      </c>
      <c r="X7" s="384"/>
      <c r="Y7" s="384"/>
      <c r="Z7" s="385"/>
      <c r="AA7" s="383" t="s">
        <v>221</v>
      </c>
      <c r="AB7" s="384"/>
      <c r="AC7" s="384"/>
      <c r="AD7" s="385"/>
      <c r="AE7" s="383" t="s">
        <v>221</v>
      </c>
      <c r="AF7" s="384"/>
      <c r="AG7" s="384"/>
      <c r="AH7" s="385"/>
      <c r="AI7" s="383" t="s">
        <v>221</v>
      </c>
      <c r="AJ7" s="384"/>
      <c r="AK7" s="384"/>
      <c r="AL7" s="385"/>
      <c r="AM7" s="383" t="s">
        <v>221</v>
      </c>
      <c r="AN7" s="384"/>
      <c r="AO7" s="384"/>
      <c r="AP7" s="385"/>
      <c r="AQ7" s="383" t="s">
        <v>221</v>
      </c>
      <c r="AR7" s="384"/>
      <c r="AS7" s="384"/>
      <c r="AT7" s="385"/>
      <c r="AU7" s="383" t="s">
        <v>221</v>
      </c>
      <c r="AV7" s="384"/>
      <c r="AW7" s="384"/>
      <c r="AX7" s="385"/>
      <c r="AZ7" s="9" t="s">
        <v>223</v>
      </c>
      <c r="BA7" s="13" t="s">
        <v>184</v>
      </c>
      <c r="BB7" s="1"/>
      <c r="BC7" s="1"/>
    </row>
    <row r="8" spans="1:55" ht="15.75">
      <c r="A8" s="206" t="s">
        <v>204</v>
      </c>
      <c r="B8" s="192">
        <v>35000.47</v>
      </c>
      <c r="C8" s="390">
        <f>SUM('01'!L25:'01'!L29)</f>
        <v>0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2617.69</v>
      </c>
      <c r="AN8" s="391"/>
      <c r="AO8" s="391"/>
      <c r="AP8" s="392"/>
      <c r="AQ8" s="390">
        <f>SUM('11'!L25:'11'!L29)</f>
        <v>2588.0700000000002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27632.899999999998</v>
      </c>
      <c r="BA8" s="112">
        <f t="shared" ref="BA8:BA16" ca="1" si="0">AZ8/BC$17</f>
        <v>27632.899999999998</v>
      </c>
      <c r="BB8" s="1"/>
      <c r="BC8" s="1"/>
    </row>
    <row r="9" spans="1:55" ht="15.75">
      <c r="A9" s="189" t="s">
        <v>205</v>
      </c>
      <c r="B9" s="193">
        <v>6335.2300000000014</v>
      </c>
      <c r="C9" s="377">
        <f>SUM('01'!L30:'01'!L34)</f>
        <v>0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599.04999999999995</v>
      </c>
      <c r="AN9" s="378"/>
      <c r="AO9" s="378"/>
      <c r="AP9" s="379"/>
      <c r="AQ9" s="377">
        <f>SUM('11'!L30:'11'!L34)</f>
        <v>302.78999999999996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5608.6400000000012</v>
      </c>
      <c r="BA9" s="112">
        <f t="shared" ca="1" si="0"/>
        <v>5608.6400000000012</v>
      </c>
      <c r="BB9" s="1"/>
      <c r="BC9" s="1"/>
    </row>
    <row r="10" spans="1:55" ht="15.75">
      <c r="A10" s="190" t="s">
        <v>210</v>
      </c>
      <c r="B10" s="194">
        <v>1156.51</v>
      </c>
      <c r="C10" s="377">
        <f>SUM('01'!L35:'01'!L39)</f>
        <v>0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1035.6600000000001</v>
      </c>
      <c r="BA10" s="112">
        <f t="shared" ca="1" si="0"/>
        <v>1035.6600000000001</v>
      </c>
      <c r="BB10" s="1"/>
      <c r="BC10" s="1"/>
    </row>
    <row r="11" spans="1:55" ht="15.75">
      <c r="A11" s="189" t="s">
        <v>206</v>
      </c>
      <c r="B11" s="193">
        <v>1224.4499999999998</v>
      </c>
      <c r="C11" s="377">
        <f>SUM('01'!L40:'01'!L44)</f>
        <v>2.61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52.97</v>
      </c>
      <c r="AN11" s="378"/>
      <c r="AO11" s="378"/>
      <c r="AP11" s="379"/>
      <c r="AQ11" s="377">
        <f>SUM('11'!L40:'11'!L44)</f>
        <v>42.84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501.89</v>
      </c>
      <c r="BA11" s="112">
        <f t="shared" ca="1" si="0"/>
        <v>501.89</v>
      </c>
      <c r="BB11" s="1"/>
      <c r="BC11" s="1"/>
    </row>
    <row r="12" spans="1:55" ht="15.75">
      <c r="A12" s="190" t="s">
        <v>22</v>
      </c>
      <c r="B12" s="194">
        <v>2312.4300000000003</v>
      </c>
      <c r="C12" s="377">
        <f>SUM('01'!L45:'01'!L49)</f>
        <v>1142.8599999999999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430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3218.2899999999995</v>
      </c>
      <c r="BA12" s="112">
        <f t="shared" ca="1" si="0"/>
        <v>3218.2899999999995</v>
      </c>
      <c r="BB12" s="1"/>
      <c r="BC12" s="1"/>
    </row>
    <row r="13" spans="1:55" ht="15.75">
      <c r="A13" s="189" t="s">
        <v>207</v>
      </c>
      <c r="B13" s="195">
        <v>10099.5</v>
      </c>
      <c r="C13" s="377">
        <f>SUM('01'!L50:'01'!L54)</f>
        <v>0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95.8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6377.7000000000007</v>
      </c>
      <c r="BA13" s="112">
        <f t="shared" ca="1" si="0"/>
        <v>6377.7000000000007</v>
      </c>
      <c r="BB13" s="1"/>
      <c r="BC13" s="1"/>
    </row>
    <row r="14" spans="1:55" ht="15.75">
      <c r="A14" s="190" t="s">
        <v>208</v>
      </c>
      <c r="B14" s="194">
        <v>768.34999999999991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57.08</v>
      </c>
      <c r="AN14" s="394"/>
      <c r="AO14" s="394"/>
      <c r="AP14" s="395"/>
      <c r="AQ14" s="393">
        <f>SUM('11'!L55:'11'!L59)</f>
        <v>393.02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594.04999999999995</v>
      </c>
      <c r="BA14" s="112">
        <f t="shared" ca="1" si="0"/>
        <v>594.04999999999995</v>
      </c>
      <c r="BB14" s="3"/>
      <c r="BC14" s="3"/>
    </row>
    <row r="15" spans="1:55" ht="15.75">
      <c r="A15" s="189" t="s">
        <v>209</v>
      </c>
      <c r="B15" s="193">
        <v>7259.8400000000011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647.88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6135.670000000001</v>
      </c>
      <c r="BA15" s="112">
        <f t="shared" ca="1" si="0"/>
        <v>6135.670000000001</v>
      </c>
      <c r="BB15" s="1"/>
      <c r="BC15" s="1"/>
    </row>
    <row r="16" spans="1:55" ht="16.5" thickBot="1">
      <c r="A16" s="191" t="s">
        <v>40</v>
      </c>
      <c r="B16" s="196">
        <v>185</v>
      </c>
      <c r="C16" s="377">
        <f>SUM('01'!L65:'01'!L69)</f>
        <v>0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3">
        <f>SUM(C8:C16)</f>
        <v>1145.4699999999998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3972.5899999999997</v>
      </c>
      <c r="AN17" s="374"/>
      <c r="AO17" s="374"/>
      <c r="AP17" s="375"/>
      <c r="AQ17" s="373">
        <f>SUM(AQ8:AQ16)</f>
        <v>4500.4000000000005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51104.800000000003</v>
      </c>
      <c r="BA17" s="112">
        <f ca="1">AZ17/BC$17</f>
        <v>51104.800000000003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170</v>
      </c>
      <c r="AV18" s="376"/>
      <c r="AW18" s="376"/>
      <c r="AX18" s="376"/>
      <c r="AZ18" s="131">
        <f>(2700*13)+(600*12)+(550*12)+(273*12)</f>
        <v>52176</v>
      </c>
      <c r="BA18" s="131">
        <f ca="1">12*BA17</f>
        <v>613257.60000000009</v>
      </c>
      <c r="BB18" s="1"/>
      <c r="BC18" s="1"/>
    </row>
    <row r="19" spans="1:62" ht="17.25" thickTop="1" thickBot="1">
      <c r="A19" s="24" t="s">
        <v>7</v>
      </c>
      <c r="B19" s="24" t="s">
        <v>865</v>
      </c>
      <c r="C19" s="178" t="s">
        <v>52</v>
      </c>
      <c r="D19" s="179" t="s">
        <v>203</v>
      </c>
      <c r="E19" s="179" t="s">
        <v>9</v>
      </c>
      <c r="F19" s="180" t="s">
        <v>10</v>
      </c>
      <c r="G19" s="178" t="s">
        <v>52</v>
      </c>
      <c r="H19" s="179" t="s">
        <v>203</v>
      </c>
      <c r="I19" s="179" t="s">
        <v>9</v>
      </c>
      <c r="J19" s="180" t="s">
        <v>10</v>
      </c>
      <c r="K19" s="178" t="s">
        <v>52</v>
      </c>
      <c r="L19" s="179" t="s">
        <v>203</v>
      </c>
      <c r="M19" s="179" t="s">
        <v>9</v>
      </c>
      <c r="N19" s="180" t="s">
        <v>10</v>
      </c>
      <c r="O19" s="178" t="s">
        <v>52</v>
      </c>
      <c r="P19" s="179" t="s">
        <v>203</v>
      </c>
      <c r="Q19" s="179" t="s">
        <v>9</v>
      </c>
      <c r="R19" s="180" t="s">
        <v>10</v>
      </c>
      <c r="S19" s="178" t="s">
        <v>52</v>
      </c>
      <c r="T19" s="179" t="s">
        <v>203</v>
      </c>
      <c r="U19" s="179" t="s">
        <v>9</v>
      </c>
      <c r="V19" s="180" t="s">
        <v>10</v>
      </c>
      <c r="W19" s="178" t="s">
        <v>52</v>
      </c>
      <c r="X19" s="179" t="s">
        <v>203</v>
      </c>
      <c r="Y19" s="179" t="s">
        <v>9</v>
      </c>
      <c r="Z19" s="180" t="s">
        <v>10</v>
      </c>
      <c r="AA19" s="178" t="s">
        <v>52</v>
      </c>
      <c r="AB19" s="179" t="s">
        <v>203</v>
      </c>
      <c r="AC19" s="179" t="s">
        <v>9</v>
      </c>
      <c r="AD19" s="180" t="s">
        <v>10</v>
      </c>
      <c r="AE19" s="178" t="s">
        <v>52</v>
      </c>
      <c r="AF19" s="179" t="s">
        <v>203</v>
      </c>
      <c r="AG19" s="179" t="s">
        <v>9</v>
      </c>
      <c r="AH19" s="180" t="s">
        <v>10</v>
      </c>
      <c r="AI19" s="178" t="s">
        <v>52</v>
      </c>
      <c r="AJ19" s="179" t="s">
        <v>203</v>
      </c>
      <c r="AK19" s="179" t="s">
        <v>9</v>
      </c>
      <c r="AL19" s="180" t="s">
        <v>10</v>
      </c>
      <c r="AM19" s="178" t="s">
        <v>52</v>
      </c>
      <c r="AN19" s="179" t="s">
        <v>203</v>
      </c>
      <c r="AO19" s="179" t="s">
        <v>9</v>
      </c>
      <c r="AP19" s="180" t="s">
        <v>10</v>
      </c>
      <c r="AQ19" s="178" t="s">
        <v>52</v>
      </c>
      <c r="AR19" s="179" t="s">
        <v>203</v>
      </c>
      <c r="AS19" s="179" t="s">
        <v>9</v>
      </c>
      <c r="AT19" s="180" t="s">
        <v>10</v>
      </c>
      <c r="AU19" s="178" t="s">
        <v>52</v>
      </c>
      <c r="AV19" s="179" t="s">
        <v>203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185</v>
      </c>
      <c r="BF19" s="13" t="s">
        <v>188</v>
      </c>
      <c r="BG19" s="13" t="s">
        <v>186</v>
      </c>
      <c r="BH19" s="13" t="s">
        <v>187</v>
      </c>
      <c r="BJ19" s="12" t="s">
        <v>222</v>
      </c>
    </row>
    <row r="20" spans="1:62" ht="15.75">
      <c r="A20" s="141" t="s">
        <v>849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0</v>
      </c>
      <c r="F20" s="145">
        <f t="shared" ref="F20:F45" si="2">B20+D20-E20</f>
        <v>3048.539190556492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3008.3891905564919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2407.1391905564919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2403.3791905564922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2604.4991905564921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2604.1691905564921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2801.9591905564921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2796.8791905564922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2999.2391905564923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2975.039190556492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3535.869190556492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3778.0091905564918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0.12151693153886588</v>
      </c>
      <c r="BB20" s="22">
        <f>_xlfn.RANK.EQ(BA20,$BA$20:$BA$45,)</f>
        <v>2</v>
      </c>
      <c r="BC20" s="22">
        <f t="shared" ref="BC20:BC45" ca="1" si="16">AZ20/BC$17</f>
        <v>5282.4199999999992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576.7800000000002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0</v>
      </c>
      <c r="F21" s="151">
        <f t="shared" si="2"/>
        <v>1464.7299999999993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1507.7799999999995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1140.5499999999997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1184.6099999999997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1060.8499999999997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1104.9099999999994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1148.9699999999993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1088.8399999999992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1132.8999999999992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1072.7699999999991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1116.1599999999992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2269.1599999999989</v>
      </c>
      <c r="AZ21" s="152">
        <f t="shared" si="14"/>
        <v>11788.57</v>
      </c>
      <c r="BA21" s="21">
        <f t="shared" si="15"/>
        <v>0.27118458086087971</v>
      </c>
      <c r="BB21" s="22">
        <f t="shared" ref="BB21:BB45" si="20">_xlfn.RANK.EQ(BA21,$BA$20:$BA$45,)</f>
        <v>1</v>
      </c>
      <c r="BC21" s="22">
        <f t="shared" ca="1" si="16"/>
        <v>11788.57</v>
      </c>
      <c r="BE21" s="224">
        <f t="shared" ca="1" si="17"/>
        <v>1164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1164</v>
      </c>
    </row>
    <row r="22" spans="1:62" ht="15.75">
      <c r="A22" s="153" t="s">
        <v>850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0</v>
      </c>
      <c r="F22" s="156">
        <f t="shared" si="2"/>
        <v>458.38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512.12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606.24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764.83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733.56999999999994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740.34999999999991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740.34999999999991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740.34999999999968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755.64999999999964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728.4399999999996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632.23999999999955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947.23999999999955</v>
      </c>
      <c r="AZ22" s="157">
        <f t="shared" si="14"/>
        <v>2842.37</v>
      </c>
      <c r="BA22" s="21">
        <f t="shared" si="15"/>
        <v>6.5385955811564825E-2</v>
      </c>
      <c r="BB22" s="22">
        <f t="shared" si="20"/>
        <v>6</v>
      </c>
      <c r="BC22" s="22">
        <f t="shared" ca="1" si="16"/>
        <v>2842.37</v>
      </c>
      <c r="BE22" s="225">
        <f t="shared" ca="1" si="17"/>
        <v>395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395</v>
      </c>
      <c r="BJ22" s="225">
        <f t="shared" ca="1" si="22"/>
        <v>395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0</v>
      </c>
      <c r="F23" s="151">
        <f t="shared" si="2"/>
        <v>360.9500000000001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365.31000000000006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388.79000000000008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457.79000000000008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414.94000000000005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417.29000000000008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445.09000000000009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438.44000000000017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445.54000000000013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462.1600000000002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493.96000000000021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678.96000000000026</v>
      </c>
      <c r="AZ23" s="152">
        <f t="shared" si="14"/>
        <v>1791.99</v>
      </c>
      <c r="BA23" s="21">
        <f t="shared" si="15"/>
        <v>4.1222986083713963E-2</v>
      </c>
      <c r="BB23" s="22">
        <f t="shared" si="20"/>
        <v>8</v>
      </c>
      <c r="BC23" s="22">
        <f t="shared" ca="1" si="16"/>
        <v>1791.99</v>
      </c>
      <c r="BE23" s="224">
        <f t="shared" ca="1" si="17"/>
        <v>180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180</v>
      </c>
      <c r="BJ23" s="224">
        <f t="shared" ca="1" si="22"/>
        <v>180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0</v>
      </c>
      <c r="F24" s="156">
        <f t="shared" si="2"/>
        <v>436.62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449.46000000000004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513.37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559.98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544.5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511.64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616.54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632.72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628.06000000000006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567.88000000000011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674.60000000000014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824.60000000000014</v>
      </c>
      <c r="AZ24" s="157">
        <f t="shared" si="14"/>
        <v>1362.0200000000002</v>
      </c>
      <c r="BA24" s="21">
        <f t="shared" si="15"/>
        <v>3.1331944656912199E-2</v>
      </c>
      <c r="BB24" s="22">
        <f t="shared" si="20"/>
        <v>10</v>
      </c>
      <c r="BC24" s="22">
        <f t="shared" ca="1" si="16"/>
        <v>1362.0200000000002</v>
      </c>
      <c r="BE24" s="225">
        <f t="shared" ca="1" si="17"/>
        <v>200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200</v>
      </c>
      <c r="BJ24" s="225">
        <f t="shared" ca="1" si="22"/>
        <v>199.99999999999997</v>
      </c>
    </row>
    <row r="25" spans="1:62" ht="15.75">
      <c r="A25" s="146" t="s">
        <v>866</v>
      </c>
      <c r="B25" s="147">
        <v>4951.5215974244966</v>
      </c>
      <c r="C25" s="148" t="s">
        <v>0</v>
      </c>
      <c r="D25" s="149">
        <f>'01'!B120</f>
        <v>853.47</v>
      </c>
      <c r="E25" s="150">
        <f>SUM('01'!D120:F120)</f>
        <v>0</v>
      </c>
      <c r="F25" s="151">
        <f t="shared" si="2"/>
        <v>5804.9915974244968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5882.6115974244967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4690.2315974244966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6232.201597424496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5419.8215974244958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5537.4415974244957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5855.0615974244956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6522.6815974244955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6640.3015974244954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7074.2531948489932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7204.3431948489933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7661.8131948489936</v>
      </c>
      <c r="AZ25" s="152">
        <f t="shared" si="14"/>
        <v>3337.8000000000006</v>
      </c>
      <c r="BA25" s="21">
        <f t="shared" si="15"/>
        <v>7.6782840836288418E-2</v>
      </c>
      <c r="BB25" s="22">
        <f t="shared" si="20"/>
        <v>4</v>
      </c>
      <c r="BC25" s="22">
        <f t="shared" ca="1" si="16"/>
        <v>3337.8000000000006</v>
      </c>
      <c r="BE25" s="224">
        <f t="shared" ca="1" si="17"/>
        <v>853.47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853.47</v>
      </c>
      <c r="BJ25" s="224">
        <f t="shared" ca="1" si="22"/>
        <v>853.47000000000025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0</v>
      </c>
      <c r="F26" s="156">
        <f t="shared" si="2"/>
        <v>98.579999999999984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91.529999999999973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99.029999999999973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96.539999999999964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114.04999999999995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111.55999999999995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119.06999999999994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116.57999999999993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124.08999999999992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66.599999999999923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74.109999999999928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142.10999999999993</v>
      </c>
      <c r="AZ26" s="157">
        <f t="shared" si="14"/>
        <v>554.92000000000007</v>
      </c>
      <c r="BA26" s="21">
        <f t="shared" si="15"/>
        <v>1.2765394582321638E-2</v>
      </c>
      <c r="BB26" s="22">
        <f t="shared" si="20"/>
        <v>15</v>
      </c>
      <c r="BC26" s="22">
        <f t="shared" ca="1" si="16"/>
        <v>554.92000000000007</v>
      </c>
      <c r="BE26" s="225">
        <f t="shared" ca="1" si="17"/>
        <v>53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53</v>
      </c>
      <c r="BJ26" s="225">
        <f t="shared" ca="1" si="22"/>
        <v>53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0</v>
      </c>
      <c r="F27" s="187">
        <f t="shared" si="2"/>
        <v>439.41000000000008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435.94000000000005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382.28000000000009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415.7000000000001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381.8300000000001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338.67000000000007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388.67000000000007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401.38000000000005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451.38000000000005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454.62000000000006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488.04000000000008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513.17000000000007</v>
      </c>
      <c r="AZ27" s="188">
        <f t="shared" si="14"/>
        <v>416.24</v>
      </c>
      <c r="BA27" s="21">
        <f t="shared" si="15"/>
        <v>9.5751961380839724E-3</v>
      </c>
      <c r="BB27" s="22">
        <f t="shared" si="20"/>
        <v>18</v>
      </c>
      <c r="BC27" s="22">
        <f t="shared" ca="1" si="16"/>
        <v>416.24</v>
      </c>
      <c r="BE27" s="224">
        <f t="shared" ca="1" si="17"/>
        <v>40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40</v>
      </c>
      <c r="BJ27" s="224">
        <f t="shared" ca="1" si="22"/>
        <v>40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1489.0000000000002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1608.49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1998.49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1307.6299999999997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2357.6299999999997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2557.6299999999997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1394.3499999999997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1594.3499999999997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1750.3499999999997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1950.3499999999997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2150.3499999999995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2350.3499999999995</v>
      </c>
      <c r="AZ28" s="182">
        <f t="shared" ref="AZ28:AZ45" si="23">E28+I28+M28+Q28+U28+Y28+AC28+AG28+AK28+AO28+AS28+AW28</f>
        <v>3018.6899999999996</v>
      </c>
      <c r="BA28" s="21">
        <f t="shared" si="15"/>
        <v>6.9442025826620957E-2</v>
      </c>
      <c r="BB28" s="22">
        <f t="shared" si="20"/>
        <v>5</v>
      </c>
      <c r="BC28" s="22">
        <f t="shared" ca="1" si="16"/>
        <v>3018.6899999999996</v>
      </c>
      <c r="BE28" s="223">
        <f t="shared" ca="1" si="17"/>
        <v>200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223">
        <f t="shared" ca="1" si="22"/>
        <v>200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205.57999999999998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261.14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300.64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304.64999999999998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331.02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273.24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242.20000000000002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262.00000000000006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228.22000000000003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164.43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170.27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275.27</v>
      </c>
      <c r="AZ29" s="152">
        <f t="shared" si="23"/>
        <v>975.96999999999991</v>
      </c>
      <c r="BA29" s="21">
        <f t="shared" si="15"/>
        <v>2.2451240089577683E-2</v>
      </c>
      <c r="BB29" s="22">
        <f t="shared" si="20"/>
        <v>12</v>
      </c>
      <c r="BC29" s="22">
        <f t="shared" ca="1" si="16"/>
        <v>975.96999999999991</v>
      </c>
      <c r="BE29" s="224">
        <f t="shared" ca="1" si="17"/>
        <v>80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80</v>
      </c>
      <c r="BJ29" s="224">
        <f t="shared" ca="1" si="22"/>
        <v>80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98.749999999999957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133.74999999999994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166.61999999999995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167.28999999999996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189.72999999999996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224.72999999999996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183.55999999999995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195.55999999999995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218.05999999999995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229.55999999999995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264.55999999999995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299.55999999999995</v>
      </c>
      <c r="AZ30" s="157">
        <f t="shared" si="23"/>
        <v>224.19</v>
      </c>
      <c r="BA30" s="21">
        <f t="shared" si="15"/>
        <v>5.1572727806002451E-3</v>
      </c>
      <c r="BB30" s="22">
        <f t="shared" si="20"/>
        <v>19</v>
      </c>
      <c r="BC30" s="22">
        <f t="shared" ca="1" si="16"/>
        <v>224.19</v>
      </c>
      <c r="BE30" s="225">
        <f t="shared" ca="1" si="17"/>
        <v>35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69.619999999999962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47.659999999999961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67.659999999999968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45.699999999999967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44.719999999999956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43.739999999999952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42.759999999999948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41.779999999999944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40.79999999999994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60.79999999999994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80.79999999999994</v>
      </c>
      <c r="AZ31" s="152">
        <f t="shared" si="23"/>
        <v>213.29999999999995</v>
      </c>
      <c r="BA31" s="21">
        <f t="shared" si="15"/>
        <v>4.9067589281503723E-3</v>
      </c>
      <c r="BB31" s="22">
        <f t="shared" si="20"/>
        <v>20</v>
      </c>
      <c r="BC31" s="22">
        <f t="shared" ca="1" si="16"/>
        <v>213.29999999999995</v>
      </c>
      <c r="BE31" s="224">
        <f t="shared" ca="1" si="17"/>
        <v>21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516.89999999999975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602.89999999999975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687.61999999999978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956.74999999999977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1461.5099999999998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1356.1899999999998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1131.7899999999997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1174.0199999999998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1017.6799999999996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940.47999999999956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1035.4799999999996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1285.4799999999996</v>
      </c>
      <c r="AZ32" s="157">
        <f t="shared" si="23"/>
        <v>1763.7500000000002</v>
      </c>
      <c r="BA32" s="21">
        <f t="shared" si="15"/>
        <v>4.0573352365331564E-2</v>
      </c>
      <c r="BB32" s="22">
        <f t="shared" si="20"/>
        <v>9</v>
      </c>
      <c r="BC32" s="22">
        <f t="shared" ca="1" si="16"/>
        <v>1763.7500000000002</v>
      </c>
      <c r="BE32" s="225">
        <f t="shared" ca="1" si="17"/>
        <v>50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576.68000000000029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1271.0200000000009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1310.5700000000008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1267.6800000000007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1126.1800000000007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1176.1800000000007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1245.1800000000007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1250.1800000000007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1288.1800000000007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1348.1800000000007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1388.1800000000007</v>
      </c>
      <c r="AZ33" s="152">
        <f t="shared" si="23"/>
        <v>3843.8499999999995</v>
      </c>
      <c r="BA33" s="21">
        <f t="shared" si="15"/>
        <v>8.8424028626211015E-2</v>
      </c>
      <c r="BB33" s="22">
        <f t="shared" si="20"/>
        <v>3</v>
      </c>
      <c r="BC33" s="22">
        <f t="shared" ca="1" si="16"/>
        <v>3843.8499999999995</v>
      </c>
      <c r="BE33" s="224">
        <f t="shared" ca="1" si="17"/>
        <v>10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110</v>
      </c>
      <c r="E34" s="155">
        <f>SUM('01'!D300:F300)</f>
        <v>0</v>
      </c>
      <c r="F34" s="161">
        <f t="shared" si="2"/>
        <v>124.82999999999981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214.82999999999981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304.82999999999981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350.82999999999981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115.18999999999977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215.18999999999971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121.92999999999972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197.63999999999973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216.63999999999976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260.73999999999978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350.73999999999978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445.73999999999978</v>
      </c>
      <c r="AZ34" s="152">
        <f t="shared" si="23"/>
        <v>961.5</v>
      </c>
      <c r="BA34" s="21">
        <f t="shared" si="15"/>
        <v>2.2118371820987266E-2</v>
      </c>
      <c r="BB34" s="22">
        <f t="shared" si="20"/>
        <v>13</v>
      </c>
      <c r="BC34" s="22">
        <f t="shared" ca="1" si="16"/>
        <v>961.5</v>
      </c>
      <c r="BE34" s="225">
        <f t="shared" ca="1" si="17"/>
        <v>110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110</v>
      </c>
      <c r="BJ34" s="225">
        <f t="shared" ca="1" si="22"/>
        <v>110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1711.3600000000006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1847.7500000000007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1835.7700000000007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1808.3500000000006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1934.8400000000006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1912.2400000000007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1955.7700000000009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1998.5500000000009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1932.0400000000011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1614.3500000000013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1668.3200000000013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1798.3200000000013</v>
      </c>
      <c r="AZ35" s="188">
        <f t="shared" si="23"/>
        <v>2177.5700000000002</v>
      </c>
      <c r="BA35" s="21">
        <f t="shared" si="15"/>
        <v>5.0092878758426676E-2</v>
      </c>
      <c r="BB35" s="22">
        <f t="shared" si="20"/>
        <v>7</v>
      </c>
      <c r="BC35" s="22">
        <f t="shared" ca="1" si="16"/>
        <v>2177.5700000000002</v>
      </c>
      <c r="BE35" s="224">
        <f t="shared" ca="1" si="17"/>
        <v>130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130</v>
      </c>
      <c r="BJ35" s="224">
        <f t="shared" ca="1" si="22"/>
        <v>130</v>
      </c>
    </row>
    <row r="36" spans="1:62" ht="15.75">
      <c r="A36" s="163" t="s">
        <v>482</v>
      </c>
      <c r="B36" s="142">
        <v>1087.4900000000002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1177.4900000000002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1262.4900000000002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1453.4000000000003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1543.4200000000003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1459.4200000000003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1467.4200000000003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1642.4200000000003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1304.8700000000003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1562.9900000000005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1647.9900000000005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2152.9900000000007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2242.9900000000007</v>
      </c>
      <c r="AZ36" s="182">
        <f t="shared" si="23"/>
        <v>1013.47</v>
      </c>
      <c r="BA36" s="21">
        <f t="shared" si="15"/>
        <v>2.3313891096636469E-2</v>
      </c>
      <c r="BB36" s="22">
        <f t="shared" si="20"/>
        <v>11</v>
      </c>
      <c r="BC36" s="22">
        <f t="shared" ca="1" si="16"/>
        <v>1013.47</v>
      </c>
      <c r="BE36" s="223">
        <f t="shared" ca="1" si="17"/>
        <v>90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851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-34.919999999999959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-31.919999999999959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13.080000000000041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58.080000000000041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143.08000000000004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148.08000000000004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193.08000000000004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238.08000000000004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283.08000000000004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263.08000000000004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308.08000000000004</v>
      </c>
      <c r="AZ37" s="152">
        <f t="shared" si="23"/>
        <v>496.95</v>
      </c>
      <c r="BA37" s="21">
        <f t="shared" si="15"/>
        <v>1.1431851145543029E-2</v>
      </c>
      <c r="BB37" s="22">
        <f t="shared" si="20"/>
        <v>17</v>
      </c>
      <c r="BC37" s="22">
        <f t="shared" ca="1" si="16"/>
        <v>496.95</v>
      </c>
      <c r="BE37" s="224">
        <f t="shared" ca="1" si="17"/>
        <v>5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6.9</v>
      </c>
      <c r="F38" s="156">
        <f t="shared" si="2"/>
        <v>227.60000000000008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191.22000000000008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216.62000000000009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262.32000000000011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250.03000000000011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250.93000000000009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277.33000000000004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306.03000000000003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328.03000000000003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375.53000000000003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357.5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417.5</v>
      </c>
      <c r="AZ38" s="157">
        <f t="shared" si="23"/>
        <v>592.00000000000011</v>
      </c>
      <c r="BA38" s="21">
        <f t="shared" si="15"/>
        <v>1.3618383898101367E-2</v>
      </c>
      <c r="BB38" s="22">
        <f t="shared" si="20"/>
        <v>14</v>
      </c>
      <c r="BC38" s="22">
        <f t="shared" ca="1" si="16"/>
        <v>592.00000000000011</v>
      </c>
      <c r="BE38" s="225">
        <f t="shared" ca="1" si="17"/>
        <v>60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60</v>
      </c>
      <c r="BJ38" s="225">
        <f t="shared" ca="1" si="22"/>
        <v>53.099999999999994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1529.2807879809902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309.28078798099023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1660.5407879809902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325.54078798099022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345.54078798099022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305.54078798099022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320.54078798099022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335.54078798099022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1768.5615759619805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1783.5615759619805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1793.5615759619805</v>
      </c>
      <c r="AZ39" s="152">
        <f t="shared" si="23"/>
        <v>0</v>
      </c>
      <c r="BA39" s="21">
        <f t="shared" si="15"/>
        <v>0</v>
      </c>
      <c r="BB39" s="22">
        <f t="shared" si="20"/>
        <v>24</v>
      </c>
      <c r="BC39" s="22">
        <f t="shared" ca="1" si="16"/>
        <v>0</v>
      </c>
      <c r="BE39" s="224">
        <f t="shared" ca="1" si="17"/>
        <v>10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7429.4861040380201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6493.0961040380207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7592.9761040380208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6597.1161040380211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6644.1361040380216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6542.0961040380216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6588.9861040380219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6635.8961040380218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7943.9322080760412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8034.462208076041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8084.462208076041</v>
      </c>
      <c r="AZ40" s="157">
        <f t="shared" si="23"/>
        <v>151.36000000000001</v>
      </c>
      <c r="BA40" s="21">
        <f t="shared" si="15"/>
        <v>3.4818895047578086E-3</v>
      </c>
      <c r="BB40" s="22">
        <f t="shared" si="20"/>
        <v>22</v>
      </c>
      <c r="BC40" s="22">
        <f t="shared" ca="1" si="16"/>
        <v>151.36000000000001</v>
      </c>
      <c r="BE40" s="225">
        <f t="shared" ca="1" si="17"/>
        <v>31.749999999999996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-4300</v>
      </c>
      <c r="E41" s="165">
        <f>SUM('01'!D440:F440)</f>
        <v>0</v>
      </c>
      <c r="F41" s="151">
        <f t="shared" si="2"/>
        <v>4275.1200000000026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4395.1900000000023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4276.0300000000007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4276.0300000000025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4276.310000000004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4275.480000000005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4740.9300000000048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4440.0300000000061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4440.0300000000061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4402.5700000000061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4039.2300000000059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139.23000000000593</v>
      </c>
      <c r="AZ41" s="152">
        <f t="shared" si="23"/>
        <v>0</v>
      </c>
      <c r="BA41" s="21">
        <f t="shared" si="15"/>
        <v>0</v>
      </c>
      <c r="BB41" s="22">
        <f t="shared" si="20"/>
        <v>24</v>
      </c>
      <c r="BC41" s="22">
        <f t="shared" ca="1" si="16"/>
        <v>0</v>
      </c>
      <c r="BE41" s="224">
        <f t="shared" ca="1" si="17"/>
        <v>-4300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-4300</v>
      </c>
      <c r="BJ41" s="224">
        <f t="shared" ca="1" si="22"/>
        <v>-4300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4.554797317270389E-5</v>
      </c>
      <c r="BB42" s="22">
        <f t="shared" si="20"/>
        <v>23</v>
      </c>
      <c r="BC42" s="22">
        <f t="shared" ca="1" si="16"/>
        <v>1.98</v>
      </c>
      <c r="BE42" s="225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-262.58000000000004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-667.58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-44.389999999999986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-444.39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-434.39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-369.39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-854.39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-789.39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411.1191905564923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497.46919055649232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641.85919055649231</v>
      </c>
      <c r="AZ43" s="152">
        <f t="shared" si="23"/>
        <v>500</v>
      </c>
      <c r="BA43" s="21">
        <f t="shared" si="15"/>
        <v>1.1502013427450476E-2</v>
      </c>
      <c r="BB43" s="22">
        <f t="shared" si="20"/>
        <v>16</v>
      </c>
      <c r="BC43" s="22">
        <f t="shared" ca="1" si="16"/>
        <v>500</v>
      </c>
      <c r="BE43" s="224">
        <f t="shared" ca="1" si="17"/>
        <v>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24</v>
      </c>
      <c r="BC44" s="22">
        <f t="shared" ca="1" si="16"/>
        <v>0</v>
      </c>
      <c r="BE44" s="225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22.540000000000035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-3.3999999999999666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-3.3999999999999666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-3.3999999999999666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-3.3999999999999666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-3.3999999999999666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-6.8299999999999663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-11.829999999999966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-93.809999999999974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-103.80999999999997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-98.809999999999974</v>
      </c>
      <c r="AZ45" s="177">
        <f t="shared" si="23"/>
        <v>159.74</v>
      </c>
      <c r="BA45" s="21">
        <f t="shared" si="15"/>
        <v>3.6746632498018787E-3</v>
      </c>
      <c r="BB45" s="22">
        <f t="shared" si="20"/>
        <v>21</v>
      </c>
      <c r="BC45" s="22">
        <f t="shared" ca="1" si="16"/>
        <v>159.74</v>
      </c>
      <c r="BE45" s="226">
        <f t="shared" ca="1" si="17"/>
        <v>5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0</v>
      </c>
      <c r="E46" s="219">
        <f>SUM(E20:E45)</f>
        <v>23.330000000000002</v>
      </c>
      <c r="F46" s="220">
        <f>SUM(F20:F45)</f>
        <v>33555.667680000006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33901.047680000003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34770.047680000003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35489.377680000005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37340.367680000003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37609.247680000008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37493.137680000007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37584.547680000003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38415.75768000001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38429.665360000014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40092.545360000004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40067.675360000001</v>
      </c>
      <c r="AZ46" s="227">
        <f>SUM(AZ20:AZ45)</f>
        <v>43470.649999999994</v>
      </c>
      <c r="BA46" s="1"/>
      <c r="BB46" s="1"/>
      <c r="BC46" s="124">
        <f ca="1">SUM(BC20:BC45)</f>
        <v>43470.649999999994</v>
      </c>
      <c r="BE46" s="227">
        <f ca="1">SUM(BE20:BE45)</f>
        <v>0</v>
      </c>
      <c r="BF46" s="1"/>
      <c r="BG46" s="1"/>
      <c r="BH46" s="124">
        <f ca="1">SUM(BH20:BH45)</f>
        <v>0</v>
      </c>
      <c r="BJ46" s="227">
        <f ca="1">SUM(BJ20:BJ45)</f>
        <v>-23.329999999999472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1145.4699999999998</v>
      </c>
      <c r="E47" s="125">
        <f>C17-E46</f>
        <v>1122.1399999999999</v>
      </c>
      <c r="F47" s="125"/>
      <c r="G47" s="125">
        <f>G5-F46</f>
        <v>-8326.2876800000085</v>
      </c>
      <c r="H47" s="125">
        <f>G17-H46</f>
        <v>0</v>
      </c>
      <c r="I47" s="125">
        <f>G17-I46</f>
        <v>345.38000000000011</v>
      </c>
      <c r="J47" s="125"/>
      <c r="K47" s="125">
        <f>K5-J46</f>
        <v>-8326.2876800000013</v>
      </c>
      <c r="L47" s="125">
        <f>K17-L46</f>
        <v>0</v>
      </c>
      <c r="M47" s="125">
        <f>K17-M46</f>
        <v>868.99999999999818</v>
      </c>
      <c r="N47" s="125"/>
      <c r="O47" s="125">
        <f>O5-N46</f>
        <v>-8326.2876800000049</v>
      </c>
      <c r="P47" s="125">
        <f>O17-P46</f>
        <v>0</v>
      </c>
      <c r="Q47" s="125">
        <f>O17-Q46</f>
        <v>719.33000000000084</v>
      </c>
      <c r="R47" s="125"/>
      <c r="S47" s="125">
        <f>S5-R46</f>
        <v>-8326.2876800000013</v>
      </c>
      <c r="T47" s="125">
        <f>S17-T46</f>
        <v>0</v>
      </c>
      <c r="U47" s="125">
        <f>S17-U46</f>
        <v>1850.9900000000016</v>
      </c>
      <c r="V47" s="125"/>
      <c r="W47" s="125">
        <f>W5-V46</f>
        <v>-8326.2876800000049</v>
      </c>
      <c r="X47" s="125">
        <f>W17-X46</f>
        <v>0</v>
      </c>
      <c r="Y47" s="125">
        <f>W17-Y46</f>
        <v>268.88000000000056</v>
      </c>
      <c r="Z47" s="125"/>
      <c r="AA47" s="125">
        <f>AA5-Z46</f>
        <v>-8326.2876800000085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-8326.2876800000049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-8326.2876800000013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-8326.2876800000085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-8326.285360000009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-9989.1653599999991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191</v>
      </c>
      <c r="AW48" s="5"/>
      <c r="AX48" s="5"/>
      <c r="AZ48" s="112">
        <f>4350*12</f>
        <v>52200</v>
      </c>
      <c r="BA48" s="112"/>
      <c r="BB48" s="1" t="s">
        <v>192</v>
      </c>
      <c r="BC48" s="112">
        <f ca="1">12*BC46</f>
        <v>521647.79999999993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5" t="s">
        <v>147</v>
      </c>
      <c r="D52" s="346"/>
      <c r="E52" s="346"/>
      <c r="F52" s="347"/>
      <c r="G52" s="345" t="s">
        <v>147</v>
      </c>
      <c r="H52" s="346"/>
      <c r="I52" s="346"/>
      <c r="J52" s="347"/>
      <c r="K52" s="345" t="s">
        <v>147</v>
      </c>
      <c r="L52" s="346"/>
      <c r="M52" s="346"/>
      <c r="N52" s="347"/>
      <c r="O52" s="345" t="s">
        <v>147</v>
      </c>
      <c r="P52" s="346"/>
      <c r="Q52" s="346"/>
      <c r="R52" s="347"/>
      <c r="S52" s="345" t="s">
        <v>147</v>
      </c>
      <c r="T52" s="346"/>
      <c r="U52" s="346"/>
      <c r="V52" s="347"/>
      <c r="W52" s="345" t="s">
        <v>147</v>
      </c>
      <c r="X52" s="346"/>
      <c r="Y52" s="346"/>
      <c r="Z52" s="347"/>
      <c r="AA52" s="345" t="s">
        <v>147</v>
      </c>
      <c r="AB52" s="346"/>
      <c r="AC52" s="346"/>
      <c r="AD52" s="347"/>
      <c r="AE52" s="345" t="s">
        <v>147</v>
      </c>
      <c r="AF52" s="346"/>
      <c r="AG52" s="346"/>
      <c r="AH52" s="347"/>
      <c r="AI52" s="345" t="s">
        <v>147</v>
      </c>
      <c r="AJ52" s="346"/>
      <c r="AK52" s="346"/>
      <c r="AL52" s="347"/>
      <c r="AM52" s="345" t="s">
        <v>147</v>
      </c>
      <c r="AN52" s="346"/>
      <c r="AO52" s="346"/>
      <c r="AP52" s="347"/>
      <c r="AQ52" s="345" t="s">
        <v>147</v>
      </c>
      <c r="AR52" s="346"/>
      <c r="AS52" s="346"/>
      <c r="AT52" s="347"/>
      <c r="AU52" s="345" t="s">
        <v>147</v>
      </c>
      <c r="AV52" s="346"/>
      <c r="AW52" s="346"/>
      <c r="AX52" s="347"/>
    </row>
    <row r="53" spans="2:62" ht="15.75" thickBot="1">
      <c r="C53" s="93" t="s">
        <v>148</v>
      </c>
      <c r="D53" s="348" t="s">
        <v>29</v>
      </c>
      <c r="E53" s="349"/>
      <c r="F53" s="94" t="s">
        <v>86</v>
      </c>
      <c r="G53" s="93" t="s">
        <v>148</v>
      </c>
      <c r="H53" s="348" t="s">
        <v>29</v>
      </c>
      <c r="I53" s="349"/>
      <c r="J53" s="94" t="s">
        <v>86</v>
      </c>
      <c r="K53" s="93" t="s">
        <v>148</v>
      </c>
      <c r="L53" s="348" t="s">
        <v>29</v>
      </c>
      <c r="M53" s="349"/>
      <c r="N53" s="94" t="s">
        <v>86</v>
      </c>
      <c r="O53" s="93" t="s">
        <v>148</v>
      </c>
      <c r="P53" s="348" t="s">
        <v>29</v>
      </c>
      <c r="Q53" s="349"/>
      <c r="R53" s="94" t="s">
        <v>86</v>
      </c>
      <c r="S53" s="93" t="s">
        <v>148</v>
      </c>
      <c r="T53" s="348" t="s">
        <v>29</v>
      </c>
      <c r="U53" s="349"/>
      <c r="V53" s="94" t="s">
        <v>86</v>
      </c>
      <c r="W53" s="93" t="s">
        <v>148</v>
      </c>
      <c r="X53" s="348" t="s">
        <v>29</v>
      </c>
      <c r="Y53" s="349"/>
      <c r="Z53" s="94" t="s">
        <v>86</v>
      </c>
      <c r="AA53" s="93" t="s">
        <v>148</v>
      </c>
      <c r="AB53" s="348" t="s">
        <v>29</v>
      </c>
      <c r="AC53" s="349"/>
      <c r="AD53" s="94" t="s">
        <v>86</v>
      </c>
      <c r="AE53" s="93" t="s">
        <v>148</v>
      </c>
      <c r="AF53" s="348" t="s">
        <v>29</v>
      </c>
      <c r="AG53" s="349"/>
      <c r="AH53" s="94" t="s">
        <v>86</v>
      </c>
      <c r="AI53" s="93" t="s">
        <v>148</v>
      </c>
      <c r="AJ53" s="348" t="s">
        <v>29</v>
      </c>
      <c r="AK53" s="349"/>
      <c r="AL53" s="94" t="s">
        <v>86</v>
      </c>
      <c r="AM53" s="93" t="s">
        <v>148</v>
      </c>
      <c r="AN53" s="348" t="s">
        <v>29</v>
      </c>
      <c r="AO53" s="349"/>
      <c r="AP53" s="94" t="s">
        <v>86</v>
      </c>
      <c r="AQ53" s="93" t="s">
        <v>148</v>
      </c>
      <c r="AR53" s="348" t="s">
        <v>29</v>
      </c>
      <c r="AS53" s="349"/>
      <c r="AT53" s="94" t="s">
        <v>86</v>
      </c>
      <c r="AU53" s="93" t="s">
        <v>148</v>
      </c>
      <c r="AV53" s="348" t="s">
        <v>29</v>
      </c>
      <c r="AW53" s="349"/>
      <c r="AX53" s="94" t="s">
        <v>86</v>
      </c>
    </row>
    <row r="54" spans="2:62">
      <c r="C54" s="95"/>
      <c r="D54" s="350"/>
      <c r="E54" s="351"/>
      <c r="F54" s="98"/>
      <c r="G54" s="95"/>
      <c r="H54" s="350"/>
      <c r="I54" s="351"/>
      <c r="J54" s="100"/>
      <c r="K54" s="95"/>
      <c r="L54" s="366"/>
      <c r="M54" s="367"/>
      <c r="N54" s="100"/>
      <c r="O54" s="95"/>
      <c r="P54" s="368"/>
      <c r="Q54" s="369"/>
      <c r="R54" s="102"/>
      <c r="S54" s="95"/>
      <c r="T54" s="366"/>
      <c r="U54" s="367"/>
      <c r="V54" s="103"/>
      <c r="W54" s="95"/>
      <c r="X54" s="366"/>
      <c r="Y54" s="367"/>
      <c r="Z54" s="104"/>
      <c r="AA54" s="95"/>
      <c r="AB54" s="356"/>
      <c r="AC54" s="357"/>
      <c r="AD54" s="239"/>
      <c r="AE54" s="95"/>
      <c r="AF54" s="356"/>
      <c r="AG54" s="357"/>
      <c r="AH54" s="239"/>
      <c r="AI54" s="95"/>
      <c r="AJ54" s="356"/>
      <c r="AK54" s="357"/>
      <c r="AL54" s="239"/>
      <c r="AM54" s="95"/>
      <c r="AN54" s="356"/>
      <c r="AO54" s="357"/>
      <c r="AP54" s="239"/>
      <c r="AQ54" s="95"/>
      <c r="AR54" s="356"/>
      <c r="AS54" s="357"/>
      <c r="AT54" s="239"/>
      <c r="AU54" s="95"/>
      <c r="AV54" s="350"/>
      <c r="AW54" s="351"/>
      <c r="AX54" s="100"/>
    </row>
    <row r="55" spans="2:62">
      <c r="C55" s="96"/>
      <c r="D55" s="341"/>
      <c r="E55" s="342"/>
      <c r="F55" s="98"/>
      <c r="G55" s="96"/>
      <c r="H55" s="341"/>
      <c r="I55" s="342"/>
      <c r="J55" s="100"/>
      <c r="K55" s="96"/>
      <c r="L55" s="341"/>
      <c r="M55" s="342"/>
      <c r="N55" s="100"/>
      <c r="O55" s="96"/>
      <c r="P55" s="341"/>
      <c r="Q55" s="342"/>
      <c r="R55" s="100"/>
      <c r="S55" s="96"/>
      <c r="T55" s="341"/>
      <c r="U55" s="342"/>
      <c r="V55" s="100"/>
      <c r="W55" s="96"/>
      <c r="X55" s="341"/>
      <c r="Y55" s="342"/>
      <c r="Z55" s="100"/>
      <c r="AA55" s="96"/>
      <c r="AB55" s="341"/>
      <c r="AC55" s="342"/>
      <c r="AD55" s="100"/>
      <c r="AE55" s="96"/>
      <c r="AF55" s="341"/>
      <c r="AG55" s="342"/>
      <c r="AH55" s="100"/>
      <c r="AI55" s="96"/>
      <c r="AJ55" s="341"/>
      <c r="AK55" s="342"/>
      <c r="AL55" s="100"/>
      <c r="AM55" s="96"/>
      <c r="AN55" s="358"/>
      <c r="AO55" s="359"/>
      <c r="AP55" s="100"/>
      <c r="AQ55" s="96"/>
      <c r="AR55" s="341"/>
      <c r="AS55" s="342"/>
      <c r="AT55" s="100"/>
      <c r="AU55" s="96"/>
      <c r="AV55" s="341"/>
      <c r="AW55" s="342"/>
      <c r="AX55" s="100"/>
    </row>
    <row r="56" spans="2:62">
      <c r="B56" s="119"/>
      <c r="C56" s="96"/>
      <c r="D56" s="341"/>
      <c r="E56" s="342"/>
      <c r="F56" s="98"/>
      <c r="G56" s="96"/>
      <c r="H56" s="341"/>
      <c r="I56" s="342"/>
      <c r="J56" s="100"/>
      <c r="K56" s="96"/>
      <c r="L56" s="341"/>
      <c r="M56" s="342"/>
      <c r="N56" s="100"/>
      <c r="O56" s="96"/>
      <c r="P56" s="356"/>
      <c r="Q56" s="357"/>
      <c r="R56" s="102"/>
      <c r="S56" s="96"/>
      <c r="T56" s="341"/>
      <c r="U56" s="342"/>
      <c r="V56" s="100"/>
      <c r="W56" s="96"/>
      <c r="X56" s="341"/>
      <c r="Y56" s="342"/>
      <c r="Z56" s="100"/>
      <c r="AA56" s="96"/>
      <c r="AB56" s="341"/>
      <c r="AC56" s="342"/>
      <c r="AD56" s="100"/>
      <c r="AE56" s="96"/>
      <c r="AF56" s="341"/>
      <c r="AG56" s="342"/>
      <c r="AH56" s="100"/>
      <c r="AI56" s="96"/>
      <c r="AJ56" s="358"/>
      <c r="AK56" s="359"/>
      <c r="AL56" s="100"/>
      <c r="AM56" s="96"/>
      <c r="AN56" s="358"/>
      <c r="AO56" s="359"/>
      <c r="AP56" s="100"/>
      <c r="AQ56" s="96"/>
      <c r="AR56" s="341"/>
      <c r="AS56" s="342"/>
      <c r="AT56" s="100"/>
      <c r="AU56" s="96"/>
      <c r="AV56" s="341"/>
      <c r="AW56" s="342"/>
      <c r="AX56" s="100"/>
    </row>
    <row r="57" spans="2:62">
      <c r="C57" s="96"/>
      <c r="D57" s="341"/>
      <c r="E57" s="342"/>
      <c r="F57" s="98"/>
      <c r="G57" s="96"/>
      <c r="H57" s="341"/>
      <c r="I57" s="342"/>
      <c r="J57" s="100"/>
      <c r="K57" s="96"/>
      <c r="L57" s="341"/>
      <c r="M57" s="342"/>
      <c r="N57" s="100"/>
      <c r="O57" s="96"/>
      <c r="P57" s="370"/>
      <c r="Q57" s="371"/>
      <c r="R57" s="100"/>
      <c r="S57" s="96"/>
      <c r="T57" s="341"/>
      <c r="U57" s="342"/>
      <c r="V57" s="100"/>
      <c r="W57" s="96"/>
      <c r="X57" s="341"/>
      <c r="Y57" s="342"/>
      <c r="Z57" s="100"/>
      <c r="AA57" s="96"/>
      <c r="AB57" s="364"/>
      <c r="AC57" s="365"/>
      <c r="AD57" s="100"/>
      <c r="AE57" s="96"/>
      <c r="AF57" s="341"/>
      <c r="AG57" s="342"/>
      <c r="AH57" s="100"/>
      <c r="AI57" s="96"/>
      <c r="AJ57" s="358"/>
      <c r="AK57" s="359"/>
      <c r="AL57" s="100"/>
      <c r="AM57" s="96"/>
      <c r="AN57" s="358"/>
      <c r="AO57" s="359"/>
      <c r="AP57" s="100"/>
      <c r="AQ57" s="96"/>
      <c r="AR57" s="341"/>
      <c r="AS57" s="342"/>
      <c r="AT57" s="100"/>
      <c r="AU57" s="96"/>
      <c r="AV57" s="341"/>
      <c r="AW57" s="342"/>
      <c r="AX57" s="100"/>
    </row>
    <row r="58" spans="2:62">
      <c r="C58" s="96"/>
      <c r="D58" s="341"/>
      <c r="E58" s="342"/>
      <c r="F58" s="98"/>
      <c r="G58" s="96"/>
      <c r="H58" s="341"/>
      <c r="I58" s="342"/>
      <c r="J58" s="100"/>
      <c r="K58" s="96"/>
      <c r="L58" s="341"/>
      <c r="M58" s="342"/>
      <c r="N58" s="100"/>
      <c r="O58" s="96"/>
      <c r="P58" s="341"/>
      <c r="Q58" s="342"/>
      <c r="R58" s="100"/>
      <c r="S58" s="96"/>
      <c r="T58" s="341"/>
      <c r="U58" s="342"/>
      <c r="V58" s="100"/>
      <c r="W58" s="96"/>
      <c r="X58" s="341"/>
      <c r="Y58" s="342"/>
      <c r="Z58" s="100"/>
      <c r="AA58" s="96"/>
      <c r="AB58" s="364"/>
      <c r="AC58" s="365"/>
      <c r="AD58" s="100"/>
      <c r="AE58" s="96"/>
      <c r="AF58" s="341"/>
      <c r="AG58" s="342"/>
      <c r="AH58" s="100"/>
      <c r="AI58" s="96"/>
      <c r="AJ58" s="352"/>
      <c r="AK58" s="353"/>
      <c r="AL58" s="100"/>
      <c r="AM58" s="96"/>
      <c r="AN58" s="358"/>
      <c r="AO58" s="359"/>
      <c r="AP58" s="100"/>
      <c r="AQ58" s="96"/>
      <c r="AR58" s="341"/>
      <c r="AS58" s="342"/>
      <c r="AT58" s="100"/>
      <c r="AU58" s="96"/>
      <c r="AV58" s="341"/>
      <c r="AW58" s="342"/>
      <c r="AX58" s="100"/>
    </row>
    <row r="59" spans="2:62">
      <c r="C59" s="96"/>
      <c r="D59" s="341"/>
      <c r="E59" s="342"/>
      <c r="F59" s="98"/>
      <c r="G59" s="96"/>
      <c r="H59" s="341"/>
      <c r="I59" s="342"/>
      <c r="J59" s="100"/>
      <c r="K59" s="96"/>
      <c r="L59" s="341"/>
      <c r="M59" s="342"/>
      <c r="N59" s="100"/>
      <c r="O59" s="96"/>
      <c r="P59" s="341"/>
      <c r="Q59" s="342"/>
      <c r="R59" s="100"/>
      <c r="S59" s="96"/>
      <c r="T59" s="358"/>
      <c r="U59" s="359"/>
      <c r="V59" s="100"/>
      <c r="W59" s="96"/>
      <c r="X59" s="358"/>
      <c r="Y59" s="359"/>
      <c r="Z59" s="100"/>
      <c r="AA59" s="96"/>
      <c r="AB59" s="358"/>
      <c r="AC59" s="359"/>
      <c r="AD59" s="100"/>
      <c r="AE59" s="96"/>
      <c r="AF59" s="341"/>
      <c r="AG59" s="342"/>
      <c r="AH59" s="100"/>
      <c r="AI59" s="96"/>
      <c r="AJ59" s="352"/>
      <c r="AK59" s="353"/>
      <c r="AL59" s="100"/>
      <c r="AM59" s="96"/>
      <c r="AN59" s="360"/>
      <c r="AO59" s="361"/>
      <c r="AP59" s="100"/>
      <c r="AQ59" s="96"/>
      <c r="AR59" s="341"/>
      <c r="AS59" s="342"/>
      <c r="AT59" s="100"/>
      <c r="AU59" s="96"/>
      <c r="AV59" s="341"/>
      <c r="AW59" s="342"/>
      <c r="AX59" s="100"/>
    </row>
    <row r="60" spans="2:62">
      <c r="C60" s="96"/>
      <c r="D60" s="341"/>
      <c r="E60" s="342"/>
      <c r="F60" s="98"/>
      <c r="G60" s="96"/>
      <c r="H60" s="341"/>
      <c r="I60" s="342"/>
      <c r="J60" s="100"/>
      <c r="K60" s="235"/>
      <c r="L60" s="370"/>
      <c r="M60" s="371"/>
      <c r="N60" s="236"/>
      <c r="O60" s="96"/>
      <c r="P60" s="341"/>
      <c r="Q60" s="342"/>
      <c r="R60" s="100"/>
      <c r="S60" s="96"/>
      <c r="T60" s="358"/>
      <c r="U60" s="359"/>
      <c r="V60" s="100"/>
      <c r="W60" s="96"/>
      <c r="X60" s="352"/>
      <c r="Y60" s="353"/>
      <c r="Z60" s="100"/>
      <c r="AA60" s="96"/>
      <c r="AB60" s="352"/>
      <c r="AC60" s="353"/>
      <c r="AD60" s="100"/>
      <c r="AE60" s="96"/>
      <c r="AF60" s="358"/>
      <c r="AG60" s="359"/>
      <c r="AH60" s="100"/>
      <c r="AI60" s="96"/>
      <c r="AJ60" s="352"/>
      <c r="AK60" s="353"/>
      <c r="AL60" s="100"/>
      <c r="AM60" s="96"/>
      <c r="AN60" s="352"/>
      <c r="AO60" s="353"/>
      <c r="AP60" s="100"/>
      <c r="AQ60" s="96"/>
      <c r="AR60" s="341"/>
      <c r="AS60" s="342"/>
      <c r="AT60" s="100"/>
      <c r="AU60" s="96"/>
      <c r="AV60" s="341"/>
      <c r="AW60" s="342"/>
      <c r="AX60" s="100"/>
    </row>
    <row r="61" spans="2:62">
      <c r="C61" s="96"/>
      <c r="D61" s="341"/>
      <c r="E61" s="342"/>
      <c r="F61" s="98"/>
      <c r="G61" s="96"/>
      <c r="H61" s="341"/>
      <c r="I61" s="342"/>
      <c r="J61" s="100"/>
      <c r="K61" s="96"/>
      <c r="L61" s="372"/>
      <c r="M61" s="342"/>
      <c r="N61" s="100"/>
      <c r="O61" s="96"/>
      <c r="P61" s="341"/>
      <c r="Q61" s="342"/>
      <c r="R61" s="100"/>
      <c r="S61" s="96"/>
      <c r="T61" s="358"/>
      <c r="U61" s="359"/>
      <c r="V61" s="100"/>
      <c r="W61" s="96"/>
      <c r="X61" s="352"/>
      <c r="Y61" s="353"/>
      <c r="Z61" s="100"/>
      <c r="AA61" s="96"/>
      <c r="AB61" s="352"/>
      <c r="AC61" s="353"/>
      <c r="AD61" s="100"/>
      <c r="AE61" s="96"/>
      <c r="AF61" s="352"/>
      <c r="AG61" s="353"/>
      <c r="AH61" s="100"/>
      <c r="AI61" s="96"/>
      <c r="AJ61" s="352"/>
      <c r="AK61" s="353"/>
      <c r="AL61" s="100"/>
      <c r="AM61" s="96"/>
      <c r="AN61" s="352"/>
      <c r="AO61" s="353"/>
      <c r="AP61" s="100"/>
      <c r="AQ61" s="96"/>
      <c r="AR61" s="341"/>
      <c r="AS61" s="342"/>
      <c r="AT61" s="100"/>
      <c r="AU61" s="96"/>
      <c r="AV61" s="341"/>
      <c r="AW61" s="342"/>
      <c r="AX61" s="100"/>
    </row>
    <row r="62" spans="2:62">
      <c r="C62" s="96"/>
      <c r="D62" s="341"/>
      <c r="E62" s="342"/>
      <c r="F62" s="98"/>
      <c r="G62" s="96"/>
      <c r="H62" s="341"/>
      <c r="I62" s="342"/>
      <c r="J62" s="100"/>
      <c r="K62" s="96"/>
      <c r="L62" s="341"/>
      <c r="M62" s="342"/>
      <c r="N62" s="100"/>
      <c r="O62" s="96"/>
      <c r="P62" s="341"/>
      <c r="Q62" s="342"/>
      <c r="R62" s="100"/>
      <c r="S62" s="96"/>
      <c r="T62" s="358"/>
      <c r="U62" s="359"/>
      <c r="V62" s="100"/>
      <c r="W62" s="96"/>
      <c r="X62" s="352"/>
      <c r="Y62" s="353"/>
      <c r="Z62" s="100"/>
      <c r="AA62" s="96"/>
      <c r="AB62" s="352"/>
      <c r="AC62" s="353"/>
      <c r="AD62" s="100"/>
      <c r="AE62" s="96"/>
      <c r="AF62" s="352"/>
      <c r="AG62" s="353"/>
      <c r="AH62" s="100"/>
      <c r="AI62" s="96"/>
      <c r="AJ62" s="352"/>
      <c r="AK62" s="353"/>
      <c r="AL62" s="100"/>
      <c r="AM62" s="96"/>
      <c r="AN62" s="352"/>
      <c r="AO62" s="353"/>
      <c r="AP62" s="100"/>
      <c r="AQ62" s="96"/>
      <c r="AR62" s="341"/>
      <c r="AS62" s="342"/>
      <c r="AT62" s="100"/>
      <c r="AU62" s="96"/>
      <c r="AV62" s="341"/>
      <c r="AW62" s="342"/>
      <c r="AX62" s="100"/>
    </row>
    <row r="63" spans="2:62">
      <c r="C63" s="96"/>
      <c r="D63" s="341"/>
      <c r="E63" s="342"/>
      <c r="F63" s="98"/>
      <c r="G63" s="96"/>
      <c r="H63" s="341"/>
      <c r="I63" s="342"/>
      <c r="J63" s="100"/>
      <c r="K63" s="96"/>
      <c r="L63" s="341"/>
      <c r="M63" s="342"/>
      <c r="N63" s="100"/>
      <c r="O63" s="96"/>
      <c r="P63" s="341"/>
      <c r="Q63" s="342"/>
      <c r="R63" s="100"/>
      <c r="S63" s="96"/>
      <c r="T63" s="358"/>
      <c r="U63" s="359"/>
      <c r="V63" s="100"/>
      <c r="W63" s="96"/>
      <c r="X63" s="352"/>
      <c r="Y63" s="353"/>
      <c r="Z63" s="100"/>
      <c r="AA63" s="96"/>
      <c r="AB63" s="352"/>
      <c r="AC63" s="353"/>
      <c r="AD63" s="100"/>
      <c r="AE63" s="96"/>
      <c r="AF63" s="352"/>
      <c r="AG63" s="353"/>
      <c r="AH63" s="100"/>
      <c r="AI63" s="96"/>
      <c r="AJ63" s="352"/>
      <c r="AK63" s="353"/>
      <c r="AL63" s="100"/>
      <c r="AM63" s="96"/>
      <c r="AN63" s="352"/>
      <c r="AO63" s="353"/>
      <c r="AP63" s="100"/>
      <c r="AQ63" s="96"/>
      <c r="AR63" s="341"/>
      <c r="AS63" s="342"/>
      <c r="AT63" s="100"/>
      <c r="AU63" s="96"/>
      <c r="AV63" s="341"/>
      <c r="AW63" s="342"/>
      <c r="AX63" s="100"/>
    </row>
    <row r="64" spans="2:62">
      <c r="C64" s="96"/>
      <c r="D64" s="341"/>
      <c r="E64" s="342"/>
      <c r="F64" s="98"/>
      <c r="G64" s="96"/>
      <c r="H64" s="341"/>
      <c r="I64" s="342"/>
      <c r="J64" s="100"/>
      <c r="K64" s="96"/>
      <c r="L64" s="341"/>
      <c r="M64" s="342"/>
      <c r="N64" s="100"/>
      <c r="O64" s="96"/>
      <c r="P64" s="341"/>
      <c r="Q64" s="342"/>
      <c r="R64" s="100"/>
      <c r="S64" s="96"/>
      <c r="T64" s="358"/>
      <c r="U64" s="359"/>
      <c r="V64" s="100"/>
      <c r="W64" s="96"/>
      <c r="X64" s="352"/>
      <c r="Y64" s="353"/>
      <c r="Z64" s="100"/>
      <c r="AA64" s="96"/>
      <c r="AB64" s="352"/>
      <c r="AC64" s="353"/>
      <c r="AD64" s="100"/>
      <c r="AE64" s="96"/>
      <c r="AF64" s="352"/>
      <c r="AG64" s="353"/>
      <c r="AH64" s="100"/>
      <c r="AI64" s="96"/>
      <c r="AJ64" s="352"/>
      <c r="AK64" s="353"/>
      <c r="AL64" s="100"/>
      <c r="AM64" s="96"/>
      <c r="AN64" s="352"/>
      <c r="AO64" s="353"/>
      <c r="AP64" s="100"/>
      <c r="AQ64" s="96"/>
      <c r="AR64" s="341"/>
      <c r="AS64" s="342"/>
      <c r="AT64" s="100"/>
      <c r="AU64" s="96"/>
      <c r="AV64" s="341"/>
      <c r="AW64" s="342"/>
      <c r="AX64" s="100"/>
    </row>
    <row r="65" spans="1:50">
      <c r="C65" s="96"/>
      <c r="D65" s="341"/>
      <c r="E65" s="342"/>
      <c r="F65" s="98"/>
      <c r="G65" s="96"/>
      <c r="H65" s="341"/>
      <c r="I65" s="342"/>
      <c r="J65" s="100"/>
      <c r="K65" s="96"/>
      <c r="L65" s="341"/>
      <c r="M65" s="342"/>
      <c r="N65" s="100"/>
      <c r="O65" s="96"/>
      <c r="P65" s="341"/>
      <c r="Q65" s="342"/>
      <c r="R65" s="100"/>
      <c r="S65" s="96"/>
      <c r="T65" s="358"/>
      <c r="U65" s="359"/>
      <c r="V65" s="100"/>
      <c r="W65" s="96"/>
      <c r="X65" s="352"/>
      <c r="Y65" s="353"/>
      <c r="Z65" s="100"/>
      <c r="AA65" s="96"/>
      <c r="AB65" s="352"/>
      <c r="AC65" s="353"/>
      <c r="AD65" s="100"/>
      <c r="AE65" s="96"/>
      <c r="AF65" s="352"/>
      <c r="AG65" s="353"/>
      <c r="AH65" s="100"/>
      <c r="AI65" s="96"/>
      <c r="AJ65" s="352"/>
      <c r="AK65" s="353"/>
      <c r="AL65" s="100"/>
      <c r="AM65" s="96"/>
      <c r="AN65" s="352"/>
      <c r="AO65" s="353"/>
      <c r="AP65" s="100"/>
      <c r="AQ65" s="96"/>
      <c r="AR65" s="341"/>
      <c r="AS65" s="342"/>
      <c r="AT65" s="100"/>
      <c r="AU65" s="96"/>
      <c r="AV65" s="341"/>
      <c r="AW65" s="342"/>
      <c r="AX65" s="100"/>
    </row>
    <row r="66" spans="1:50">
      <c r="C66" s="96"/>
      <c r="D66" s="341"/>
      <c r="E66" s="342"/>
      <c r="F66" s="98"/>
      <c r="G66" s="96"/>
      <c r="H66" s="341"/>
      <c r="I66" s="342"/>
      <c r="J66" s="100"/>
      <c r="K66" s="96"/>
      <c r="L66" s="341"/>
      <c r="M66" s="342"/>
      <c r="N66" s="100"/>
      <c r="O66" s="96"/>
      <c r="P66" s="341"/>
      <c r="Q66" s="342"/>
      <c r="R66" s="100"/>
      <c r="S66" s="96"/>
      <c r="T66" s="352"/>
      <c r="U66" s="353"/>
      <c r="V66" s="100"/>
      <c r="W66" s="96"/>
      <c r="X66" s="352"/>
      <c r="Y66" s="353"/>
      <c r="Z66" s="100"/>
      <c r="AA66" s="96"/>
      <c r="AB66" s="352"/>
      <c r="AC66" s="353"/>
      <c r="AD66" s="100"/>
      <c r="AE66" s="96"/>
      <c r="AF66" s="352"/>
      <c r="AG66" s="353"/>
      <c r="AH66" s="100"/>
      <c r="AI66" s="96"/>
      <c r="AJ66" s="352"/>
      <c r="AK66" s="353"/>
      <c r="AL66" s="100"/>
      <c r="AM66" s="96"/>
      <c r="AN66" s="352"/>
      <c r="AO66" s="353"/>
      <c r="AP66" s="100"/>
      <c r="AQ66" s="96"/>
      <c r="AR66" s="341"/>
      <c r="AS66" s="342"/>
      <c r="AT66" s="100"/>
      <c r="AU66" s="96"/>
      <c r="AV66" s="341"/>
      <c r="AW66" s="342"/>
      <c r="AX66" s="100"/>
    </row>
    <row r="67" spans="1:50">
      <c r="C67" s="96"/>
      <c r="D67" s="341"/>
      <c r="E67" s="342"/>
      <c r="F67" s="98"/>
      <c r="G67" s="96"/>
      <c r="H67" s="341"/>
      <c r="I67" s="342"/>
      <c r="J67" s="100"/>
      <c r="K67" s="96"/>
      <c r="L67" s="341"/>
      <c r="M67" s="342"/>
      <c r="N67" s="100"/>
      <c r="O67" s="96"/>
      <c r="P67" s="341"/>
      <c r="Q67" s="342"/>
      <c r="R67" s="100"/>
      <c r="S67" s="96"/>
      <c r="T67" s="352"/>
      <c r="U67" s="353"/>
      <c r="V67" s="100"/>
      <c r="W67" s="96"/>
      <c r="X67" s="352"/>
      <c r="Y67" s="353"/>
      <c r="Z67" s="100"/>
      <c r="AA67" s="96"/>
      <c r="AB67" s="352"/>
      <c r="AC67" s="353"/>
      <c r="AD67" s="100"/>
      <c r="AE67" s="96"/>
      <c r="AF67" s="352"/>
      <c r="AG67" s="353"/>
      <c r="AH67" s="100"/>
      <c r="AI67" s="96"/>
      <c r="AJ67" s="352"/>
      <c r="AK67" s="353"/>
      <c r="AL67" s="100"/>
      <c r="AM67" s="96"/>
      <c r="AN67" s="352"/>
      <c r="AO67" s="353"/>
      <c r="AP67" s="100"/>
      <c r="AQ67" s="96"/>
      <c r="AR67" s="341"/>
      <c r="AS67" s="342"/>
      <c r="AT67" s="100"/>
      <c r="AU67" s="96"/>
      <c r="AV67" s="341"/>
      <c r="AW67" s="342"/>
      <c r="AX67" s="100"/>
    </row>
    <row r="68" spans="1:50">
      <c r="C68" s="96"/>
      <c r="D68" s="341"/>
      <c r="E68" s="342"/>
      <c r="F68" s="98"/>
      <c r="G68" s="96"/>
      <c r="H68" s="341"/>
      <c r="I68" s="342"/>
      <c r="J68" s="100"/>
      <c r="K68" s="96"/>
      <c r="L68" s="341"/>
      <c r="M68" s="342"/>
      <c r="N68" s="100"/>
      <c r="O68" s="96"/>
      <c r="P68" s="341"/>
      <c r="Q68" s="342"/>
      <c r="R68" s="100"/>
      <c r="S68" s="96"/>
      <c r="T68" s="352"/>
      <c r="U68" s="353"/>
      <c r="V68" s="100"/>
      <c r="W68" s="96"/>
      <c r="X68" s="352"/>
      <c r="Y68" s="353"/>
      <c r="Z68" s="100"/>
      <c r="AA68" s="96"/>
      <c r="AB68" s="352"/>
      <c r="AC68" s="353"/>
      <c r="AD68" s="100"/>
      <c r="AE68" s="96"/>
      <c r="AF68" s="352"/>
      <c r="AG68" s="353"/>
      <c r="AH68" s="100"/>
      <c r="AI68" s="96"/>
      <c r="AJ68" s="352"/>
      <c r="AK68" s="353"/>
      <c r="AL68" s="100"/>
      <c r="AM68" s="96"/>
      <c r="AN68" s="352"/>
      <c r="AO68" s="353"/>
      <c r="AP68" s="100"/>
      <c r="AQ68" s="96"/>
      <c r="AR68" s="341"/>
      <c r="AS68" s="342"/>
      <c r="AT68" s="100"/>
      <c r="AU68" s="96"/>
      <c r="AV68" s="341"/>
      <c r="AW68" s="342"/>
      <c r="AX68" s="100"/>
    </row>
    <row r="69" spans="1:50">
      <c r="C69" s="96"/>
      <c r="D69" s="341"/>
      <c r="E69" s="342"/>
      <c r="F69" s="98"/>
      <c r="G69" s="96"/>
      <c r="H69" s="341"/>
      <c r="I69" s="342"/>
      <c r="J69" s="100"/>
      <c r="K69" s="96"/>
      <c r="L69" s="341"/>
      <c r="M69" s="342"/>
      <c r="N69" s="100"/>
      <c r="O69" s="96"/>
      <c r="P69" s="341"/>
      <c r="Q69" s="342"/>
      <c r="R69" s="100"/>
      <c r="S69" s="96"/>
      <c r="T69" s="352"/>
      <c r="U69" s="353"/>
      <c r="V69" s="100"/>
      <c r="W69" s="96"/>
      <c r="X69" s="352"/>
      <c r="Y69" s="353"/>
      <c r="Z69" s="100"/>
      <c r="AA69" s="96"/>
      <c r="AB69" s="352"/>
      <c r="AC69" s="353"/>
      <c r="AD69" s="100"/>
      <c r="AE69" s="96"/>
      <c r="AF69" s="352"/>
      <c r="AG69" s="353"/>
      <c r="AH69" s="100"/>
      <c r="AI69" s="96"/>
      <c r="AJ69" s="352"/>
      <c r="AK69" s="353"/>
      <c r="AL69" s="100"/>
      <c r="AM69" s="96"/>
      <c r="AN69" s="352"/>
      <c r="AO69" s="353"/>
      <c r="AP69" s="100"/>
      <c r="AQ69" s="96"/>
      <c r="AR69" s="341"/>
      <c r="AS69" s="342"/>
      <c r="AT69" s="100"/>
      <c r="AU69" s="96"/>
      <c r="AV69" s="341"/>
      <c r="AW69" s="342"/>
      <c r="AX69" s="100"/>
    </row>
    <row r="70" spans="1:50">
      <c r="C70" s="96"/>
      <c r="D70" s="341"/>
      <c r="E70" s="342"/>
      <c r="F70" s="98"/>
      <c r="G70" s="96"/>
      <c r="H70" s="341"/>
      <c r="I70" s="342"/>
      <c r="J70" s="100"/>
      <c r="K70" s="96"/>
      <c r="L70" s="341"/>
      <c r="M70" s="342"/>
      <c r="N70" s="100"/>
      <c r="O70" s="96"/>
      <c r="P70" s="341"/>
      <c r="Q70" s="342"/>
      <c r="R70" s="100"/>
      <c r="S70" s="96"/>
      <c r="T70" s="341"/>
      <c r="U70" s="342"/>
      <c r="V70" s="100"/>
      <c r="W70" s="96"/>
      <c r="X70" s="341"/>
      <c r="Y70" s="342"/>
      <c r="Z70" s="100"/>
      <c r="AA70" s="96"/>
      <c r="AB70" s="352"/>
      <c r="AC70" s="353"/>
      <c r="AD70" s="100"/>
      <c r="AE70" s="96"/>
      <c r="AF70" s="352"/>
      <c r="AG70" s="353"/>
      <c r="AH70" s="100"/>
      <c r="AI70" s="96"/>
      <c r="AJ70" s="352"/>
      <c r="AK70" s="353"/>
      <c r="AL70" s="100"/>
      <c r="AM70" s="96"/>
      <c r="AN70" s="352"/>
      <c r="AO70" s="353"/>
      <c r="AP70" s="100"/>
      <c r="AQ70" s="96"/>
      <c r="AR70" s="341"/>
      <c r="AS70" s="342"/>
      <c r="AT70" s="100"/>
      <c r="AU70" s="96"/>
      <c r="AV70" s="341"/>
      <c r="AW70" s="342"/>
      <c r="AX70" s="100"/>
    </row>
    <row r="71" spans="1:50" ht="15.75" thickBot="1">
      <c r="C71" s="97"/>
      <c r="D71" s="343"/>
      <c r="E71" s="344"/>
      <c r="F71" s="99"/>
      <c r="G71" s="97"/>
      <c r="H71" s="343"/>
      <c r="I71" s="344"/>
      <c r="J71" s="101"/>
      <c r="K71" s="97"/>
      <c r="L71" s="343"/>
      <c r="M71" s="344"/>
      <c r="N71" s="101"/>
      <c r="O71" s="97"/>
      <c r="P71" s="343"/>
      <c r="Q71" s="344"/>
      <c r="R71" s="101"/>
      <c r="S71" s="97"/>
      <c r="T71" s="362"/>
      <c r="U71" s="363"/>
      <c r="V71" s="101"/>
      <c r="W71" s="97"/>
      <c r="X71" s="362"/>
      <c r="Y71" s="363"/>
      <c r="Z71" s="101"/>
      <c r="AA71" s="97"/>
      <c r="AB71" s="354"/>
      <c r="AC71" s="355"/>
      <c r="AD71" s="101"/>
      <c r="AE71" s="97"/>
      <c r="AF71" s="354"/>
      <c r="AG71" s="355"/>
      <c r="AH71" s="101"/>
      <c r="AI71" s="97"/>
      <c r="AJ71" s="354"/>
      <c r="AK71" s="355"/>
      <c r="AL71" s="101"/>
      <c r="AM71" s="97"/>
      <c r="AN71" s="354"/>
      <c r="AO71" s="355"/>
      <c r="AP71" s="101"/>
      <c r="AQ71" s="97"/>
      <c r="AR71" s="343"/>
      <c r="AS71" s="344"/>
      <c r="AT71" s="101"/>
      <c r="AU71" s="97"/>
      <c r="AV71" s="343"/>
      <c r="AW71" s="344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3839.35</v>
      </c>
      <c r="L5" s="422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162</v>
      </c>
      <c r="N6" s="1"/>
      <c r="R6" s="3"/>
    </row>
    <row r="7" spans="1:22" ht="15.75">
      <c r="A7" s="112">
        <f>'08'!A7+(B7-SUM(D7:F7))</f>
        <v>368.04000000000008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7236.18</v>
      </c>
      <c r="L7" s="424"/>
      <c r="M7" s="1"/>
      <c r="N7" s="1"/>
      <c r="R7" s="3"/>
    </row>
    <row r="8" spans="1:22" ht="15.75">
      <c r="A8" s="112">
        <f>'08'!A8+(B8-SUM(D8:F8))</f>
        <v>-112.30999999999996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3">
        <v>163.63</v>
      </c>
      <c r="L9" s="424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'08'!A11+(B11-SUM(D11:F11))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105+50</f>
        <v>155</v>
      </c>
      <c r="L11" s="424"/>
      <c r="M11" s="1"/>
      <c r="N11" s="1"/>
      <c r="R11" s="3"/>
    </row>
    <row r="12" spans="1:22" ht="15.75">
      <c r="A12" s="112">
        <f>'08'!A12+(B12-SUM(D12:F12))</f>
        <v>270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'08'!A13+(B13-SUM(D13:F13))</f>
        <v>524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1511.2400000000002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271.14999999999986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19.840000000000011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249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709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1087.8999999999999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699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705</v>
      </c>
      <c r="H46" s="1"/>
      <c r="I46" s="402"/>
      <c r="J46" s="406" t="s">
        <v>741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696</v>
      </c>
      <c r="D48" s="137">
        <v>67.47</v>
      </c>
      <c r="E48" s="138"/>
      <c r="F48" s="138"/>
      <c r="G48" s="16" t="s">
        <v>714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715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716</v>
      </c>
      <c r="H50" s="1"/>
      <c r="I50" s="401" t="str">
        <f>AÑO!A13</f>
        <v>Gubernamental</v>
      </c>
      <c r="J50" s="404" t="s">
        <v>707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724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725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733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708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2.5400000000000773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693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694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703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717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740</v>
      </c>
      <c r="D79" s="135">
        <v>122.95</v>
      </c>
      <c r="E79" s="139"/>
      <c r="F79" s="139"/>
      <c r="G79" s="17" t="s">
        <v>734</v>
      </c>
      <c r="H79" s="1"/>
      <c r="M79" s="1"/>
      <c r="R79" s="3"/>
    </row>
    <row r="80" spans="1:18" ht="16.5" thickBot="1">
      <c r="A80" s="112">
        <f>SUM(A66:A79)</f>
        <v>64.590000000000074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51.07</v>
      </c>
      <c r="E86" s="138"/>
      <c r="F86" s="138"/>
      <c r="G86" s="16" t="s">
        <v>704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71.74000000000008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801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338.58999999999969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5015.2515974244989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/>
      <c r="E186" s="138">
        <f>55.89+95.49</f>
        <v>151.38</v>
      </c>
      <c r="F186" s="138"/>
      <c r="G186" s="16" t="s">
        <v>695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207</v>
      </c>
      <c r="D187" s="137">
        <v>20.98</v>
      </c>
      <c r="E187" s="138"/>
      <c r="F187" s="138"/>
      <c r="G187" s="16" t="s">
        <v>700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731</v>
      </c>
      <c r="H189" s="89">
        <f>9.99+8.99+6.99+3.99+7.99</f>
        <v>37.950000000000003</v>
      </c>
      <c r="I189" s="1" t="s">
        <v>729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735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736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739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9" ht="15" customHeight="1" thickBot="1">
      <c r="B243" s="416"/>
      <c r="C243" s="417"/>
      <c r="D243" s="417"/>
      <c r="E243" s="417"/>
      <c r="F243" s="417"/>
      <c r="G243" s="418"/>
    </row>
    <row r="244" spans="1:9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9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320</v>
      </c>
      <c r="D246" s="137">
        <v>105.14</v>
      </c>
      <c r="E246" s="138"/>
      <c r="F246" s="138"/>
      <c r="G246" s="16" t="s">
        <v>697</v>
      </c>
    </row>
    <row r="247" spans="1:9" ht="15" customHeight="1">
      <c r="A247" s="112"/>
      <c r="B247" s="134">
        <v>343.08</v>
      </c>
      <c r="C247" s="16" t="s">
        <v>207</v>
      </c>
      <c r="D247" s="137">
        <v>203.92</v>
      </c>
      <c r="E247" s="138"/>
      <c r="F247" s="138"/>
      <c r="G247" s="16" t="s">
        <v>721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737</v>
      </c>
      <c r="H248" s="89">
        <f>33.98+1.99</f>
        <v>35.97</v>
      </c>
      <c r="I248" s="89" t="s">
        <v>729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739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646</v>
      </c>
      <c r="D257" s="137"/>
      <c r="E257" s="138">
        <f>100.67+100.67</f>
        <v>201.34</v>
      </c>
      <c r="F257" s="138"/>
      <c r="G257" s="16" t="s">
        <v>323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156.63999999999973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602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719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738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216.63999999999973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/>
      <c r="E306" s="138"/>
      <c r="F306" s="138">
        <v>60</v>
      </c>
      <c r="G306" s="16" t="s">
        <v>712</v>
      </c>
    </row>
    <row r="307" spans="2:7">
      <c r="B307" s="134"/>
      <c r="C307" s="27"/>
      <c r="D307" s="137">
        <v>35.96</v>
      </c>
      <c r="E307" s="138"/>
      <c r="F307" s="138"/>
      <c r="G307" s="16" t="s">
        <v>713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718</v>
      </c>
    </row>
    <row r="309" spans="2:7">
      <c r="B309" s="134"/>
      <c r="C309" s="16"/>
      <c r="D309" s="137"/>
      <c r="E309" s="138"/>
      <c r="F309" s="138">
        <v>60</v>
      </c>
      <c r="G309" s="16" t="s">
        <v>742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9" ht="15" customHeight="1" thickBot="1">
      <c r="B323" s="433"/>
      <c r="C323" s="434"/>
      <c r="D323" s="434"/>
      <c r="E323" s="434"/>
      <c r="F323" s="434"/>
      <c r="G323" s="435"/>
    </row>
    <row r="324" spans="2:9">
      <c r="B324" s="426" t="s">
        <v>8</v>
      </c>
      <c r="C324" s="427"/>
      <c r="D324" s="426" t="s">
        <v>9</v>
      </c>
      <c r="E324" s="428"/>
      <c r="F324" s="428"/>
      <c r="G324" s="427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698</v>
      </c>
    </row>
    <row r="327" spans="2:9">
      <c r="B327" s="134">
        <v>100</v>
      </c>
      <c r="C327" s="16" t="s">
        <v>699</v>
      </c>
      <c r="D327" s="137">
        <v>15</v>
      </c>
      <c r="E327" s="138"/>
      <c r="F327" s="138"/>
      <c r="G327" s="16" t="s">
        <v>726</v>
      </c>
    </row>
    <row r="328" spans="2:9">
      <c r="B328" s="134">
        <v>155.97</v>
      </c>
      <c r="C328" s="16" t="s">
        <v>207</v>
      </c>
      <c r="D328" s="137"/>
      <c r="E328" s="138">
        <v>46.98</v>
      </c>
      <c r="F328" s="138"/>
      <c r="G328" s="16" t="s">
        <v>739</v>
      </c>
      <c r="H328" s="89">
        <f>9.99+34.99+2</f>
        <v>46.980000000000004</v>
      </c>
      <c r="I328" s="89" t="s">
        <v>729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225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3">
        <v>3984.38</v>
      </c>
      <c r="L5" s="42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743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162</v>
      </c>
      <c r="N6" s="1"/>
      <c r="R6" s="3"/>
    </row>
    <row r="7" spans="1:22" ht="15.75">
      <c r="A7" s="112">
        <f>'09'!A7+(B7-SUM(D7:F7))</f>
        <v>435.22000000000008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8003.5599999999995</v>
      </c>
      <c r="L7" s="424"/>
      <c r="M7" s="1"/>
      <c r="N7" s="1"/>
      <c r="R7" s="3"/>
    </row>
    <row r="8" spans="1:22" ht="15.75">
      <c r="A8" s="112">
        <f>'09'!A8+(B8-SUM(D8:F8))</f>
        <v>-210.18999999999994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157.43</v>
      </c>
      <c r="L9" s="424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'09'!A11+(B11-SUM(D11:F11))</f>
        <v>30.25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60+20</f>
        <v>80</v>
      </c>
      <c r="L11" s="424"/>
      <c r="M11" s="1"/>
      <c r="N11" s="1"/>
      <c r="R11" s="3"/>
    </row>
    <row r="12" spans="1:22" ht="15.75">
      <c r="A12" s="112">
        <f>'09'!A12+(B12-SUM(D12:F12))</f>
        <v>270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'09'!A13+(B13-SUM(D13:F13))</f>
        <v>530.5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1487.04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/>
      <c r="K25" s="405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275.15999999999985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19.890000000000011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348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538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769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249</v>
      </c>
      <c r="K33" s="407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1027.77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342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772</v>
      </c>
      <c r="K42" s="407"/>
      <c r="L42" s="229">
        <v>52.06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747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751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758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765</v>
      </c>
      <c r="H50" s="1"/>
      <c r="I50" s="401" t="str">
        <f>AÑO!A13</f>
        <v>Gubernamental</v>
      </c>
      <c r="J50" s="404" t="s">
        <v>707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766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767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768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770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778</v>
      </c>
      <c r="H55" s="1"/>
      <c r="I55" s="401" t="str">
        <f>AÑO!A14</f>
        <v>Mutualite/DKV</v>
      </c>
      <c r="J55" s="404" t="s">
        <v>384</v>
      </c>
      <c r="K55" s="405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779</v>
      </c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57.390000000000072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749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759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764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796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226</v>
      </c>
      <c r="D79" s="135">
        <f>22.3+25.93</f>
        <v>48.230000000000004</v>
      </c>
      <c r="E79" s="139"/>
      <c r="F79" s="139"/>
      <c r="G79" s="17" t="s">
        <v>791</v>
      </c>
      <c r="H79" s="1"/>
      <c r="M79" s="1"/>
      <c r="R79" s="3"/>
    </row>
    <row r="80" spans="1:18" ht="16.5" thickBot="1">
      <c r="A80" s="112">
        <f>SUM(A66:A79)</f>
        <v>81.210000000000065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1</v>
      </c>
      <c r="E86" s="138"/>
      <c r="F86" s="138"/>
      <c r="G86" s="16" t="s">
        <v>746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755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757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776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777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780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800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802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71.830000000000084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851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722.45159742449755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772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5065.341597424499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794</v>
      </c>
      <c r="D130" s="137">
        <v>65</v>
      </c>
      <c r="E130" s="138"/>
      <c r="F130" s="138"/>
      <c r="G130" s="16" t="s">
        <v>795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29.38+32.98-7.35-8.25</f>
        <v>46.76</v>
      </c>
      <c r="E146" s="138"/>
      <c r="F146" s="138"/>
      <c r="G146" s="16" t="s">
        <v>747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38</f>
        <v>38</v>
      </c>
      <c r="E186" s="138"/>
      <c r="F186" s="138"/>
      <c r="G186" s="16" t="s">
        <v>752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763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787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788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320</v>
      </c>
      <c r="D246" s="137">
        <f>2.99+15.99-2.4</f>
        <v>16.580000000000002</v>
      </c>
      <c r="E246" s="138"/>
      <c r="F246" s="138"/>
      <c r="G246" s="16" t="s">
        <v>747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768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775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789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706</v>
      </c>
      <c r="D257" s="137"/>
      <c r="E257" s="138">
        <v>100.67</v>
      </c>
      <c r="F257" s="138"/>
      <c r="G257" s="16" t="s">
        <v>323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745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160.73999999999972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753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754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790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793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260.73999999999972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>
        <f>37.5+37.5</f>
        <v>75</v>
      </c>
      <c r="E306" s="138"/>
      <c r="F306" s="138"/>
      <c r="G306" s="16" t="s">
        <v>756</v>
      </c>
    </row>
    <row r="307" spans="2:7">
      <c r="B307" s="134">
        <f>28.54*2</f>
        <v>57.08</v>
      </c>
      <c r="C307" s="27" t="s">
        <v>384</v>
      </c>
      <c r="D307" s="137"/>
      <c r="E307" s="138"/>
      <c r="F307" s="138">
        <v>50</v>
      </c>
      <c r="G307" s="16" t="s">
        <v>761</v>
      </c>
    </row>
    <row r="308" spans="2:7">
      <c r="B308" s="134"/>
      <c r="C308" s="27"/>
      <c r="D308" s="137">
        <v>35.96</v>
      </c>
      <c r="E308" s="138"/>
      <c r="F308" s="138"/>
      <c r="G308" s="16" t="s">
        <v>762</v>
      </c>
    </row>
    <row r="309" spans="2:7">
      <c r="B309" s="134"/>
      <c r="C309" s="16"/>
      <c r="D309" s="137">
        <v>16.21</v>
      </c>
      <c r="E309" s="138"/>
      <c r="F309" s="138"/>
      <c r="G309" s="16" t="s">
        <v>782</v>
      </c>
    </row>
    <row r="310" spans="2:7">
      <c r="B310" s="134"/>
      <c r="C310" s="16"/>
      <c r="D310" s="137"/>
      <c r="E310" s="138"/>
      <c r="F310" s="138">
        <v>50</v>
      </c>
      <c r="G310" s="16" t="s">
        <v>781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783</v>
      </c>
    </row>
    <row r="312" spans="2:7">
      <c r="B312" s="134"/>
      <c r="C312" s="16"/>
      <c r="D312" s="137"/>
      <c r="E312" s="138"/>
      <c r="F312" s="138">
        <v>60</v>
      </c>
      <c r="G312" s="16" t="s">
        <v>784</v>
      </c>
    </row>
    <row r="313" spans="2:7">
      <c r="B313" s="134"/>
      <c r="C313" s="16"/>
      <c r="D313" s="137">
        <v>5.3</v>
      </c>
      <c r="E313" s="138"/>
      <c r="F313" s="138"/>
      <c r="G313" s="16" t="s">
        <v>786</v>
      </c>
    </row>
    <row r="314" spans="2:7">
      <c r="B314" s="134"/>
      <c r="C314" s="16"/>
      <c r="D314" s="137">
        <v>12.95</v>
      </c>
      <c r="E314" s="138"/>
      <c r="F314" s="138"/>
      <c r="G314" s="16" t="s">
        <v>799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797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798</v>
      </c>
    </row>
    <row r="317" spans="2:7">
      <c r="B317" s="134"/>
      <c r="C317" s="16"/>
      <c r="D317" s="137"/>
      <c r="E317" s="138"/>
      <c r="F317" s="138">
        <v>4.5</v>
      </c>
      <c r="G317" s="16" t="s">
        <v>803</v>
      </c>
    </row>
    <row r="318" spans="2:7">
      <c r="B318" s="134"/>
      <c r="C318" s="16"/>
      <c r="D318" s="137"/>
      <c r="E318" s="138"/>
      <c r="F318" s="138">
        <v>84.93</v>
      </c>
      <c r="G318" s="16" t="s">
        <v>804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748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330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772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744</v>
      </c>
    </row>
    <row r="407" spans="2:7">
      <c r="B407" s="134">
        <v>0.89</v>
      </c>
      <c r="C407" s="16" t="s">
        <v>342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330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772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225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1100</v>
      </c>
      <c r="C469" s="16" t="s">
        <v>330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772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190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162</v>
      </c>
      <c r="N6" s="1"/>
      <c r="R6" s="3"/>
    </row>
    <row r="7" spans="1:22" ht="15.75">
      <c r="A7" s="112">
        <f>'10'!A7+(B7-SUM(D7:F7))</f>
        <v>502.40000000000009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'10'!A8+(B8-SUM(D8:F8))</f>
        <v>-112.30999999999995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'10'!A11+(B11-SUM(D11:F11))</f>
        <v>30.259999999999998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'10'!A12+(B12-SUM(D12:F12))</f>
        <v>270</v>
      </c>
      <c r="B12" s="134">
        <v>0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'10'!A13+(B13-SUM(D13:F13))</f>
        <v>537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2047.8700000000001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279.16999999999985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19.27000000000001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348</v>
      </c>
      <c r="K30" s="405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599</v>
      </c>
      <c r="K31" s="407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1071.1599999999999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807</v>
      </c>
      <c r="K40" s="405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813</v>
      </c>
      <c r="K45" s="405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812</v>
      </c>
      <c r="H46" s="1"/>
      <c r="I46" s="402"/>
      <c r="J46" s="406" t="s">
        <v>827</v>
      </c>
      <c r="K46" s="407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823</v>
      </c>
      <c r="H47" s="1"/>
      <c r="I47" s="402"/>
      <c r="J47" s="406" t="s">
        <v>828</v>
      </c>
      <c r="K47" s="407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825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831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836</v>
      </c>
      <c r="H50" s="1"/>
      <c r="I50" s="401" t="str">
        <f>AÑO!A13</f>
        <v>Gubernamental</v>
      </c>
      <c r="J50" s="404" t="s">
        <v>818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842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844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817</v>
      </c>
      <c r="K55" s="405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600</v>
      </c>
      <c r="K56" s="407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810</v>
      </c>
      <c r="K60" s="405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79.190000000000083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826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838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837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845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113.01000000000008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>
        <v>43.28</v>
      </c>
      <c r="E86" s="138"/>
      <c r="F86" s="138"/>
      <c r="G86" s="16" t="s">
        <v>846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71.920000000000087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901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802.45159742449755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5115.4315974244992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794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833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64.16</v>
      </c>
      <c r="E186" s="138"/>
      <c r="F186" s="138"/>
      <c r="G186" s="16" t="s">
        <v>839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774</v>
      </c>
      <c r="D257" s="137"/>
      <c r="E257" s="138"/>
      <c r="F257" s="138"/>
      <c r="G257" s="16" t="s">
        <v>323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9" ht="15" customHeight="1" thickBot="1">
      <c r="B263" s="416"/>
      <c r="C263" s="417"/>
      <c r="D263" s="417"/>
      <c r="E263" s="417"/>
      <c r="F263" s="417"/>
      <c r="G263" s="418"/>
    </row>
    <row r="264" spans="1:9">
      <c r="B264" s="426" t="s">
        <v>8</v>
      </c>
      <c r="C264" s="427"/>
      <c r="D264" s="426" t="s">
        <v>9</v>
      </c>
      <c r="E264" s="428"/>
      <c r="F264" s="428"/>
      <c r="G264" s="427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210.73999999999972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350.73999999999972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633</v>
      </c>
      <c r="D306" s="137"/>
      <c r="E306" s="138"/>
      <c r="F306" s="138">
        <v>80</v>
      </c>
      <c r="G306" s="16" t="s">
        <v>816</v>
      </c>
    </row>
    <row r="307" spans="2:8">
      <c r="B307" s="134">
        <v>300</v>
      </c>
      <c r="C307" s="27" t="s">
        <v>820</v>
      </c>
      <c r="D307" s="137">
        <v>82.87</v>
      </c>
      <c r="E307" s="138"/>
      <c r="F307" s="138"/>
      <c r="G307" s="16" t="s">
        <v>819</v>
      </c>
    </row>
    <row r="308" spans="2:8">
      <c r="B308" s="134">
        <f>L56</f>
        <v>93.02</v>
      </c>
      <c r="C308" s="27" t="s">
        <v>384</v>
      </c>
      <c r="D308" s="137">
        <v>33</v>
      </c>
      <c r="E308" s="138"/>
      <c r="F308" s="138"/>
      <c r="G308" s="16" t="s">
        <v>822</v>
      </c>
    </row>
    <row r="309" spans="2:8">
      <c r="B309" s="134"/>
      <c r="C309" s="16"/>
      <c r="D309" s="137">
        <v>40.18</v>
      </c>
      <c r="E309" s="138"/>
      <c r="F309" s="138"/>
      <c r="G309" s="16" t="s">
        <v>824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829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832</v>
      </c>
    </row>
    <row r="312" spans="2:8">
      <c r="B312" s="134"/>
      <c r="C312" s="16"/>
      <c r="D312" s="137">
        <v>50</v>
      </c>
      <c r="E312" s="138"/>
      <c r="F312" s="138"/>
      <c r="G312" s="16" t="s">
        <v>835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815</v>
      </c>
    </row>
    <row r="327" spans="2:7">
      <c r="B327" s="134">
        <v>30</v>
      </c>
      <c r="C327" s="16" t="s">
        <v>814</v>
      </c>
      <c r="D327" s="137"/>
      <c r="E327" s="138"/>
      <c r="F327" s="138"/>
      <c r="G327" s="16"/>
    </row>
    <row r="328" spans="2:7">
      <c r="B328" s="134">
        <v>250</v>
      </c>
      <c r="C328" s="16" t="s">
        <v>827</v>
      </c>
      <c r="D328" s="137"/>
      <c r="E328" s="138"/>
      <c r="F328" s="138"/>
      <c r="G328" s="16"/>
    </row>
    <row r="329" spans="2:7">
      <c r="B329" s="134">
        <v>150</v>
      </c>
      <c r="C329" s="16" t="s">
        <v>828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773</v>
      </c>
      <c r="D359" s="135">
        <v>65</v>
      </c>
      <c r="E359" s="139"/>
      <c r="F359" s="139"/>
      <c r="G359" s="17" t="s">
        <v>806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834</v>
      </c>
    </row>
    <row r="368" spans="1:7">
      <c r="B368" s="134"/>
      <c r="C368" s="16"/>
      <c r="D368" s="137">
        <v>34</v>
      </c>
      <c r="E368" s="138"/>
      <c r="F368" s="138"/>
      <c r="G368" s="16" t="s">
        <v>841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805</v>
      </c>
    </row>
    <row r="407" spans="2:7">
      <c r="B407" s="134">
        <v>42.84</v>
      </c>
      <c r="C407" s="16" t="s">
        <v>807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225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843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193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4501.8900000000003</v>
      </c>
      <c r="L5" s="422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3">
        <v>620.14</v>
      </c>
      <c r="L6" s="424"/>
      <c r="M6" s="1" t="s">
        <v>162</v>
      </c>
      <c r="N6" s="1"/>
      <c r="R6" s="3"/>
    </row>
    <row r="7" spans="1:22" ht="15.75">
      <c r="A7" s="112">
        <f>'11'!A7+(B7-SUM(D7:F7))</f>
        <v>569.58000000000015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7374.65</f>
        <v>7374.65</v>
      </c>
      <c r="L7" s="424"/>
      <c r="M7" s="1"/>
      <c r="N7" s="1"/>
      <c r="R7" s="3"/>
    </row>
    <row r="8" spans="1:22" ht="15.75">
      <c r="A8" s="112">
        <f>'11'!A8+(B8-SUM(D8:F8))</f>
        <v>-112.30999999999995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6307.51</v>
      </c>
      <c r="L8" s="42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f>4292.78+2.31</f>
        <v>4295.09</v>
      </c>
      <c r="L9" s="424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'11'!A11+(B11-SUM(D11:F11))</f>
        <v>60.5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3">
        <f>40+70</f>
        <v>110</v>
      </c>
      <c r="L11" s="424"/>
      <c r="M11" s="1"/>
      <c r="N11" s="1"/>
      <c r="R11" s="3"/>
    </row>
    <row r="12" spans="1:22" ht="15.75">
      <c r="A12" s="112">
        <f>'11'!A12+(B12-SUM(D12:F12))</f>
        <v>6.9599999999999795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</f>
        <v>5092.08</v>
      </c>
      <c r="L12" s="424"/>
      <c r="M12" s="92"/>
      <c r="N12" s="1"/>
      <c r="R12" s="3"/>
    </row>
    <row r="13" spans="1:22" ht="15.75">
      <c r="A13" s="112">
        <f>'11'!A13+(B13-SUM(D13:F13))</f>
        <v>543.5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2290.0100000000002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'11'!A27+(B27-SUM(D27:F27))</f>
        <v>469.16999999999985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'11'!A29+(B29-SUM(D29:F29))</f>
        <v>37.27000000000001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'11'!A30+(B30-SUM(D30:F30))</f>
        <v>-336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348</v>
      </c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2224.1600000000003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 t="s">
        <v>818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'11'!A66+(B66-SUM(D66:F78))+B67</f>
        <v>254.19000000000008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298.0100000000001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196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4400.9815974244993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140.92000000000007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951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882.45159742449755</v>
      </c>
      <c r="B109" s="134">
        <v>80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5492.9015974244994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794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24.87</v>
      </c>
      <c r="E146" s="138"/>
      <c r="F146" s="138"/>
      <c r="G146" s="16" t="s">
        <v>863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848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821</v>
      </c>
      <c r="D257" s="137"/>
      <c r="E257" s="138"/>
      <c r="F257" s="138"/>
      <c r="G257" s="16" t="s">
        <v>323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260.73999999999972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445.73999999999972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773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225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847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55" workbookViewId="0">
      <selection activeCell="J63" sqref="J63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448" t="s">
        <v>888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449"/>
      <c r="C64" s="90"/>
      <c r="D64" s="90"/>
      <c r="H64" s="119"/>
      <c r="I64" s="119"/>
    </row>
    <row r="65" spans="2:7">
      <c r="B65" s="448" t="s">
        <v>889</v>
      </c>
    </row>
    <row r="66" spans="2:7">
      <c r="C66" t="s">
        <v>868</v>
      </c>
      <c r="D66">
        <v>16420</v>
      </c>
    </row>
    <row r="67" spans="2:7">
      <c r="C67" t="s">
        <v>867</v>
      </c>
      <c r="D67">
        <f>D66*0.2</f>
        <v>3284</v>
      </c>
    </row>
    <row r="68" spans="2:7">
      <c r="B68" t="s">
        <v>859</v>
      </c>
      <c r="C68" t="s">
        <v>860</v>
      </c>
      <c r="D68" t="s">
        <v>862</v>
      </c>
      <c r="E68" t="s">
        <v>861</v>
      </c>
      <c r="F68" t="s">
        <v>93</v>
      </c>
      <c r="G68" t="s">
        <v>864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176</v>
      </c>
      <c r="B3" s="114">
        <f>Historico!I25</f>
        <v>43739</v>
      </c>
      <c r="D3" s="44"/>
      <c r="E3" s="45"/>
    </row>
    <row r="4" spans="1:14" ht="12.75" customHeight="1">
      <c r="A4" t="s">
        <v>175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674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179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234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178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A19" workbookViewId="0">
      <selection activeCell="S38" sqref="S3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418</v>
      </c>
      <c r="B1" s="240"/>
      <c r="C1" s="241"/>
      <c r="D1" s="319"/>
      <c r="E1" s="242"/>
      <c r="F1" s="243" t="s">
        <v>419</v>
      </c>
      <c r="G1" s="244"/>
      <c r="H1" s="244"/>
      <c r="I1" s="244"/>
      <c r="J1" s="244"/>
      <c r="K1" s="245" t="s">
        <v>420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421</v>
      </c>
      <c r="B2" s="252" t="s">
        <v>422</v>
      </c>
      <c r="C2" s="252" t="s">
        <v>423</v>
      </c>
      <c r="D2" s="320" t="s">
        <v>478</v>
      </c>
      <c r="E2" s="252" t="s">
        <v>424</v>
      </c>
      <c r="F2" s="253" t="s">
        <v>425</v>
      </c>
      <c r="G2" s="254" t="s">
        <v>426</v>
      </c>
      <c r="H2" s="254" t="s">
        <v>427</v>
      </c>
      <c r="I2" s="254" t="s">
        <v>428</v>
      </c>
      <c r="J2" s="254" t="s">
        <v>7</v>
      </c>
      <c r="K2" s="255" t="s">
        <v>425</v>
      </c>
      <c r="L2" s="256" t="s">
        <v>426</v>
      </c>
      <c r="M2" s="256" t="s">
        <v>428</v>
      </c>
      <c r="N2" s="257" t="s">
        <v>7</v>
      </c>
      <c r="O2" s="258" t="s">
        <v>7</v>
      </c>
      <c r="P2" s="259" t="s">
        <v>429</v>
      </c>
      <c r="Q2" s="259" t="s">
        <v>771</v>
      </c>
      <c r="R2" s="259" t="s">
        <v>93</v>
      </c>
      <c r="S2" s="260" t="s">
        <v>430</v>
      </c>
      <c r="T2" s="261"/>
    </row>
    <row r="3" spans="1:27">
      <c r="A3" s="262" t="s">
        <v>431</v>
      </c>
      <c r="B3" s="262" t="s">
        <v>432</v>
      </c>
      <c r="C3" s="263">
        <v>5600</v>
      </c>
      <c r="D3" s="321">
        <f ca="1">_xlfn.DAYS(K3,F3)</f>
        <v>1623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43832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452</v>
      </c>
    </row>
    <row r="4" spans="1:27">
      <c r="A4" s="262" t="s">
        <v>433</v>
      </c>
      <c r="B4" s="262" t="s">
        <v>330</v>
      </c>
      <c r="C4" s="263">
        <v>4090</v>
      </c>
      <c r="D4" s="321">
        <f ca="1">_xlfn.DAYS(K4,F4)</f>
        <v>227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43832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452</v>
      </c>
      <c r="T4" s="339"/>
    </row>
    <row r="5" spans="1:27">
      <c r="A5" s="262" t="s">
        <v>433</v>
      </c>
      <c r="B5" s="262" t="s">
        <v>434</v>
      </c>
      <c r="C5" s="263">
        <v>5100</v>
      </c>
      <c r="D5" s="321">
        <f ca="1">_xlfn.DAYS(K5,F5)</f>
        <v>678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43832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452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2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  <c r="M10" s="443"/>
      <c r="N10" s="443"/>
      <c r="O10" s="443"/>
      <c r="P10" s="443"/>
      <c r="Q10" s="443"/>
      <c r="R10" s="443"/>
      <c r="S10" s="443"/>
    </row>
    <row r="11" spans="1:27">
      <c r="A11" s="444" t="s">
        <v>435</v>
      </c>
      <c r="B11" s="445"/>
      <c r="C11" s="445"/>
      <c r="D11" s="445"/>
      <c r="E11" s="445"/>
      <c r="F11" s="445"/>
      <c r="G11" s="445"/>
      <c r="H11" s="445"/>
      <c r="I11" s="445"/>
      <c r="J11" s="445"/>
      <c r="K11" s="445"/>
      <c r="L11" s="445"/>
      <c r="M11" s="445"/>
      <c r="N11" s="445"/>
      <c r="O11" s="445"/>
      <c r="P11" s="445"/>
      <c r="Q11" s="445"/>
      <c r="R11" s="445"/>
      <c r="S11" s="445"/>
    </row>
    <row r="12" spans="1:27">
      <c r="A12" s="290" t="s">
        <v>421</v>
      </c>
      <c r="B12" s="290" t="s">
        <v>422</v>
      </c>
      <c r="C12" s="290" t="s">
        <v>423</v>
      </c>
      <c r="D12" s="323" t="s">
        <v>478</v>
      </c>
      <c r="E12" s="290" t="s">
        <v>424</v>
      </c>
      <c r="F12" s="291" t="s">
        <v>425</v>
      </c>
      <c r="G12" s="292" t="s">
        <v>426</v>
      </c>
      <c r="H12" s="292" t="s">
        <v>427</v>
      </c>
      <c r="I12" s="292" t="s">
        <v>428</v>
      </c>
      <c r="J12" s="292" t="s">
        <v>7</v>
      </c>
      <c r="K12" s="293" t="s">
        <v>425</v>
      </c>
      <c r="L12" s="294" t="s">
        <v>426</v>
      </c>
      <c r="M12" s="294" t="s">
        <v>428</v>
      </c>
      <c r="N12" s="295" t="s">
        <v>7</v>
      </c>
      <c r="O12" s="296" t="s">
        <v>7</v>
      </c>
      <c r="P12" s="297" t="s">
        <v>429</v>
      </c>
      <c r="Q12" s="297" t="s">
        <v>771</v>
      </c>
      <c r="R12" s="297" t="s">
        <v>93</v>
      </c>
      <c r="S12" s="298" t="s">
        <v>430</v>
      </c>
      <c r="T12" s="338" t="s">
        <v>517</v>
      </c>
      <c r="U12" s="338" t="s">
        <v>690</v>
      </c>
      <c r="X12" s="329" t="s">
        <v>448</v>
      </c>
      <c r="Y12" s="329" t="s">
        <v>449</v>
      </c>
      <c r="Z12" s="329" t="s">
        <v>450</v>
      </c>
      <c r="AA12" s="329" t="s">
        <v>451</v>
      </c>
    </row>
    <row r="13" spans="1:27">
      <c r="A13" s="262" t="s">
        <v>431</v>
      </c>
      <c r="B13" s="262" t="s">
        <v>436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436</v>
      </c>
      <c r="T13" s="59">
        <f>R13+R14</f>
        <v>-4.7120556421087471E-2</v>
      </c>
      <c r="X13" s="39">
        <f t="shared" ref="X13:X41" ca="1" si="1">D13/D$43</f>
        <v>3.5267349260523322E-2</v>
      </c>
      <c r="Y13" s="119">
        <f ca="1">X13*E13</f>
        <v>141.74896183162684</v>
      </c>
      <c r="Z13" s="38"/>
    </row>
    <row r="14" spans="1:27">
      <c r="A14" s="262" t="s">
        <v>431</v>
      </c>
      <c r="B14" s="262" t="s">
        <v>436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437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431</v>
      </c>
      <c r="B15" s="262" t="s">
        <v>438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438</v>
      </c>
      <c r="X15" s="39">
        <f t="shared" ca="1" si="1"/>
        <v>3.1285551763367461E-2</v>
      </c>
      <c r="Y15" s="119">
        <f t="shared" ca="1" si="3"/>
        <v>0</v>
      </c>
    </row>
    <row r="16" spans="1:27">
      <c r="A16" s="262" t="s">
        <v>431</v>
      </c>
      <c r="B16" s="262" t="s">
        <v>439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439</v>
      </c>
      <c r="X16" s="39">
        <f t="shared" ca="1" si="1"/>
        <v>7.9635949943117172E-3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440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441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431</v>
      </c>
      <c r="B19" s="262" t="s">
        <v>439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439</v>
      </c>
      <c r="T19" s="59">
        <f>R19+R21+R24</f>
        <v>0.24013324659263452</v>
      </c>
      <c r="X19" s="39">
        <f t="shared" ca="1" si="1"/>
        <v>0.49431171786120592</v>
      </c>
      <c r="Y19" s="119">
        <f t="shared" ca="1" si="3"/>
        <v>2186.5384132423214</v>
      </c>
    </row>
    <row r="20" spans="1:25">
      <c r="A20" s="262" t="s">
        <v>431</v>
      </c>
      <c r="B20" s="262" t="s">
        <v>439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479</v>
      </c>
      <c r="X20" s="39">
        <f t="shared" ca="1" si="1"/>
        <v>0.35949943117178612</v>
      </c>
      <c r="Y20" s="119">
        <f t="shared" ca="1" si="3"/>
        <v>215.91535836177476</v>
      </c>
    </row>
    <row r="21" spans="1:25">
      <c r="A21" s="262" t="s">
        <v>431</v>
      </c>
      <c r="B21" s="262" t="s">
        <v>439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442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440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443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431</v>
      </c>
      <c r="B24" s="262" t="s">
        <v>439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444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431</v>
      </c>
      <c r="B25" s="262" t="s">
        <v>439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439</v>
      </c>
      <c r="X25" s="39">
        <f t="shared" ca="1" si="1"/>
        <v>0.16382252559726962</v>
      </c>
      <c r="Y25" s="119">
        <f t="shared" ca="1" si="3"/>
        <v>99.598071153583604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445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445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433</v>
      </c>
      <c r="B28" s="262" t="s">
        <v>434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434</v>
      </c>
      <c r="T28" s="59">
        <f>R28+R29+R30+R34</f>
        <v>0.15363527784681297</v>
      </c>
      <c r="U28" s="59">
        <f>(L28/L5)-1</f>
        <v>0</v>
      </c>
      <c r="X28" s="39">
        <f t="shared" ca="1" si="1"/>
        <v>0.3731513083048919</v>
      </c>
      <c r="Y28" s="119">
        <f t="shared" ca="1" si="3"/>
        <v>1921.017593447099</v>
      </c>
    </row>
    <row r="29" spans="1:25">
      <c r="A29" s="262" t="s">
        <v>433</v>
      </c>
      <c r="B29" s="262" t="s">
        <v>434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390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433</v>
      </c>
      <c r="B30" s="262" t="s">
        <v>434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390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433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446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433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447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433</v>
      </c>
      <c r="B33" s="262" t="s">
        <v>330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330</v>
      </c>
      <c r="X33" s="39">
        <f t="shared" ca="1" si="1"/>
        <v>1.2514220705346985E-2</v>
      </c>
      <c r="Y33" s="119">
        <f t="shared" ca="1" si="3"/>
        <v>51.67279658703071</v>
      </c>
    </row>
    <row r="34" spans="1:27">
      <c r="A34" s="262" t="s">
        <v>433</v>
      </c>
      <c r="B34" s="262" t="s">
        <v>434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390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433</v>
      </c>
      <c r="B35" s="262" t="s">
        <v>330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330</v>
      </c>
      <c r="U35" s="59"/>
      <c r="X35" s="39">
        <f t="shared" ca="1" si="1"/>
        <v>8.4755403868031848E-2</v>
      </c>
      <c r="Y35" s="119">
        <f t="shared" ca="1" si="3"/>
        <v>346.54339143344708</v>
      </c>
    </row>
    <row r="36" spans="1:27">
      <c r="A36" s="262" t="s">
        <v>433</v>
      </c>
      <c r="B36" s="262" t="s">
        <v>434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390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887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1.5625711035267349</v>
      </c>
      <c r="Y42" s="327">
        <f ca="1">SUM(Y13:Y41)</f>
        <v>4963.0345860568832</v>
      </c>
      <c r="Z42" s="328">
        <f ca="1">P42/Y42</f>
        <v>0.88632972563967194</v>
      </c>
      <c r="AA42" s="328">
        <f ca="1">Z42/(D$43/365)</f>
        <v>0.18402181448150184</v>
      </c>
    </row>
    <row r="43" spans="1:27">
      <c r="C43" s="119" t="s">
        <v>481</v>
      </c>
      <c r="D43" s="46">
        <f ca="1">_xlfn.DAYS(TODAY(),F13)</f>
        <v>1758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453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454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455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456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457</v>
      </c>
      <c r="U62" s="41" t="s">
        <v>458</v>
      </c>
      <c r="V62" s="38"/>
    </row>
    <row r="63" spans="3:29" ht="15.75">
      <c r="G63" s="38"/>
      <c r="S63" t="s">
        <v>459</v>
      </c>
      <c r="T63" s="308" t="s">
        <v>460</v>
      </c>
      <c r="U63" s="309"/>
      <c r="V63" s="38"/>
    </row>
    <row r="64" spans="3:29">
      <c r="F64" s="38"/>
      <c r="G64" s="38"/>
      <c r="S64" t="s">
        <v>461</v>
      </c>
      <c r="T64" s="308" t="s">
        <v>462</v>
      </c>
      <c r="U64" t="s">
        <v>463</v>
      </c>
    </row>
    <row r="65" spans="6:22">
      <c r="F65" s="38"/>
      <c r="G65" s="38"/>
      <c r="H65" s="38"/>
      <c r="K65" t="s">
        <v>464</v>
      </c>
      <c r="T65" s="38"/>
      <c r="U65" t="s">
        <v>465</v>
      </c>
      <c r="V65" s="38"/>
    </row>
    <row r="66" spans="6:22">
      <c r="K66" s="310">
        <v>43587</v>
      </c>
      <c r="T66" s="305"/>
    </row>
    <row r="67" spans="6:22">
      <c r="K67" t="s">
        <v>466</v>
      </c>
      <c r="T67" s="311"/>
    </row>
    <row r="68" spans="6:22">
      <c r="K68" t="s">
        <v>467</v>
      </c>
      <c r="M68" t="s">
        <v>146</v>
      </c>
      <c r="T68" s="308"/>
      <c r="U68">
        <f>5000/12</f>
        <v>416.66666666666669</v>
      </c>
    </row>
    <row r="69" spans="6:22">
      <c r="K69" t="s">
        <v>468</v>
      </c>
      <c r="U69">
        <f>2.2/U68</f>
        <v>5.28E-3</v>
      </c>
    </row>
    <row r="70" spans="6:22">
      <c r="K70" t="s">
        <v>469</v>
      </c>
      <c r="U70">
        <f>100*U69</f>
        <v>0.52800000000000002</v>
      </c>
    </row>
    <row r="71" spans="6:22">
      <c r="K71" t="s">
        <v>470</v>
      </c>
      <c r="U71">
        <f>2.2*12</f>
        <v>26.400000000000002</v>
      </c>
    </row>
    <row r="72" spans="6:22">
      <c r="K72" t="s">
        <v>471</v>
      </c>
    </row>
    <row r="73" spans="6:22">
      <c r="K73" t="s">
        <v>472</v>
      </c>
    </row>
    <row r="74" spans="6:22">
      <c r="K74" t="s">
        <v>473</v>
      </c>
    </row>
    <row r="75" spans="6:22">
      <c r="K75" t="s">
        <v>474</v>
      </c>
    </row>
    <row r="76" spans="6:22">
      <c r="K76" t="s">
        <v>475</v>
      </c>
    </row>
    <row r="77" spans="6:22">
      <c r="K77" t="s">
        <v>476</v>
      </c>
    </row>
    <row r="78" spans="6:22">
      <c r="K78" t="s">
        <v>477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4" workbookViewId="0">
      <selection activeCell="F5" sqref="F5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6" t="s">
        <v>487</v>
      </c>
      <c r="B1" s="446"/>
      <c r="C1" s="446"/>
      <c r="D1" s="446"/>
      <c r="E1" s="446"/>
    </row>
    <row r="2" spans="1:5">
      <c r="A2" s="331" t="s">
        <v>483</v>
      </c>
      <c r="B2" s="332" t="s">
        <v>86</v>
      </c>
      <c r="C2" s="332" t="s">
        <v>484</v>
      </c>
      <c r="D2" s="332" t="s">
        <v>485</v>
      </c>
      <c r="E2" s="270"/>
    </row>
    <row r="3" spans="1:5">
      <c r="A3" s="333" t="s">
        <v>50</v>
      </c>
      <c r="B3" s="334">
        <v>7300</v>
      </c>
      <c r="C3" s="304">
        <f>B3/B$7</f>
        <v>0.78074866310160429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0.16042780748663102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5.8823529411764705E-2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9350</v>
      </c>
      <c r="C7" s="304">
        <f>SUM(C3:C6)</f>
        <v>1</v>
      </c>
      <c r="D7" s="276">
        <f>0</f>
        <v>0</v>
      </c>
      <c r="E7" s="275" t="s">
        <v>486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4" t="s">
        <v>516</v>
      </c>
      <c r="B15" s="444"/>
      <c r="C15" s="444"/>
      <c r="D15" s="444"/>
      <c r="E15" s="444"/>
    </row>
    <row r="17" spans="1:4">
      <c r="A17" s="330" t="s">
        <v>488</v>
      </c>
    </row>
    <row r="19" spans="1:4">
      <c r="A19" t="s">
        <v>489</v>
      </c>
    </row>
    <row r="20" spans="1:4">
      <c r="A20" t="s">
        <v>490</v>
      </c>
    </row>
    <row r="21" spans="1:4">
      <c r="A21" t="s">
        <v>491</v>
      </c>
    </row>
    <row r="22" spans="1:4">
      <c r="A22" t="s">
        <v>492</v>
      </c>
    </row>
    <row r="23" spans="1:4">
      <c r="A23" t="s">
        <v>493</v>
      </c>
    </row>
    <row r="24" spans="1:4">
      <c r="A24" t="s">
        <v>494</v>
      </c>
    </row>
    <row r="25" spans="1:4">
      <c r="A25" t="s">
        <v>495</v>
      </c>
    </row>
    <row r="26" spans="1:4">
      <c r="A26" t="s">
        <v>857</v>
      </c>
    </row>
    <row r="27" spans="1:4">
      <c r="A27" t="s">
        <v>858</v>
      </c>
    </row>
    <row r="30" spans="1:4">
      <c r="A30" s="330" t="s">
        <v>496</v>
      </c>
      <c r="B30" s="330" t="s">
        <v>497</v>
      </c>
      <c r="C30" s="330" t="s">
        <v>498</v>
      </c>
      <c r="D30" s="330" t="s">
        <v>499</v>
      </c>
    </row>
    <row r="32" spans="1:4">
      <c r="A32" t="s">
        <v>500</v>
      </c>
      <c r="B32" t="s">
        <v>501</v>
      </c>
      <c r="C32" t="s">
        <v>502</v>
      </c>
      <c r="D32" t="s">
        <v>503</v>
      </c>
    </row>
    <row r="33" spans="1:4">
      <c r="A33" t="s">
        <v>504</v>
      </c>
      <c r="B33" t="s">
        <v>505</v>
      </c>
      <c r="C33" t="s">
        <v>506</v>
      </c>
      <c r="D33" t="s">
        <v>501</v>
      </c>
    </row>
    <row r="34" spans="1:4">
      <c r="A34" t="s">
        <v>507</v>
      </c>
      <c r="B34" t="s">
        <v>508</v>
      </c>
      <c r="C34" t="s">
        <v>509</v>
      </c>
      <c r="D34" t="s">
        <v>503</v>
      </c>
    </row>
    <row r="35" spans="1:4">
      <c r="A35" t="s">
        <v>510</v>
      </c>
      <c r="B35" t="s">
        <v>501</v>
      </c>
      <c r="C35" t="s">
        <v>506</v>
      </c>
      <c r="D35" t="s">
        <v>511</v>
      </c>
    </row>
    <row r="36" spans="1:4">
      <c r="A36" t="s">
        <v>342</v>
      </c>
      <c r="B36" t="s">
        <v>501</v>
      </c>
      <c r="C36" t="s">
        <v>502</v>
      </c>
      <c r="D36" t="s">
        <v>511</v>
      </c>
    </row>
    <row r="37" spans="1:4">
      <c r="A37" t="s">
        <v>512</v>
      </c>
      <c r="B37" t="s">
        <v>503</v>
      </c>
      <c r="C37" t="s">
        <v>509</v>
      </c>
      <c r="D37" t="s">
        <v>508</v>
      </c>
    </row>
    <row r="38" spans="1:4">
      <c r="A38" t="s">
        <v>513</v>
      </c>
      <c r="B38" t="s">
        <v>501</v>
      </c>
      <c r="C38" t="s">
        <v>509</v>
      </c>
      <c r="D38" t="s">
        <v>501</v>
      </c>
    </row>
    <row r="39" spans="1:4">
      <c r="A39" t="s">
        <v>514</v>
      </c>
      <c r="B39" t="s">
        <v>503</v>
      </c>
      <c r="C39" t="s">
        <v>502</v>
      </c>
      <c r="D39" t="s">
        <v>501</v>
      </c>
    </row>
    <row r="40" spans="1:4">
      <c r="A40" t="s">
        <v>515</v>
      </c>
      <c r="B40" t="s">
        <v>503</v>
      </c>
      <c r="C40" t="s">
        <v>502</v>
      </c>
      <c r="D40" t="s">
        <v>508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258</v>
      </c>
      <c r="I7" t="s">
        <v>259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274</v>
      </c>
      <c r="I10" t="s">
        <v>275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174</v>
      </c>
      <c r="B47" t="s">
        <v>165</v>
      </c>
    </row>
    <row r="48" spans="1:9">
      <c r="A48" t="s">
        <v>164</v>
      </c>
      <c r="B48" t="s">
        <v>165</v>
      </c>
    </row>
    <row r="49" spans="1:2">
      <c r="A49" t="s">
        <v>46</v>
      </c>
      <c r="B49" t="s">
        <v>165</v>
      </c>
    </row>
    <row r="50" spans="1:2">
      <c r="A50" t="s">
        <v>167</v>
      </c>
      <c r="B50" t="s">
        <v>166</v>
      </c>
    </row>
    <row r="51" spans="1:2">
      <c r="A51" t="s">
        <v>189</v>
      </c>
      <c r="B51" t="s">
        <v>165</v>
      </c>
    </row>
    <row r="52" spans="1:2">
      <c r="A52" t="s">
        <v>198</v>
      </c>
      <c r="B52" t="s">
        <v>197</v>
      </c>
    </row>
    <row r="53" spans="1:2">
      <c r="A53" t="s">
        <v>201</v>
      </c>
      <c r="B53" t="s">
        <v>202</v>
      </c>
    </row>
    <row r="54" spans="1:2">
      <c r="A54" t="s">
        <v>33</v>
      </c>
      <c r="B54" t="s">
        <v>166</v>
      </c>
    </row>
    <row r="55" spans="1:2">
      <c r="A55" t="s">
        <v>727</v>
      </c>
      <c r="B55" t="s">
        <v>728</v>
      </c>
    </row>
    <row r="56" spans="1:2">
      <c r="A56" t="s">
        <v>855</v>
      </c>
      <c r="B56" t="s">
        <v>166</v>
      </c>
    </row>
    <row r="58" spans="1:2">
      <c r="A58" t="s">
        <v>808</v>
      </c>
      <c r="B58" t="s">
        <v>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22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>
        <v>2019</v>
      </c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180</v>
      </c>
      <c r="I5" s="106" t="s">
        <v>58</v>
      </c>
      <c r="J5" s="107" t="s">
        <v>59</v>
      </c>
      <c r="K5" s="421">
        <f>6296.48-M5</f>
        <v>5153.62</v>
      </c>
      <c r="L5" s="422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743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3">
        <v>620.14</v>
      </c>
      <c r="L6" s="424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3">
        <v>9189.0300000000007</v>
      </c>
      <c r="L7" s="424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3">
        <f>6954.14-0.63</f>
        <v>6953.51</v>
      </c>
      <c r="L8" s="42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3">
        <f>9496.23+4.45</f>
        <v>9500.68</v>
      </c>
      <c r="L9" s="424"/>
      <c r="M9" s="1"/>
      <c r="N9" s="1"/>
      <c r="R9" s="3"/>
    </row>
    <row r="10" spans="1:22" ht="15.75">
      <c r="A10" s="112">
        <f t="shared" si="0"/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3">
        <f>1804-1.98</f>
        <v>1802.02</v>
      </c>
      <c r="L10" s="424"/>
      <c r="M10" s="1" t="s">
        <v>153</v>
      </c>
      <c r="N10" s="1"/>
      <c r="R10" s="3"/>
    </row>
    <row r="11" spans="1:22" ht="15.75">
      <c r="A11" s="112">
        <f t="shared" si="0"/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3">
        <v>360</v>
      </c>
      <c r="L11" s="424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247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3">
        <v>0</v>
      </c>
      <c r="L12" s="424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269</v>
      </c>
      <c r="D13" s="137"/>
      <c r="E13" s="138"/>
      <c r="F13" s="138"/>
      <c r="G13" s="16"/>
      <c r="H13" s="112">
        <v>550</v>
      </c>
      <c r="I13" s="108"/>
      <c r="J13" s="107"/>
      <c r="K13" s="423"/>
      <c r="L13" s="424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371</v>
      </c>
      <c r="D14" s="137"/>
      <c r="E14" s="138"/>
      <c r="F14" s="138"/>
      <c r="G14" s="16"/>
      <c r="H14" s="112">
        <v>1129.9991905564923</v>
      </c>
      <c r="I14" s="108"/>
      <c r="J14" s="107"/>
      <c r="K14" s="423"/>
      <c r="L14" s="424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182</v>
      </c>
      <c r="D15" s="137"/>
      <c r="E15" s="138"/>
      <c r="F15" s="138"/>
      <c r="G15" s="16"/>
      <c r="H15" s="112">
        <v>298.39999999999998</v>
      </c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29">
        <f>SUM(K5:K18)</f>
        <v>33579</v>
      </c>
      <c r="L19" s="430"/>
      <c r="M19" s="1"/>
      <c r="N19" s="1"/>
      <c r="R19" s="3"/>
    </row>
    <row r="20" spans="1:18" ht="16.5" thickBot="1">
      <c r="A20" s="112">
        <f>SUM(A6:A15)</f>
        <v>3060.539190556492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12"/>
      <c r="I22" s="413" t="s">
        <v>6</v>
      </c>
      <c r="J22" s="414"/>
      <c r="K22" s="414"/>
      <c r="L22" s="415"/>
      <c r="M22" s="1"/>
      <c r="N22" s="113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12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12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180</v>
      </c>
      <c r="I25" s="401" t="str">
        <f>AÑO!A8</f>
        <v>Manolo Salario</v>
      </c>
      <c r="J25" s="404" t="s">
        <v>319</v>
      </c>
      <c r="K25" s="405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244.08999999999992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54.089999999999918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19.440000000000005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12">
        <v>0.44000000000000483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1" t="str">
        <f>AÑO!A9</f>
        <v>Rocío Salario</v>
      </c>
      <c r="J30" s="404" t="s">
        <v>348</v>
      </c>
      <c r="K30" s="405"/>
      <c r="L30" s="231"/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773</v>
      </c>
      <c r="D31" s="137"/>
      <c r="E31" s="138"/>
      <c r="F31" s="138"/>
      <c r="G31" s="16"/>
      <c r="H31" s="112">
        <v>35</v>
      </c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210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1464.73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1" t="str">
        <f>AÑO!A11</f>
        <v>Finanazas</v>
      </c>
      <c r="J40" s="404" t="s">
        <v>342</v>
      </c>
      <c r="K40" s="405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871</v>
      </c>
      <c r="K41" s="407"/>
      <c r="L41" s="229">
        <v>1.98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12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1" t="str">
        <f>AÑO!A12</f>
        <v>Regalos</v>
      </c>
      <c r="J45" s="404" t="s">
        <v>890</v>
      </c>
      <c r="K45" s="405"/>
      <c r="L45" s="231">
        <v>1142.8599999999999</v>
      </c>
      <c r="M45" s="112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1" t="str">
        <f>AÑO!A13</f>
        <v>Gubernamental</v>
      </c>
      <c r="J50" s="404" t="s">
        <v>818</v>
      </c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1" t="str">
        <f>AÑO!A15</f>
        <v>Alquiler Cartama</v>
      </c>
      <c r="J60" s="404" t="s">
        <v>37</v>
      </c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12"/>
      <c r="I64" s="410"/>
      <c r="J64" s="411"/>
      <c r="K64" s="412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/>
      <c r="B66" s="133">
        <v>180</v>
      </c>
      <c r="C66" s="19" t="s">
        <v>31</v>
      </c>
      <c r="D66" s="137"/>
      <c r="E66" s="138"/>
      <c r="F66" s="138"/>
      <c r="G66" s="19"/>
      <c r="H66" s="112"/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3</v>
      </c>
      <c r="M72" s="1" t="s">
        <v>883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886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885</v>
      </c>
      <c r="K74">
        <v>1</v>
      </c>
      <c r="L74">
        <f>K74*L73</f>
        <v>3.225806451612903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447">
        <f>L74-L72</f>
        <v>0.22580645161290303</v>
      </c>
      <c r="M75" s="1" t="s">
        <v>884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12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12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874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12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12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12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180</v>
      </c>
      <c r="M105" s="1"/>
      <c r="R105" s="3"/>
    </row>
    <row r="106" spans="1:18" ht="15.75">
      <c r="A106" s="112">
        <f>H106+(B106-SUM(D106:F106))</f>
        <v>4142.5115974244991</v>
      </c>
      <c r="B106" s="133">
        <f>258.47+50</f>
        <v>308.47000000000003</v>
      </c>
      <c r="C106" s="18" t="s">
        <v>877</v>
      </c>
      <c r="D106" s="137"/>
      <c r="E106" s="138"/>
      <c r="F106" s="138"/>
      <c r="G106" s="31" t="s">
        <v>875</v>
      </c>
      <c r="H106" s="112">
        <v>3834.0415974244993</v>
      </c>
      <c r="M106" s="1"/>
      <c r="R106" s="3"/>
    </row>
    <row r="107" spans="1:18" ht="15.75">
      <c r="A107" s="112">
        <f t="shared" ref="A107:A110" si="2">H107+(B107-SUM(D107:F107))</f>
        <v>71.020000000000053</v>
      </c>
      <c r="B107" s="134">
        <v>70</v>
      </c>
      <c r="C107" s="18" t="s">
        <v>876</v>
      </c>
      <c r="D107" s="137"/>
      <c r="E107" s="138"/>
      <c r="F107" s="138"/>
      <c r="G107" s="31" t="s">
        <v>876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878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40</v>
      </c>
      <c r="B109" s="134">
        <v>40</v>
      </c>
      <c r="C109" s="18" t="s">
        <v>879</v>
      </c>
      <c r="D109" s="137"/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H110+(B110-SUM(D110:F117))</f>
        <v>388.53</v>
      </c>
      <c r="B110" s="134">
        <v>100</v>
      </c>
      <c r="C110" s="18" t="s">
        <v>183</v>
      </c>
      <c r="D110" s="137"/>
      <c r="E110" s="138"/>
      <c r="F110" s="138"/>
      <c r="G110" s="31"/>
      <c r="H110" s="112">
        <v>288.52999999999997</v>
      </c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880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4718.5315974244995</v>
      </c>
      <c r="B120" s="135">
        <f>SUM(B106:B119)</f>
        <v>853.47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12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12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12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180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785</v>
      </c>
      <c r="M126" s="1"/>
      <c r="R126" s="3"/>
    </row>
    <row r="127" spans="1:18" ht="15.75">
      <c r="A127" s="112">
        <f>H127+(B127-SUM(D127:F128))</f>
        <v>32.5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>
        <v>17.5</v>
      </c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16.079999999999998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881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75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12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12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882</v>
      </c>
      <c r="D146" s="137" t="s">
        <v>856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852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  <c r="H202" s="112"/>
    </row>
    <row r="203" spans="2:12" ht="15" customHeight="1" thickBot="1">
      <c r="B203" s="416"/>
      <c r="C203" s="417"/>
      <c r="D203" s="417"/>
      <c r="E203" s="417"/>
      <c r="F203" s="417"/>
      <c r="G203" s="418"/>
      <c r="H203" s="112"/>
    </row>
    <row r="204" spans="2:12" ht="15.75">
      <c r="B204" s="426" t="s">
        <v>8</v>
      </c>
      <c r="C204" s="427"/>
      <c r="D204" s="428" t="s">
        <v>9</v>
      </c>
      <c r="E204" s="428"/>
      <c r="F204" s="428"/>
      <c r="G204" s="427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5" t="str">
        <f>AÑO!A31</f>
        <v>Deportes</v>
      </c>
      <c r="C222" s="414"/>
      <c r="D222" s="414"/>
      <c r="E222" s="414"/>
      <c r="F222" s="414"/>
      <c r="G222" s="415"/>
      <c r="H222" s="112"/>
    </row>
    <row r="223" spans="2:8" ht="15" customHeight="1" thickBot="1">
      <c r="B223" s="416"/>
      <c r="C223" s="417"/>
      <c r="D223" s="417"/>
      <c r="E223" s="417"/>
      <c r="F223" s="417"/>
      <c r="G223" s="418"/>
      <c r="H223" s="112"/>
    </row>
    <row r="224" spans="2:8" ht="15.75">
      <c r="B224" s="426" t="s">
        <v>8</v>
      </c>
      <c r="C224" s="427"/>
      <c r="D224" s="428" t="s">
        <v>9</v>
      </c>
      <c r="E224" s="428"/>
      <c r="F224" s="428"/>
      <c r="G224" s="427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  <c r="H242" s="112"/>
    </row>
    <row r="243" spans="1:8" ht="15" customHeight="1" thickBot="1">
      <c r="B243" s="416"/>
      <c r="C243" s="417"/>
      <c r="D243" s="417"/>
      <c r="E243" s="417"/>
      <c r="F243" s="417"/>
      <c r="G243" s="418"/>
      <c r="H243" s="112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  <c r="H244" s="112"/>
    </row>
    <row r="245" spans="1:8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180</v>
      </c>
    </row>
    <row r="246" spans="1:8" ht="15" customHeight="1">
      <c r="A246" s="112">
        <f>H246+(B246-SUM(D246:F255))</f>
        <v>54.129999999999995</v>
      </c>
      <c r="B246" s="134">
        <v>50</v>
      </c>
      <c r="C246" s="27" t="s">
        <v>320</v>
      </c>
      <c r="D246" s="137"/>
      <c r="E246" s="138"/>
      <c r="F246" s="138"/>
      <c r="G246" s="16"/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327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853</v>
      </c>
      <c r="D257" s="137"/>
      <c r="E257" s="138"/>
      <c r="F257" s="138"/>
      <c r="G257" s="16" t="s">
        <v>323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526.90000000000009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5" t="str">
        <f>AÑO!A33</f>
        <v>Formación</v>
      </c>
      <c r="C262" s="414"/>
      <c r="D262" s="414"/>
      <c r="E262" s="414"/>
      <c r="F262" s="414"/>
      <c r="G262" s="415"/>
      <c r="H262" s="112"/>
    </row>
    <row r="263" spans="1:9" ht="15" customHeight="1" thickBot="1">
      <c r="B263" s="416"/>
      <c r="C263" s="417"/>
      <c r="D263" s="417"/>
      <c r="E263" s="417"/>
      <c r="F263" s="417"/>
      <c r="G263" s="418"/>
      <c r="H263" s="112"/>
    </row>
    <row r="264" spans="1:9" ht="15.75">
      <c r="B264" s="426" t="s">
        <v>8</v>
      </c>
      <c r="C264" s="427"/>
      <c r="D264" s="428" t="s">
        <v>9</v>
      </c>
      <c r="E264" s="428"/>
      <c r="F264" s="428"/>
      <c r="G264" s="427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  <c r="H282" s="112"/>
    </row>
    <row r="283" spans="1:8" ht="15" customHeight="1" thickBot="1">
      <c r="B283" s="416"/>
      <c r="C283" s="417"/>
      <c r="D283" s="417"/>
      <c r="E283" s="417"/>
      <c r="F283" s="417"/>
      <c r="G283" s="418"/>
      <c r="H283" s="112"/>
    </row>
    <row r="284" spans="1:8" ht="15.75">
      <c r="B284" s="426" t="s">
        <v>8</v>
      </c>
      <c r="C284" s="427"/>
      <c r="D284" s="428" t="s">
        <v>9</v>
      </c>
      <c r="E284" s="428"/>
      <c r="F284" s="428"/>
      <c r="G284" s="427"/>
      <c r="H284" s="112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180</v>
      </c>
    </row>
    <row r="286" spans="1:8" ht="15.75">
      <c r="A286" s="112">
        <f>H286+(SUM(B286:B298)-SUM(D286:F298))</f>
        <v>74.829999999999785</v>
      </c>
      <c r="B286" s="133">
        <v>60</v>
      </c>
      <c r="C286" s="19" t="s">
        <v>31</v>
      </c>
      <c r="D286" s="137"/>
      <c r="E286" s="138"/>
      <c r="F286" s="138"/>
      <c r="G286" s="16"/>
      <c r="H286" s="112">
        <v>14.829999999999785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854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124.82999999999979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  <c r="H302" s="112"/>
    </row>
    <row r="303" spans="1:8" ht="15" customHeight="1" thickBot="1">
      <c r="B303" s="416"/>
      <c r="C303" s="417"/>
      <c r="D303" s="417"/>
      <c r="E303" s="417"/>
      <c r="F303" s="417"/>
      <c r="G303" s="418"/>
      <c r="H303" s="112"/>
    </row>
    <row r="304" spans="1:8" ht="15.75">
      <c r="B304" s="426" t="s">
        <v>8</v>
      </c>
      <c r="C304" s="427"/>
      <c r="D304" s="428" t="s">
        <v>9</v>
      </c>
      <c r="E304" s="428"/>
      <c r="F304" s="428"/>
      <c r="G304" s="427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224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5" t="str">
        <f>AÑO!A36</f>
        <v>Nenas</v>
      </c>
      <c r="C322" s="414"/>
      <c r="D322" s="414"/>
      <c r="E322" s="414"/>
      <c r="F322" s="414"/>
      <c r="G322" s="415"/>
      <c r="H322" s="112"/>
    </row>
    <row r="323" spans="2:8" ht="15" customHeight="1" thickBot="1">
      <c r="B323" s="416"/>
      <c r="C323" s="417"/>
      <c r="D323" s="417"/>
      <c r="E323" s="417"/>
      <c r="F323" s="417"/>
      <c r="G323" s="418"/>
      <c r="H323" s="112"/>
    </row>
    <row r="324" spans="2:8" ht="15.75">
      <c r="B324" s="426" t="s">
        <v>8</v>
      </c>
      <c r="C324" s="427"/>
      <c r="D324" s="428" t="s">
        <v>9</v>
      </c>
      <c r="E324" s="428"/>
      <c r="F324" s="428"/>
      <c r="G324" s="427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5" t="str">
        <f>AÑO!A37</f>
        <v>Imprevistos</v>
      </c>
      <c r="C342" s="414"/>
      <c r="D342" s="414"/>
      <c r="E342" s="414"/>
      <c r="F342" s="414"/>
      <c r="G342" s="415"/>
      <c r="H342" s="112"/>
    </row>
    <row r="343" spans="2:8" ht="15" customHeight="1" thickBot="1">
      <c r="B343" s="416"/>
      <c r="C343" s="417"/>
      <c r="D343" s="417"/>
      <c r="E343" s="417"/>
      <c r="F343" s="417"/>
      <c r="G343" s="418"/>
      <c r="H343" s="112"/>
    </row>
    <row r="344" spans="2:8" ht="15.75">
      <c r="B344" s="426" t="s">
        <v>8</v>
      </c>
      <c r="C344" s="427"/>
      <c r="D344" s="428" t="s">
        <v>9</v>
      </c>
      <c r="E344" s="428"/>
      <c r="F344" s="428"/>
      <c r="G344" s="427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5" t="str">
        <f>AÑO!A38</f>
        <v>Gastos Curros</v>
      </c>
      <c r="C362" s="414"/>
      <c r="D362" s="414"/>
      <c r="E362" s="414"/>
      <c r="F362" s="414"/>
      <c r="G362" s="415"/>
      <c r="H362" s="112"/>
    </row>
    <row r="363" spans="2:8" ht="15" customHeight="1" thickBot="1">
      <c r="B363" s="416"/>
      <c r="C363" s="417"/>
      <c r="D363" s="417"/>
      <c r="E363" s="417"/>
      <c r="F363" s="417"/>
      <c r="G363" s="418"/>
      <c r="H363" s="112"/>
    </row>
    <row r="364" spans="2:8" ht="15.75">
      <c r="B364" s="426" t="s">
        <v>8</v>
      </c>
      <c r="C364" s="427"/>
      <c r="D364" s="428" t="s">
        <v>9</v>
      </c>
      <c r="E364" s="428"/>
      <c r="F364" s="428"/>
      <c r="G364" s="427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6.9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5" t="str">
        <f>AÑO!A39</f>
        <v>Dreamed Holidays</v>
      </c>
      <c r="C382" s="414"/>
      <c r="D382" s="414"/>
      <c r="E382" s="414"/>
      <c r="F382" s="414"/>
      <c r="G382" s="415"/>
      <c r="H382" s="112"/>
    </row>
    <row r="383" spans="2:8" ht="15" customHeight="1" thickBot="1">
      <c r="B383" s="416"/>
      <c r="C383" s="417"/>
      <c r="D383" s="417"/>
      <c r="E383" s="417"/>
      <c r="F383" s="417"/>
      <c r="G383" s="418"/>
      <c r="H383" s="112"/>
    </row>
    <row r="384" spans="2:8" ht="15.75">
      <c r="B384" s="426" t="s">
        <v>8</v>
      </c>
      <c r="C384" s="427"/>
      <c r="D384" s="428" t="s">
        <v>9</v>
      </c>
      <c r="E384" s="428"/>
      <c r="F384" s="428"/>
      <c r="G384" s="427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5" t="str">
        <f>AÑO!A40</f>
        <v>Financieros</v>
      </c>
      <c r="C402" s="414"/>
      <c r="D402" s="414"/>
      <c r="E402" s="414"/>
      <c r="F402" s="414"/>
      <c r="G402" s="415"/>
      <c r="H402" s="112"/>
    </row>
    <row r="403" spans="2:8" ht="15" customHeight="1" thickBot="1">
      <c r="B403" s="416"/>
      <c r="C403" s="417"/>
      <c r="D403" s="417"/>
      <c r="E403" s="417"/>
      <c r="F403" s="417"/>
      <c r="G403" s="418"/>
      <c r="H403" s="112"/>
    </row>
    <row r="404" spans="2:8" ht="15.75">
      <c r="B404" s="426" t="s">
        <v>8</v>
      </c>
      <c r="C404" s="427"/>
      <c r="D404" s="428" t="s">
        <v>9</v>
      </c>
      <c r="E404" s="428"/>
      <c r="F404" s="428"/>
      <c r="G404" s="427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869</v>
      </c>
      <c r="H406" s="112"/>
    </row>
    <row r="407" spans="2:8" ht="15.75">
      <c r="B407" s="134">
        <v>0.63</v>
      </c>
      <c r="C407" s="16" t="s">
        <v>872</v>
      </c>
      <c r="D407" s="137">
        <v>4.45</v>
      </c>
      <c r="E407" s="138"/>
      <c r="F407" s="138"/>
      <c r="G407" s="16" t="s">
        <v>873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  <c r="H422" s="112"/>
    </row>
    <row r="423" spans="1:8" ht="15" customHeight="1" thickBot="1">
      <c r="B423" s="433"/>
      <c r="C423" s="434"/>
      <c r="D423" s="434"/>
      <c r="E423" s="434"/>
      <c r="F423" s="434"/>
      <c r="G423" s="435"/>
      <c r="H423" s="112"/>
    </row>
    <row r="424" spans="1:8" ht="15.75">
      <c r="B424" s="426" t="s">
        <v>8</v>
      </c>
      <c r="C424" s="427"/>
      <c r="D424" s="428" t="s">
        <v>9</v>
      </c>
      <c r="E424" s="428"/>
      <c r="F424" s="428"/>
      <c r="G424" s="427"/>
      <c r="H424" s="112"/>
    </row>
    <row r="425" spans="1:8" ht="15.75">
      <c r="A425" s="113">
        <f>AÑO!C17</f>
        <v>1145.4699999999998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-4300</v>
      </c>
      <c r="C426" s="19" t="s">
        <v>225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5" t="str">
        <f>AÑO!A42</f>
        <v>Dinero Bloqueado</v>
      </c>
      <c r="C442" s="431"/>
      <c r="D442" s="431"/>
      <c r="E442" s="431"/>
      <c r="F442" s="431"/>
      <c r="G442" s="432"/>
      <c r="H442" s="112"/>
    </row>
    <row r="443" spans="2:8" ht="15" customHeight="1" thickBot="1">
      <c r="B443" s="433"/>
      <c r="C443" s="434"/>
      <c r="D443" s="434"/>
      <c r="E443" s="434"/>
      <c r="F443" s="434"/>
      <c r="G443" s="435"/>
      <c r="H443" s="112"/>
    </row>
    <row r="444" spans="2:8" ht="15.75">
      <c r="B444" s="426" t="s">
        <v>8</v>
      </c>
      <c r="C444" s="427"/>
      <c r="D444" s="428" t="s">
        <v>9</v>
      </c>
      <c r="E444" s="428"/>
      <c r="F444" s="428"/>
      <c r="G444" s="427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870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5" t="str">
        <f>AÑO!A43</f>
        <v>NULO</v>
      </c>
      <c r="C462" s="431"/>
      <c r="D462" s="431"/>
      <c r="E462" s="431"/>
      <c r="F462" s="431"/>
      <c r="G462" s="432"/>
      <c r="H462" s="112"/>
    </row>
    <row r="463" spans="2:8" ht="15" customHeight="1" thickBot="1">
      <c r="B463" s="433"/>
      <c r="C463" s="434"/>
      <c r="D463" s="434"/>
      <c r="E463" s="434"/>
      <c r="F463" s="434"/>
      <c r="G463" s="435"/>
      <c r="H463" s="112"/>
    </row>
    <row r="464" spans="2:8" ht="15.75">
      <c r="B464" s="426" t="s">
        <v>8</v>
      </c>
      <c r="C464" s="427"/>
      <c r="D464" s="428" t="s">
        <v>9</v>
      </c>
      <c r="E464" s="428"/>
      <c r="F464" s="428"/>
      <c r="G464" s="427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5" t="str">
        <f>AÑO!A44</f>
        <v>NULO</v>
      </c>
      <c r="C482" s="431"/>
      <c r="D482" s="431"/>
      <c r="E482" s="431"/>
      <c r="F482" s="431"/>
      <c r="G482" s="432"/>
      <c r="H482" s="112"/>
    </row>
    <row r="483" spans="2:8" ht="15" customHeight="1" thickBot="1">
      <c r="B483" s="433"/>
      <c r="C483" s="434"/>
      <c r="D483" s="434"/>
      <c r="E483" s="434"/>
      <c r="F483" s="434"/>
      <c r="G483" s="435"/>
      <c r="H483" s="112"/>
    </row>
    <row r="484" spans="2:8" ht="15.75">
      <c r="B484" s="426" t="s">
        <v>8</v>
      </c>
      <c r="C484" s="427"/>
      <c r="D484" s="428" t="s">
        <v>9</v>
      </c>
      <c r="E484" s="428"/>
      <c r="F484" s="428"/>
      <c r="G484" s="427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5" t="str">
        <f>AÑO!A45</f>
        <v>OTROS</v>
      </c>
      <c r="C502" s="431"/>
      <c r="D502" s="431"/>
      <c r="E502" s="431"/>
      <c r="F502" s="431"/>
      <c r="G502" s="432"/>
      <c r="H502" s="112"/>
    </row>
    <row r="503" spans="2:8" ht="15" customHeight="1" thickBot="1">
      <c r="B503" s="433"/>
      <c r="C503" s="434"/>
      <c r="D503" s="434"/>
      <c r="E503" s="434"/>
      <c r="F503" s="434"/>
      <c r="G503" s="435"/>
      <c r="H503" s="112"/>
    </row>
    <row r="504" spans="2:8" ht="15.75">
      <c r="B504" s="426" t="s">
        <v>8</v>
      </c>
      <c r="C504" s="427"/>
      <c r="D504" s="428" t="s">
        <v>9</v>
      </c>
      <c r="E504" s="428"/>
      <c r="F504" s="428"/>
      <c r="G504" s="427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847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2397.48-4.45</f>
        <v>2393.0300000000002</v>
      </c>
      <c r="L5" s="422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177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162</v>
      </c>
      <c r="N6" s="1"/>
      <c r="R6" s="3"/>
    </row>
    <row r="7" spans="1:22" ht="15.75">
      <c r="A7" s="112">
        <f>'01'!A7+(B7-SUM(D7:F7))</f>
        <v>643.29</v>
      </c>
      <c r="B7" s="134">
        <v>70.180000000000007</v>
      </c>
      <c r="C7" s="16" t="s">
        <v>195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3">
        <f>7340.23-4.45</f>
        <v>7335.78</v>
      </c>
      <c r="L7" s="424"/>
      <c r="M7" s="1"/>
      <c r="N7" s="1"/>
      <c r="R7" s="3"/>
    </row>
    <row r="8" spans="1:22" ht="15.75">
      <c r="A8" s="112">
        <f>'01'!A8+(B8-SUM(D8:F8))</f>
        <v>-224.42000000000002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7001.87</v>
      </c>
      <c r="L8" s="42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3">
        <v>669.52</v>
      </c>
      <c r="L9" s="424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'01'!A11+(B11-SUM(D11:F11))</f>
        <v>30.259999999999998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160+155</f>
        <v>315</v>
      </c>
      <c r="L11" s="424"/>
      <c r="M11" s="1"/>
      <c r="N11" s="1"/>
      <c r="R11" s="3"/>
    </row>
    <row r="12" spans="1:22" ht="15.75">
      <c r="A12" s="112">
        <f>'01'!A12+(B12-SUM(D12:F12))</f>
        <v>95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v>5092.08</v>
      </c>
      <c r="L12" s="424"/>
      <c r="M12" s="92"/>
      <c r="N12" s="1"/>
      <c r="R12" s="3"/>
    </row>
    <row r="13" spans="1:22" ht="15.75">
      <c r="A13" s="112">
        <f>'01'!A13+(B13-SUM(D13:F13))</f>
        <v>557</v>
      </c>
      <c r="B13" s="134">
        <v>7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25229.379999999997</v>
      </c>
      <c r="L19" s="430"/>
      <c r="M19" s="1"/>
      <c r="N19" s="1"/>
      <c r="R19" s="3"/>
    </row>
    <row r="20" spans="1:18" ht="16.5" thickBot="1">
      <c r="A20" s="112">
        <f>SUM(A6:A15)</f>
        <v>1520.3899999999999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247.08999999999992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19.490000000000006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66.279999999999973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237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242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249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237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279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1462.78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157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231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232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235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236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246</v>
      </c>
      <c r="H50" s="1"/>
      <c r="I50" s="401" t="str">
        <f>AÑO!A13</f>
        <v>Gubernamental</v>
      </c>
      <c r="J50" s="404" t="s">
        <v>228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252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253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266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270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271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1" t="str">
        <f>AÑO!A15</f>
        <v>Alquiler Cartama</v>
      </c>
      <c r="J60" s="404" t="s">
        <v>238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-25.639999999999986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243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255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257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262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-5.6399999999999864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48.45</v>
      </c>
      <c r="E86" s="138"/>
      <c r="F86" s="138"/>
      <c r="G86" s="16" t="s">
        <v>250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265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264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71.110000000000056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515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67.53</v>
      </c>
      <c r="B109" s="134">
        <v>27.53</v>
      </c>
      <c r="C109" s="18" t="s">
        <v>199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4728.6215974244988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43.29-10.82</f>
        <v>32.47</v>
      </c>
      <c r="E146" s="138"/>
      <c r="F146" s="138"/>
      <c r="G146" s="16" t="s">
        <v>232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248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261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157</v>
      </c>
      <c r="D173" s="137">
        <v>225.14</v>
      </c>
      <c r="E173" s="138"/>
      <c r="F173" s="138"/>
      <c r="G173" s="16" t="s">
        <v>239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251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</v>
      </c>
      <c r="E186" s="138"/>
      <c r="F186" s="138"/>
      <c r="G186" s="16" t="s">
        <v>245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271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2:7" ht="15" customHeight="1" thickBot="1">
      <c r="B243" s="416"/>
      <c r="C243" s="417"/>
      <c r="D243" s="417"/>
      <c r="E243" s="417"/>
      <c r="F243" s="417"/>
      <c r="G243" s="418"/>
    </row>
    <row r="244" spans="2:7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271</v>
      </c>
    </row>
    <row r="247" spans="2:7" ht="15" customHeight="1">
      <c r="B247" s="134">
        <v>40</v>
      </c>
      <c r="C247" s="16" t="s">
        <v>281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2:7" ht="15" customHeight="1" thickBot="1">
      <c r="B263" s="416"/>
      <c r="C263" s="417"/>
      <c r="D263" s="417"/>
      <c r="E263" s="417"/>
      <c r="F263" s="417"/>
      <c r="G263" s="418"/>
    </row>
    <row r="264" spans="2:7">
      <c r="B264" s="426" t="s">
        <v>8</v>
      </c>
      <c r="C264" s="427"/>
      <c r="D264" s="428" t="s">
        <v>9</v>
      </c>
      <c r="E264" s="428"/>
      <c r="F264" s="428"/>
      <c r="G264" s="427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240</v>
      </c>
    </row>
    <row r="267" spans="2:7">
      <c r="B267" s="134"/>
      <c r="C267" s="16"/>
      <c r="D267" s="137">
        <v>10.45</v>
      </c>
      <c r="E267" s="138"/>
      <c r="F267" s="138"/>
      <c r="G267" s="16" t="s">
        <v>244</v>
      </c>
    </row>
    <row r="268" spans="2:7">
      <c r="B268" s="134"/>
      <c r="C268" s="16"/>
      <c r="D268" s="137"/>
      <c r="E268" s="138">
        <v>57.96</v>
      </c>
      <c r="F268" s="138"/>
      <c r="G268" s="16" t="s">
        <v>268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13.6</v>
      </c>
      <c r="E306" s="138"/>
      <c r="F306" s="138"/>
      <c r="G306" s="16" t="s">
        <v>254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267</v>
      </c>
    </row>
    <row r="308" spans="2:7">
      <c r="B308" s="134">
        <v>61.11</v>
      </c>
      <c r="C308" s="27" t="s">
        <v>280</v>
      </c>
      <c r="D308" s="137">
        <v>11.12</v>
      </c>
      <c r="E308" s="138"/>
      <c r="F308" s="138"/>
      <c r="G308" s="16" t="s">
        <v>272</v>
      </c>
    </row>
    <row r="309" spans="2:7">
      <c r="B309" s="134"/>
      <c r="C309" s="16"/>
      <c r="D309" s="137">
        <v>6</v>
      </c>
      <c r="E309" s="138"/>
      <c r="F309" s="138"/>
      <c r="G309" s="16" t="s">
        <v>271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285.64999999999998</v>
      </c>
      <c r="E346" s="138"/>
      <c r="F346" s="138"/>
      <c r="G346" s="16" t="s">
        <v>241</v>
      </c>
    </row>
    <row r="347" spans="2:7">
      <c r="B347" s="134"/>
      <c r="C347" s="16"/>
      <c r="D347" s="137"/>
      <c r="E347" s="138"/>
      <c r="F347" s="138">
        <v>30</v>
      </c>
      <c r="G347" s="16" t="s">
        <v>263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248</v>
      </c>
    </row>
    <row r="368" spans="2:7">
      <c r="B368" s="134"/>
      <c r="C368" s="16"/>
      <c r="D368" s="137">
        <v>60</v>
      </c>
      <c r="E368" s="138"/>
      <c r="F368" s="138"/>
      <c r="G368" s="16" t="s">
        <v>256</v>
      </c>
    </row>
    <row r="369" spans="2:7">
      <c r="B369" s="134"/>
      <c r="C369" s="16"/>
      <c r="D369" s="137">
        <v>26.58</v>
      </c>
      <c r="E369" s="138"/>
      <c r="F369" s="138"/>
      <c r="G369" s="16" t="s">
        <v>260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229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8" t="s">
        <v>9</v>
      </c>
      <c r="E424" s="428"/>
      <c r="F424" s="428"/>
      <c r="G424" s="427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276</v>
      </c>
    </row>
    <row r="426" spans="1:8" ht="15.75">
      <c r="A426" s="112">
        <v>3900</v>
      </c>
      <c r="B426" s="134">
        <f>A425-SUM(A426:A439)</f>
        <v>120.06999999999971</v>
      </c>
      <c r="C426" s="19" t="s">
        <v>225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-3724.8099999999977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171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181</v>
      </c>
      <c r="D467" s="137"/>
      <c r="E467" s="138">
        <v>500</v>
      </c>
      <c r="F467" s="138"/>
      <c r="G467" s="16" t="s">
        <v>233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278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8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1559.34</v>
      </c>
      <c r="L5" s="422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177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162</v>
      </c>
      <c r="N6" s="1"/>
      <c r="R6" s="3"/>
    </row>
    <row r="7" spans="1:22" ht="15.75">
      <c r="A7" s="112">
        <f>'02'!A7+(B7-SUM(D7:F7))</f>
        <v>-35.059999999999945</v>
      </c>
      <c r="B7" s="134">
        <v>70.180000000000007</v>
      </c>
      <c r="C7" s="16" t="s">
        <v>195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3">
        <v>8577.0300000000007</v>
      </c>
      <c r="L7" s="424"/>
      <c r="M7" s="1"/>
      <c r="N7" s="1"/>
      <c r="R7" s="3"/>
    </row>
    <row r="8" spans="1:22" ht="15.75">
      <c r="A8" s="112">
        <f>'02'!A8+(B8-SUM(D8:F8))</f>
        <v>-112.31000000000002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3">
        <v>4167.34</v>
      </c>
      <c r="L9" s="424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'02'!A11+(B11-SUM(D11:F11))</f>
        <v>30.25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255</v>
      </c>
      <c r="L11" s="424"/>
      <c r="M11" s="1"/>
      <c r="N11" s="1"/>
      <c r="R11" s="3"/>
    </row>
    <row r="12" spans="1:22" ht="15.75">
      <c r="A12" s="112">
        <f>'02'!A12+(B12-SUM(D12:F12))</f>
        <v>120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v>5092.08</v>
      </c>
      <c r="L12" s="424"/>
      <c r="M12" s="92"/>
      <c r="N12" s="1"/>
      <c r="R12" s="3"/>
    </row>
    <row r="13" spans="1:22" ht="15.75">
      <c r="A13" s="112">
        <f>'02'!A13+(B13-SUM(D13:F13))</f>
        <v>485</v>
      </c>
      <c r="B13" s="134">
        <v>7</v>
      </c>
      <c r="C13" s="16" t="s">
        <v>247</v>
      </c>
      <c r="D13" s="137"/>
      <c r="E13" s="138">
        <v>79</v>
      </c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29">
        <f>SUM(K5:K18)</f>
        <v>25574.760000000002</v>
      </c>
      <c r="L19" s="430"/>
      <c r="M19" s="1"/>
      <c r="N19" s="1"/>
      <c r="R19" s="3"/>
    </row>
    <row r="20" spans="1:18" ht="16.5" thickBot="1">
      <c r="A20" s="112">
        <f>SUM(A6:A15)</f>
        <v>919.1400000000001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8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247.08999999999992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19.540000000000006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-341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282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227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249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1095.55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6" t="s">
        <v>8</v>
      </c>
      <c r="C44" s="427"/>
      <c r="D44" s="428" t="s">
        <v>9</v>
      </c>
      <c r="E44" s="428"/>
      <c r="F44" s="428"/>
      <c r="G44" s="427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299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283</v>
      </c>
      <c r="H46" s="1"/>
      <c r="I46" s="402"/>
      <c r="J46" s="406" t="s">
        <v>157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284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295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294</v>
      </c>
      <c r="H50" s="1"/>
      <c r="I50" s="401" t="str">
        <f>AÑO!A13</f>
        <v>Gubernamental</v>
      </c>
      <c r="J50" s="404" t="s">
        <v>228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301</v>
      </c>
      <c r="H51" s="1"/>
      <c r="I51" s="402"/>
      <c r="J51" s="406" t="s">
        <v>335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305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306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325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339</v>
      </c>
      <c r="H55" s="1"/>
      <c r="I55" s="401" t="str">
        <f>AÑO!A14</f>
        <v>Mutualite/DKV</v>
      </c>
      <c r="J55" s="436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286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6" t="s">
        <v>8</v>
      </c>
      <c r="C64" s="427"/>
      <c r="D64" s="428" t="s">
        <v>9</v>
      </c>
      <c r="E64" s="428"/>
      <c r="F64" s="428"/>
      <c r="G64" s="427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-22.159999999999968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285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293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297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307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308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338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340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287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7.8400000000000318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8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49.03</v>
      </c>
      <c r="E86" s="138"/>
      <c r="F86" s="138"/>
      <c r="G86" s="16" t="s">
        <v>310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311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312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316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8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71.20000000000006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565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-1174.94</v>
      </c>
      <c r="B109" s="134">
        <f>37.53-1370+80+10</f>
        <v>-1242.47</v>
      </c>
      <c r="C109" s="18" t="s">
        <v>332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4778.7115974244989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8" t="s">
        <v>9</v>
      </c>
      <c r="E124" s="428"/>
      <c r="F124" s="428"/>
      <c r="G124" s="427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785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8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73.66</v>
      </c>
      <c r="E146" s="138"/>
      <c r="F146" s="138"/>
      <c r="G146" s="16" t="s">
        <v>292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8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180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8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40.5</v>
      </c>
      <c r="E186" s="138"/>
      <c r="F186" s="138"/>
      <c r="G186" s="16" t="s">
        <v>328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8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326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8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8" ht="15" customHeight="1" thickBot="1">
      <c r="B243" s="416"/>
      <c r="C243" s="417"/>
      <c r="D243" s="417"/>
      <c r="E243" s="417"/>
      <c r="F243" s="417"/>
      <c r="G243" s="418"/>
    </row>
    <row r="244" spans="1:8" ht="15" customHeight="1">
      <c r="B244" s="426" t="s">
        <v>8</v>
      </c>
      <c r="C244" s="427"/>
      <c r="D244" s="428" t="s">
        <v>9</v>
      </c>
      <c r="E244" s="428"/>
      <c r="F244" s="428"/>
      <c r="G244" s="427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298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317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327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323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321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322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8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288</v>
      </c>
    </row>
    <row r="267" spans="1:7">
      <c r="B267" s="134">
        <v>4021.94</v>
      </c>
      <c r="C267" s="16" t="s">
        <v>335</v>
      </c>
      <c r="D267" s="137"/>
      <c r="E267" s="138"/>
      <c r="F267" s="138">
        <v>15</v>
      </c>
      <c r="G267" s="16" t="s">
        <v>341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8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8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300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313</v>
      </c>
    </row>
    <row r="308" spans="2:7">
      <c r="B308" s="134">
        <f>L55</f>
        <v>9.44</v>
      </c>
      <c r="C308" s="27" t="s">
        <v>324</v>
      </c>
      <c r="D308" s="137">
        <v>8.27</v>
      </c>
      <c r="E308" s="138"/>
      <c r="F308" s="138"/>
      <c r="G308" s="16" t="s">
        <v>314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334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336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14"/>
      <c r="D322" s="414"/>
      <c r="E322" s="414"/>
      <c r="F322" s="414"/>
      <c r="G322" s="415"/>
    </row>
    <row r="323" spans="2:7" ht="15" customHeight="1" thickBot="1">
      <c r="B323" s="416"/>
      <c r="C323" s="417"/>
      <c r="D323" s="417"/>
      <c r="E323" s="417"/>
      <c r="F323" s="417"/>
      <c r="G323" s="418"/>
    </row>
    <row r="324" spans="2:7">
      <c r="B324" s="426" t="s">
        <v>8</v>
      </c>
      <c r="C324" s="427"/>
      <c r="D324" s="428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309</v>
      </c>
    </row>
    <row r="327" spans="2:7">
      <c r="B327" s="134">
        <v>100</v>
      </c>
      <c r="C327" s="16" t="s">
        <v>299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8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>
        <v>16</v>
      </c>
      <c r="E346" s="138"/>
      <c r="F346" s="138"/>
      <c r="G346" s="16" t="s">
        <v>289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290</v>
      </c>
    </row>
    <row r="348" spans="2:7">
      <c r="B348" s="134"/>
      <c r="C348" s="16"/>
      <c r="D348" s="137">
        <v>16</v>
      </c>
      <c r="E348" s="138"/>
      <c r="F348" s="138"/>
      <c r="G348" s="16" t="s">
        <v>303</v>
      </c>
    </row>
    <row r="349" spans="2:7">
      <c r="B349" s="134"/>
      <c r="C349" s="16"/>
      <c r="D349" s="137">
        <v>10</v>
      </c>
      <c r="E349" s="138"/>
      <c r="F349" s="138"/>
      <c r="G349" s="16" t="s">
        <v>304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8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315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14"/>
      <c r="D382" s="414"/>
      <c r="E382" s="414"/>
      <c r="F382" s="414"/>
      <c r="G382" s="415"/>
    </row>
    <row r="383" spans="2:7" ht="15" customHeight="1" thickBot="1">
      <c r="B383" s="416"/>
      <c r="C383" s="417"/>
      <c r="D383" s="417"/>
      <c r="E383" s="417"/>
      <c r="F383" s="417"/>
      <c r="G383" s="418"/>
    </row>
    <row r="384" spans="2:7">
      <c r="B384" s="426" t="s">
        <v>8</v>
      </c>
      <c r="C384" s="427"/>
      <c r="D384" s="428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8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229</v>
      </c>
    </row>
    <row r="407" spans="2:7">
      <c r="B407" s="134">
        <v>-984.2</v>
      </c>
      <c r="C407" s="16" t="s">
        <v>330</v>
      </c>
      <c r="D407" s="137">
        <v>44.93</v>
      </c>
      <c r="E407" s="138"/>
      <c r="F407" s="138"/>
      <c r="G407" s="16" t="s">
        <v>329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8" t="s">
        <v>9</v>
      </c>
      <c r="E424" s="428"/>
      <c r="F424" s="428"/>
      <c r="G424" s="427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225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9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331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181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182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8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337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861.84</v>
      </c>
      <c r="L5" s="422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620.08000000000004</v>
      </c>
      <c r="L6" s="424"/>
      <c r="M6" s="1" t="s">
        <v>162</v>
      </c>
      <c r="N6" s="1"/>
      <c r="R6" s="3"/>
    </row>
    <row r="7" spans="1:22" ht="15.75">
      <c r="A7" s="112">
        <f>'03'!A7+(B7-SUM(D7:F7))</f>
        <v>32.130000000000052</v>
      </c>
      <c r="B7" s="134">
        <v>67.19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10075.709999999999</v>
      </c>
      <c r="L7" s="424"/>
      <c r="M7" s="1"/>
      <c r="N7" s="1"/>
      <c r="R7" s="3"/>
    </row>
    <row r="8" spans="1:22" ht="15.75">
      <c r="A8" s="112">
        <f>'03'!A8+(B8-SUM(D8:F8))</f>
        <v>-214.75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3501.87</v>
      </c>
      <c r="L8" s="42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35.96</v>
      </c>
      <c r="L9" s="424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'03'!A11+(B11-SUM(D11:F11))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370</v>
      </c>
      <c r="L11" s="424"/>
      <c r="M11" s="1"/>
      <c r="N11" s="1"/>
      <c r="R11" s="3"/>
    </row>
    <row r="12" spans="1:22" ht="15.75">
      <c r="A12" s="112">
        <f>'03'!A12+(B12-SUM(D12:F12))</f>
        <v>145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5092.08+4084.2</f>
        <v>9176.2799999999988</v>
      </c>
      <c r="L12" s="424"/>
      <c r="M12" s="92"/>
      <c r="N12" s="1"/>
      <c r="R12" s="3"/>
    </row>
    <row r="13" spans="1:22" ht="15.75">
      <c r="A13" s="112">
        <f>'03'!A13+(B13-SUM(D13:F13))</f>
        <v>491.5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915.38000000000011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251.09999999999991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19.590000000000007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282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348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249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1139.6099999999999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342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362</v>
      </c>
      <c r="K41" s="407"/>
      <c r="L41" s="229">
        <v>352.82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 t="s">
        <v>58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363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369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347</v>
      </c>
      <c r="D48" s="137">
        <v>5.35</v>
      </c>
      <c r="E48" s="138"/>
      <c r="F48" s="138"/>
      <c r="G48" s="16" t="s">
        <v>374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379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382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351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6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7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366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36.840000000000032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382</v>
      </c>
      <c r="D67" s="137">
        <v>41</v>
      </c>
      <c r="E67" s="138"/>
      <c r="F67" s="138"/>
      <c r="G67" s="31" t="s">
        <v>376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76.840000000000032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57.56</v>
      </c>
      <c r="E86" s="138"/>
      <c r="F86" s="138"/>
      <c r="G86" s="16" t="s">
        <v>360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377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383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71.290000000000063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551</v>
      </c>
      <c r="B108" s="134">
        <v>50</v>
      </c>
      <c r="C108" s="18" t="s">
        <v>183</v>
      </c>
      <c r="D108" s="137">
        <v>50</v>
      </c>
      <c r="E108" s="138"/>
      <c r="F108" s="138"/>
      <c r="G108" s="34" t="s">
        <v>372</v>
      </c>
      <c r="H108" s="1"/>
      <c r="M108" s="1"/>
      <c r="R108" s="3"/>
    </row>
    <row r="109" spans="1:18" ht="15.75">
      <c r="A109" s="112">
        <f>'03'!A109+(B109+B110+B111-SUM(D110:F119))</f>
        <v>380.93999999999983</v>
      </c>
      <c r="B109" s="134">
        <v>67.53</v>
      </c>
      <c r="C109" s="18" t="s">
        <v>373</v>
      </c>
      <c r="D109" s="137">
        <v>11</v>
      </c>
      <c r="E109" s="138"/>
      <c r="F109" s="138">
        <v>3</v>
      </c>
      <c r="G109" s="31" t="s">
        <v>378</v>
      </c>
      <c r="H109" s="1"/>
      <c r="M109" s="1"/>
      <c r="R109" s="3"/>
    </row>
    <row r="110" spans="1:18" ht="15.75">
      <c r="B110" s="134">
        <v>1370</v>
      </c>
      <c r="C110" s="18" t="s">
        <v>361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4764.8015974244991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16.579999999999998</v>
      </c>
      <c r="E146" s="138"/>
      <c r="F146" s="138"/>
      <c r="G146" s="16" t="s">
        <v>344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357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358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f>25.99</f>
        <v>25.99</v>
      </c>
      <c r="E186" s="138"/>
      <c r="F186" s="138"/>
      <c r="G186" s="16" t="s">
        <v>354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346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353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320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349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321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322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7" ht="15" customHeight="1" thickBot="1">
      <c r="B263" s="416"/>
      <c r="C263" s="417"/>
      <c r="D263" s="417"/>
      <c r="E263" s="417"/>
      <c r="F263" s="417"/>
      <c r="G263" s="418"/>
    </row>
    <row r="264" spans="1:7">
      <c r="B264" s="426" t="s">
        <v>8</v>
      </c>
      <c r="C264" s="427"/>
      <c r="D264" s="426" t="s">
        <v>9</v>
      </c>
      <c r="E264" s="428"/>
      <c r="F264" s="428"/>
      <c r="G264" s="427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345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350</v>
      </c>
    </row>
    <row r="287" spans="2:8">
      <c r="B287" s="134"/>
      <c r="C287" s="16"/>
      <c r="D287" s="137">
        <v>9.65</v>
      </c>
      <c r="E287" s="138"/>
      <c r="F287" s="138"/>
      <c r="G287" s="16" t="s">
        <v>356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f>37.5+37.5</f>
        <v>75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359</v>
      </c>
    </row>
    <row r="308" spans="2:7">
      <c r="B308" s="134">
        <f>L55+L56+L57</f>
        <v>37.980000000000004</v>
      </c>
      <c r="C308" s="27" t="s">
        <v>384</v>
      </c>
      <c r="D308" s="137"/>
      <c r="E308" s="138"/>
      <c r="F308" s="138">
        <v>50</v>
      </c>
      <c r="G308" s="16" t="s">
        <v>366</v>
      </c>
    </row>
    <row r="309" spans="2:7">
      <c r="B309" s="134"/>
      <c r="C309" s="16"/>
      <c r="D309" s="137">
        <v>63.9</v>
      </c>
      <c r="E309" s="138"/>
      <c r="F309" s="138"/>
      <c r="G309" s="16" t="s">
        <v>386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361</v>
      </c>
      <c r="D387" s="137"/>
      <c r="E387" s="138"/>
      <c r="F387" s="138"/>
      <c r="G387" s="16"/>
    </row>
    <row r="388" spans="2:7">
      <c r="B388" s="134">
        <v>106.26</v>
      </c>
      <c r="C388" s="27" t="s">
        <v>362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343</v>
      </c>
    </row>
    <row r="407" spans="2:7">
      <c r="B407" s="134">
        <v>3.75</v>
      </c>
      <c r="C407" s="16" t="s">
        <v>342</v>
      </c>
      <c r="D407" s="137"/>
      <c r="E407" s="138">
        <f>10+10</f>
        <v>20</v>
      </c>
      <c r="F407" s="138"/>
      <c r="G407" s="16" t="s">
        <v>367</v>
      </c>
    </row>
    <row r="408" spans="2:7">
      <c r="B408" s="134">
        <v>984.2</v>
      </c>
      <c r="C408" s="18" t="s">
        <v>361</v>
      </c>
      <c r="D408" s="137"/>
      <c r="E408" s="138"/>
      <c r="F408" s="138"/>
      <c r="G408" s="16"/>
    </row>
    <row r="409" spans="2:7">
      <c r="B409" s="134">
        <v>85.02</v>
      </c>
      <c r="C409" s="27" t="s">
        <v>362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225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385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182</v>
      </c>
      <c r="D468" s="137"/>
      <c r="E468" s="138"/>
      <c r="F468" s="138"/>
      <c r="G468" s="16"/>
    </row>
    <row r="469" spans="1:7">
      <c r="B469" s="134">
        <v>500</v>
      </c>
      <c r="C469" s="18" t="s">
        <v>361</v>
      </c>
      <c r="D469" s="137"/>
      <c r="E469" s="138"/>
      <c r="F469" s="138"/>
      <c r="G469" s="16"/>
    </row>
    <row r="470" spans="1:7">
      <c r="B470" s="134">
        <v>43.19</v>
      </c>
      <c r="C470" s="27" t="s">
        <v>362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1773.93</v>
      </c>
      <c r="L5" s="422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162</v>
      </c>
      <c r="N6" s="1"/>
      <c r="R6" s="3"/>
    </row>
    <row r="7" spans="1:22" ht="15.75">
      <c r="A7" s="112">
        <f>'04'!A7+(B7-SUM(D7:F7))</f>
        <v>99.32000000000005</v>
      </c>
      <c r="B7" s="134">
        <v>67.19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7144.52</v>
      </c>
      <c r="L7" s="424"/>
      <c r="M7" s="1"/>
      <c r="N7" s="1"/>
      <c r="R7" s="3"/>
    </row>
    <row r="8" spans="1:22" ht="15.75">
      <c r="A8" s="112">
        <f>'04'!A8+(B8-SUM(D8:F8))</f>
        <v>-112.31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10005.620000000001</v>
      </c>
      <c r="L8" s="42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514.82000000000005</v>
      </c>
      <c r="L9" s="424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'04'!A11+(B11-SUM(D11:F11))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210</f>
        <v>210</v>
      </c>
      <c r="L11" s="424"/>
      <c r="M11" s="1"/>
      <c r="N11" s="1"/>
      <c r="R11" s="3"/>
    </row>
    <row r="12" spans="1:22" ht="15.75">
      <c r="A12" s="112">
        <f>'04'!A12+(B12-SUM(D12:F12))</f>
        <v>170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v>5092.08</v>
      </c>
      <c r="L12" s="424"/>
      <c r="M12" s="92"/>
      <c r="N12" s="1"/>
      <c r="R12" s="3"/>
    </row>
    <row r="13" spans="1:22" ht="15.75">
      <c r="A13" s="112">
        <f>'04'!A13+(B13-SUM(D13:F13))</f>
        <v>498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1116.5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255.1099999999999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19.640000000000008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348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282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249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1015.8500000000001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390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389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375</v>
      </c>
      <c r="D48" s="137">
        <v>27.34</v>
      </c>
      <c r="E48" s="138"/>
      <c r="F48" s="138"/>
      <c r="G48" s="16" t="s">
        <v>398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399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406</v>
      </c>
      <c r="H50" s="1"/>
      <c r="I50" s="401" t="str">
        <f>AÑO!A13</f>
        <v>Gubernamental</v>
      </c>
      <c r="J50" s="404" t="s">
        <v>400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407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411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519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520</v>
      </c>
      <c r="H55" s="1"/>
      <c r="I55" s="401" t="str">
        <f>AÑO!A14</f>
        <v>Mutualite/DKV</v>
      </c>
      <c r="J55" s="404" t="s">
        <v>394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-16.009999999999962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388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396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397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404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405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33.990000000000038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55.61</v>
      </c>
      <c r="E86" s="138"/>
      <c r="F86" s="138"/>
      <c r="G86" s="16" t="s">
        <v>393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408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417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71.380000000000067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601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-481.5300000000002</v>
      </c>
      <c r="B109" s="134">
        <f>67.53+120</f>
        <v>187.53</v>
      </c>
      <c r="C109" s="18" t="s">
        <v>526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4814.8915974244992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785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f>59</f>
        <v>59</v>
      </c>
      <c r="E146" s="138"/>
      <c r="F146" s="138"/>
      <c r="G146" s="16" t="s">
        <v>392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480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47.63</v>
      </c>
      <c r="E186" s="138"/>
      <c r="F186" s="138"/>
      <c r="G186" s="16" t="s">
        <v>413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409</v>
      </c>
    </row>
    <row r="207" spans="2:12">
      <c r="B207" s="134">
        <v>15</v>
      </c>
      <c r="C207" s="16" t="s">
        <v>480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320</v>
      </c>
      <c r="D246" s="137">
        <v>15</v>
      </c>
      <c r="E246" s="138"/>
      <c r="F246" s="138"/>
      <c r="G246" s="16" t="s">
        <v>407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349</v>
      </c>
      <c r="D257" s="137"/>
      <c r="E257" s="138">
        <f>100.67</f>
        <v>100.67</v>
      </c>
      <c r="F257" s="138"/>
      <c r="G257" s="16" t="s">
        <v>524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321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395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402</v>
      </c>
    </row>
    <row r="287" spans="2:8">
      <c r="B287" s="134">
        <v>35</v>
      </c>
      <c r="C287" s="16" t="s">
        <v>525</v>
      </c>
      <c r="D287" s="137">
        <v>54.8</v>
      </c>
      <c r="E287" s="138"/>
      <c r="F287" s="138"/>
      <c r="G287" s="16" t="s">
        <v>527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545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>
        <v>4.4000000000000004</v>
      </c>
      <c r="E306" s="138"/>
      <c r="F306" s="138"/>
      <c r="G306" s="16" t="s">
        <v>387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394</v>
      </c>
    </row>
    <row r="308" spans="2:7">
      <c r="B308" s="134">
        <v>17.45</v>
      </c>
      <c r="C308" s="27" t="s">
        <v>403</v>
      </c>
      <c r="D308" s="137">
        <f>51.89+44.67</f>
        <v>96.56</v>
      </c>
      <c r="E308" s="138"/>
      <c r="F308" s="138"/>
      <c r="G308" s="16" t="s">
        <v>518</v>
      </c>
    </row>
    <row r="309" spans="2:7">
      <c r="B309" s="134">
        <v>170</v>
      </c>
      <c r="C309" s="16" t="s">
        <v>480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2:7" ht="15" customHeight="1" thickBot="1">
      <c r="B343" s="416"/>
      <c r="C343" s="417"/>
      <c r="D343" s="417"/>
      <c r="E343" s="417"/>
      <c r="F343" s="417"/>
      <c r="G343" s="418"/>
    </row>
    <row r="344" spans="2:7">
      <c r="B344" s="426" t="s">
        <v>8</v>
      </c>
      <c r="C344" s="427"/>
      <c r="D344" s="426" t="s">
        <v>9</v>
      </c>
      <c r="E344" s="428"/>
      <c r="F344" s="428"/>
      <c r="G344" s="427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194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2:7" ht="15" customHeight="1" thickBot="1">
      <c r="B363" s="416"/>
      <c r="C363" s="417"/>
      <c r="D363" s="417"/>
      <c r="E363" s="417"/>
      <c r="F363" s="417"/>
      <c r="G363" s="418"/>
    </row>
    <row r="364" spans="2:7">
      <c r="B364" s="426" t="s">
        <v>8</v>
      </c>
      <c r="C364" s="427"/>
      <c r="D364" s="426" t="s">
        <v>9</v>
      </c>
      <c r="E364" s="428"/>
      <c r="F364" s="428"/>
      <c r="G364" s="427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546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391</v>
      </c>
    </row>
    <row r="407" spans="2:7">
      <c r="B407" s="134">
        <v>45.86</v>
      </c>
      <c r="C407" s="16" t="s">
        <v>390</v>
      </c>
      <c r="D407" s="137"/>
      <c r="E407" s="138"/>
      <c r="F407" s="138"/>
      <c r="G407" s="16"/>
    </row>
    <row r="408" spans="2:7">
      <c r="B408" s="134">
        <v>-1094.26</v>
      </c>
      <c r="C408" s="16" t="s">
        <v>330</v>
      </c>
      <c r="D408" s="137">
        <v>44.48</v>
      </c>
      <c r="E408" s="138"/>
      <c r="F408" s="138"/>
      <c r="G408" s="16" t="s">
        <v>416</v>
      </c>
    </row>
    <row r="409" spans="2:7">
      <c r="B409" s="134">
        <f>29.29+20</f>
        <v>49.29</v>
      </c>
      <c r="C409" s="16" t="s">
        <v>480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8" ht="15" customHeight="1" thickBot="1">
      <c r="B423" s="433"/>
      <c r="C423" s="434"/>
      <c r="D423" s="434"/>
      <c r="E423" s="434"/>
      <c r="F423" s="434"/>
      <c r="G423" s="435"/>
    </row>
    <row r="424" spans="1:8">
      <c r="B424" s="426" t="s">
        <v>8</v>
      </c>
      <c r="C424" s="427"/>
      <c r="D424" s="426" t="s">
        <v>9</v>
      </c>
      <c r="E424" s="428"/>
      <c r="F424" s="428"/>
      <c r="G424" s="427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225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330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331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M5+2156.93</f>
        <v>1614.1099999999997</v>
      </c>
      <c r="L5" s="422"/>
      <c r="M5" s="1">
        <f>-542.82</f>
        <v>-542.82000000000005</v>
      </c>
      <c r="N5" s="1" t="s">
        <v>523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162</v>
      </c>
      <c r="N6" s="1"/>
      <c r="R6" s="3"/>
    </row>
    <row r="7" spans="1:22" ht="15.75">
      <c r="A7" s="112">
        <f>'05'!A7+(B7-SUM(D7:F7))</f>
        <v>166.50000000000006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f>9234.42-58.2</f>
        <v>9176.2199999999993</v>
      </c>
      <c r="L7" s="424"/>
      <c r="M7" s="1"/>
      <c r="N7" s="1"/>
      <c r="R7" s="3"/>
    </row>
    <row r="8" spans="1:22" ht="15.75">
      <c r="A8" s="112">
        <f>'05'!A8+(B8-SUM(D8:F8))</f>
        <v>-211.32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3">
        <v>169.67</v>
      </c>
      <c r="L9" s="424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'05'!A11+(B11-SUM(D11:F11))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190</v>
      </c>
      <c r="L11" s="424"/>
      <c r="M11" s="1"/>
      <c r="N11" s="1"/>
      <c r="R11" s="3"/>
    </row>
    <row r="12" spans="1:22" ht="15.75">
      <c r="A12" s="112">
        <f>'05'!A12+(B12-SUM(D12:F12))</f>
        <v>195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'05'!A13+(B13-SUM(D13:F13))</f>
        <v>504.5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1116.17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259.11999999999989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19.690000000000008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538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348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249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279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1059.9099999999999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157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531</v>
      </c>
      <c r="D48" s="137">
        <v>27.2</v>
      </c>
      <c r="E48" s="138"/>
      <c r="F48" s="138"/>
      <c r="G48" s="16" t="s">
        <v>555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556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560</v>
      </c>
      <c r="H50" s="1"/>
      <c r="I50" s="401" t="str">
        <f>AÑO!A13</f>
        <v>Gubernamental</v>
      </c>
      <c r="J50" s="404" t="s">
        <v>551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567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569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575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580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584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539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-23.659999999999968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540</v>
      </c>
      <c r="D67" s="137">
        <v>36.049999999999997</v>
      </c>
      <c r="E67" s="138"/>
      <c r="F67" s="138"/>
      <c r="G67" s="31" t="s">
        <v>563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564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566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570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571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578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36.340000000000032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41.71</v>
      </c>
      <c r="E86" s="138"/>
      <c r="F86" s="138"/>
      <c r="G86" s="16" t="s">
        <v>534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536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553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554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574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576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577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582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71.47000000000007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651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-414.00000000000023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4864.9815974244993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33.159999999999997</v>
      </c>
      <c r="E146" s="138"/>
      <c r="F146" s="138"/>
      <c r="G146" s="16" t="s">
        <v>583</v>
      </c>
      <c r="H146" s="1"/>
      <c r="M146" s="1"/>
      <c r="R146" s="3"/>
    </row>
    <row r="147" spans="1:22" ht="15.75">
      <c r="A147" s="1"/>
      <c r="B147" s="134">
        <v>-60</v>
      </c>
      <c r="C147" s="16" t="s">
        <v>532</v>
      </c>
      <c r="D147" s="137"/>
      <c r="E147" s="138"/>
      <c r="F147" s="138"/>
      <c r="G147" s="16" t="s">
        <v>533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12.98</v>
      </c>
      <c r="E186" s="138"/>
      <c r="F186" s="138"/>
      <c r="G186" s="16" t="s">
        <v>557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565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567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568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585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320</v>
      </c>
      <c r="D246" s="137"/>
      <c r="E246" s="138">
        <v>21.08</v>
      </c>
      <c r="F246" s="138"/>
      <c r="G246" s="16" t="s">
        <v>559</v>
      </c>
    </row>
    <row r="247" spans="1:7" ht="15" customHeight="1">
      <c r="A247" s="112"/>
      <c r="B247" s="134">
        <f>-10</f>
        <v>-10</v>
      </c>
      <c r="C247" s="16" t="s">
        <v>587</v>
      </c>
      <c r="D247" s="137">
        <v>12.99</v>
      </c>
      <c r="E247" s="138"/>
      <c r="F247" s="138"/>
      <c r="G247" s="16" t="s">
        <v>567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349</v>
      </c>
      <c r="D257" s="137"/>
      <c r="E257" s="138">
        <v>100.67</v>
      </c>
      <c r="F257" s="138"/>
      <c r="G257" s="16" t="s">
        <v>323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321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544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573</v>
      </c>
      <c r="H267" s="89" t="s">
        <v>572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579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9" ht="15" customHeight="1" thickBot="1">
      <c r="B283" s="416"/>
      <c r="C283" s="417"/>
      <c r="D283" s="417"/>
      <c r="E283" s="417"/>
      <c r="F283" s="417"/>
      <c r="G283" s="418"/>
    </row>
    <row r="284" spans="2:9">
      <c r="B284" s="426" t="s">
        <v>8</v>
      </c>
      <c r="C284" s="427"/>
      <c r="D284" s="426" t="s">
        <v>9</v>
      </c>
      <c r="E284" s="428"/>
      <c r="F284" s="428"/>
      <c r="G284" s="427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547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558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528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537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549</v>
      </c>
    </row>
    <row r="308" spans="2:7">
      <c r="B308" s="134"/>
      <c r="C308" s="27"/>
      <c r="D308" s="137"/>
      <c r="E308" s="138"/>
      <c r="F308" s="138">
        <v>50</v>
      </c>
      <c r="G308" s="16" t="s">
        <v>550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548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529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541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562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580</v>
      </c>
    </row>
    <row r="369" spans="2:7">
      <c r="B369" s="134"/>
      <c r="C369" s="16"/>
      <c r="D369" s="137">
        <v>11</v>
      </c>
      <c r="E369" s="138"/>
      <c r="F369" s="138"/>
      <c r="G369" s="16" t="s">
        <v>581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225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>
        <v>-55</v>
      </c>
      <c r="C469" s="16" t="s">
        <v>535</v>
      </c>
      <c r="D469" s="137"/>
      <c r="E469" s="138"/>
      <c r="F469" s="138"/>
      <c r="G469" s="16" t="s">
        <v>230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f>2939.95</f>
        <v>2939.95</v>
      </c>
      <c r="L5" s="422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296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</v>
      </c>
      <c r="L6" s="424"/>
      <c r="M6" s="1" t="s">
        <v>162</v>
      </c>
      <c r="N6" s="1"/>
      <c r="R6" s="3"/>
    </row>
    <row r="7" spans="1:22" ht="15.75">
      <c r="A7" s="112">
        <f>'06'!A7+(B7-SUM(D7:F7))</f>
        <v>233.68000000000006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8049.26</v>
      </c>
      <c r="L7" s="424"/>
      <c r="M7" s="1"/>
      <c r="N7" s="1"/>
      <c r="R7" s="3"/>
    </row>
    <row r="8" spans="1:22" ht="15.75">
      <c r="A8" s="112">
        <f>'06'!A8+(B8-SUM(D8:F8))</f>
        <v>-112.21999999999997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169.67</v>
      </c>
      <c r="L9" s="424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'06'!A11+(B11-SUM(D11:F11))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v>260</v>
      </c>
      <c r="L11" s="424"/>
      <c r="M11" s="1"/>
      <c r="N11" s="1"/>
      <c r="R11" s="3"/>
    </row>
    <row r="12" spans="1:22" ht="15.75">
      <c r="A12" s="112">
        <f>'06'!A12+(B12-SUM(D12:F12))</f>
        <v>220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'06'!A13+(B13-SUM(D13:F13))</f>
        <v>511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1313.96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263.12999999999988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19.740000000000009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348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538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599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1103.97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 t="s">
        <v>586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58</v>
      </c>
      <c r="K41" s="407"/>
      <c r="L41" s="229">
        <v>0.02</v>
      </c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591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597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531</v>
      </c>
      <c r="D48" s="137">
        <v>8.1</v>
      </c>
      <c r="E48" s="138"/>
      <c r="F48" s="138"/>
      <c r="G48" s="16" t="s">
        <v>616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594</v>
      </c>
      <c r="D49" s="137">
        <v>2.5499999999999998</v>
      </c>
      <c r="E49" s="138"/>
      <c r="F49" s="138"/>
      <c r="G49" s="16" t="s">
        <v>625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621</v>
      </c>
      <c r="D50" s="137">
        <v>69.97</v>
      </c>
      <c r="E50" s="138"/>
      <c r="F50" s="138"/>
      <c r="G50" s="16" t="s">
        <v>636</v>
      </c>
      <c r="H50" s="1"/>
      <c r="I50" s="401" t="str">
        <f>AÑO!A13</f>
        <v>Gubernamental</v>
      </c>
      <c r="J50" s="404" t="s">
        <v>551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639</v>
      </c>
      <c r="D51" s="137">
        <v>5.29</v>
      </c>
      <c r="E51" s="138"/>
      <c r="F51" s="138"/>
      <c r="G51" s="16" t="s">
        <v>638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600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600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600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615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-5.8599999999999568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622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635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64.140000000000043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47.8</v>
      </c>
      <c r="E86" s="138"/>
      <c r="F86" s="138"/>
      <c r="G86" s="16" t="s">
        <v>624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630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71.560000000000073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701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-346.47000000000025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4915.0715974244995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596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604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608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618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35.94</v>
      </c>
      <c r="E186" s="138"/>
      <c r="F186" s="138"/>
      <c r="G186" s="16" t="s">
        <v>598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597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626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637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591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609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320</v>
      </c>
      <c r="D246" s="137">
        <v>33.729999999999997</v>
      </c>
      <c r="E246" s="138"/>
      <c r="F246" s="138"/>
      <c r="G246" s="16" t="s">
        <v>634</v>
      </c>
    </row>
    <row r="247" spans="1:7" ht="15" customHeight="1">
      <c r="A247" s="112"/>
      <c r="B247" s="134">
        <v>-5</v>
      </c>
      <c r="C247" s="16" t="s">
        <v>621</v>
      </c>
      <c r="D247" s="137">
        <v>20</v>
      </c>
      <c r="E247" s="138"/>
      <c r="F247" s="138"/>
      <c r="G247" s="16" t="s">
        <v>636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619</v>
      </c>
      <c r="D257" s="137"/>
      <c r="E257" s="138">
        <v>100.67</v>
      </c>
      <c r="F257" s="138"/>
      <c r="G257" s="16" t="s">
        <v>645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628</v>
      </c>
      <c r="D258" s="137">
        <v>349</v>
      </c>
      <c r="E258" s="138"/>
      <c r="F258" s="138"/>
      <c r="G258" s="16" t="s">
        <v>595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2:8" ht="15" customHeight="1" thickBot="1">
      <c r="B283" s="416"/>
      <c r="C283" s="417"/>
      <c r="D283" s="417"/>
      <c r="E283" s="417"/>
      <c r="F283" s="417"/>
      <c r="G283" s="418"/>
    </row>
    <row r="284" spans="2:8">
      <c r="B284" s="426" t="s">
        <v>8</v>
      </c>
      <c r="C284" s="427"/>
      <c r="D284" s="426" t="s">
        <v>9</v>
      </c>
      <c r="E284" s="428"/>
      <c r="F284" s="428"/>
      <c r="G284" s="427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597</v>
      </c>
    </row>
    <row r="287" spans="2:8">
      <c r="B287" s="134"/>
      <c r="C287" s="16"/>
      <c r="D287" s="137"/>
      <c r="E287" s="138"/>
      <c r="F287" s="138">
        <v>50</v>
      </c>
      <c r="G287" s="16" t="s">
        <v>606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607</v>
      </c>
    </row>
    <row r="289" spans="2:8">
      <c r="B289" s="134"/>
      <c r="C289" s="16"/>
      <c r="D289" s="137">
        <v>26.31</v>
      </c>
      <c r="E289" s="138"/>
      <c r="F289" s="138"/>
      <c r="G289" s="16" t="s">
        <v>609</v>
      </c>
    </row>
    <row r="290" spans="2:8">
      <c r="B290" s="134"/>
      <c r="C290" s="16"/>
      <c r="D290" s="137"/>
      <c r="E290" s="138">
        <v>31.95</v>
      </c>
      <c r="F290" s="138"/>
      <c r="G290" s="16" t="s">
        <v>627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2:8" ht="15" customHeight="1" thickBot="1">
      <c r="B303" s="416"/>
      <c r="C303" s="417"/>
      <c r="D303" s="417"/>
      <c r="E303" s="417"/>
      <c r="F303" s="417"/>
      <c r="G303" s="418"/>
    </row>
    <row r="304" spans="2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224</v>
      </c>
      <c r="D306" s="137"/>
      <c r="E306" s="138"/>
      <c r="F306" s="138">
        <v>50</v>
      </c>
      <c r="G306" s="16" t="s">
        <v>588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590</v>
      </c>
    </row>
    <row r="308" spans="2:7">
      <c r="B308" s="134">
        <f>37.49+14.27+14.27</f>
        <v>66.03</v>
      </c>
      <c r="C308" s="27" t="s">
        <v>600</v>
      </c>
      <c r="D308" s="137">
        <f>37.5+37.5</f>
        <v>75</v>
      </c>
      <c r="E308" s="138"/>
      <c r="F308" s="138"/>
      <c r="G308" s="16" t="s">
        <v>617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614</v>
      </c>
    </row>
    <row r="327" spans="2:7">
      <c r="B327" s="134">
        <v>100</v>
      </c>
      <c r="C327" s="16" t="s">
        <v>605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631</v>
      </c>
      <c r="D358" s="137">
        <v>64.3</v>
      </c>
      <c r="E358" s="138"/>
      <c r="F358" s="138"/>
      <c r="G358" s="16" t="s">
        <v>629</v>
      </c>
    </row>
    <row r="359" spans="1:7" ht="16.5" thickBot="1">
      <c r="A359" s="112"/>
      <c r="B359" s="135">
        <f>12.64+6.66</f>
        <v>19.3</v>
      </c>
      <c r="C359" s="17" t="s">
        <v>639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593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589</v>
      </c>
    </row>
    <row r="407" spans="2:7">
      <c r="B407" s="134">
        <v>1</v>
      </c>
      <c r="C407" s="16" t="s">
        <v>586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225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5" t="str">
        <f>AÑO!A20</f>
        <v>Cártama</v>
      </c>
      <c r="C2" s="414"/>
      <c r="D2" s="414"/>
      <c r="E2" s="414"/>
      <c r="F2" s="414"/>
      <c r="G2" s="415"/>
      <c r="H2" s="222"/>
      <c r="I2" s="413" t="s">
        <v>4</v>
      </c>
      <c r="J2" s="414"/>
      <c r="K2" s="414"/>
      <c r="L2" s="415"/>
      <c r="M2" s="1"/>
      <c r="N2" s="1"/>
      <c r="R2" s="3"/>
    </row>
    <row r="3" spans="1:22" ht="16.5" thickBot="1">
      <c r="A3" s="1"/>
      <c r="B3" s="416"/>
      <c r="C3" s="417"/>
      <c r="D3" s="417"/>
      <c r="E3" s="417"/>
      <c r="F3" s="417"/>
      <c r="G3" s="418"/>
      <c r="H3" s="1"/>
      <c r="I3" s="416"/>
      <c r="J3" s="417"/>
      <c r="K3" s="417"/>
      <c r="L3" s="418"/>
      <c r="M3" s="1"/>
      <c r="N3" s="1"/>
      <c r="R3" s="3"/>
    </row>
    <row r="4" spans="1:22" ht="15.75">
      <c r="A4" s="1"/>
      <c r="B4" s="426" t="s">
        <v>8</v>
      </c>
      <c r="C4" s="427"/>
      <c r="D4" s="426" t="s">
        <v>9</v>
      </c>
      <c r="E4" s="428"/>
      <c r="F4" s="428"/>
      <c r="G4" s="427"/>
      <c r="H4" s="222"/>
      <c r="I4" s="40" t="s">
        <v>55</v>
      </c>
      <c r="J4" s="105" t="s">
        <v>56</v>
      </c>
      <c r="K4" s="419" t="s">
        <v>57</v>
      </c>
      <c r="L4" s="420"/>
      <c r="M4" s="1"/>
      <c r="N4" s="1"/>
      <c r="R4" s="3"/>
    </row>
    <row r="5" spans="1:22" ht="15.75">
      <c r="A5" s="1" t="s">
        <v>180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1">
        <v>3508.76</v>
      </c>
      <c r="L5" s="422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647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3">
        <v>620.12</v>
      </c>
      <c r="L6" s="424"/>
      <c r="M6" s="1" t="s">
        <v>162</v>
      </c>
      <c r="N6" s="1"/>
      <c r="R6" s="3"/>
    </row>
    <row r="7" spans="1:22" ht="15.75">
      <c r="A7" s="112">
        <f>'07'!A7+(B7-SUM(D7:F7))</f>
        <v>300.86000000000007</v>
      </c>
      <c r="B7" s="134">
        <v>67.180000000000007</v>
      </c>
      <c r="C7" s="16" t="s">
        <v>318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3">
        <v>7490.36</v>
      </c>
      <c r="L7" s="424"/>
      <c r="M7" s="1"/>
      <c r="N7" s="1"/>
      <c r="R7" s="3"/>
    </row>
    <row r="8" spans="1:22" ht="15.75">
      <c r="A8" s="112">
        <f>'07'!A8+(B8-SUM(D8:F8))</f>
        <v>-215.97999999999996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3">
        <v>6305.62</v>
      </c>
      <c r="L8" s="42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3">
        <v>163.63</v>
      </c>
      <c r="L9" s="424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3">
        <v>1802.02</v>
      </c>
      <c r="L10" s="424"/>
      <c r="M10" s="1" t="s">
        <v>153</v>
      </c>
      <c r="N10" s="1"/>
      <c r="R10" s="3"/>
    </row>
    <row r="11" spans="1:22" ht="15.75">
      <c r="A11" s="112">
        <f>'07'!A11+(B11-SUM(D11:F11))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3">
        <f>20+120</f>
        <v>140</v>
      </c>
      <c r="L11" s="424"/>
      <c r="M11" s="1"/>
      <c r="N11" s="1"/>
      <c r="R11" s="3"/>
    </row>
    <row r="12" spans="1:22" ht="15.75">
      <c r="A12" s="112">
        <f>'07'!A12+(B12-SUM(D12:F12))</f>
        <v>245</v>
      </c>
      <c r="B12" s="134">
        <v>25</v>
      </c>
      <c r="C12" s="16" t="s">
        <v>200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3">
        <f>5092.08+4044.26</f>
        <v>9136.34</v>
      </c>
      <c r="L12" s="424"/>
      <c r="M12" s="92"/>
      <c r="N12" s="1"/>
      <c r="R12" s="3"/>
    </row>
    <row r="13" spans="1:22" ht="15.75">
      <c r="A13" s="112">
        <f>'07'!A13+(B13-SUM(D13:F13))</f>
        <v>517.5</v>
      </c>
      <c r="B13" s="134">
        <v>6.5</v>
      </c>
      <c r="C13" s="16" t="s">
        <v>247</v>
      </c>
      <c r="D13" s="137"/>
      <c r="E13" s="138"/>
      <c r="F13" s="138"/>
      <c r="G13" s="16"/>
      <c r="H13" s="1"/>
      <c r="I13" s="108"/>
      <c r="J13" s="107"/>
      <c r="K13" s="423"/>
      <c r="L13" s="42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3"/>
      <c r="L14" s="42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3"/>
      <c r="L15" s="42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3"/>
      <c r="L16" s="42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3"/>
      <c r="L17" s="42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29"/>
      <c r="L18" s="430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1308.8800000000001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5" t="str">
        <f>AÑO!A21</f>
        <v>Waterloo</v>
      </c>
      <c r="C22" s="414"/>
      <c r="D22" s="414"/>
      <c r="E22" s="414"/>
      <c r="F22" s="414"/>
      <c r="G22" s="415"/>
      <c r="H22" s="1"/>
      <c r="I22" s="413" t="s">
        <v>6</v>
      </c>
      <c r="J22" s="414"/>
      <c r="K22" s="414"/>
      <c r="L22" s="415"/>
      <c r="M22" s="1"/>
      <c r="R22" s="3"/>
    </row>
    <row r="23" spans="1:18" ht="16.149999999999999" customHeight="1" thickBot="1">
      <c r="A23" s="1"/>
      <c r="B23" s="416"/>
      <c r="C23" s="417"/>
      <c r="D23" s="417"/>
      <c r="E23" s="417"/>
      <c r="F23" s="417"/>
      <c r="G23" s="418"/>
      <c r="H23" s="1"/>
      <c r="I23" s="416"/>
      <c r="J23" s="417"/>
      <c r="K23" s="417"/>
      <c r="L23" s="418"/>
      <c r="M23" s="1"/>
      <c r="R23" s="3"/>
    </row>
    <row r="24" spans="1:18" ht="15.75">
      <c r="A24" s="1"/>
      <c r="B24" s="426" t="s">
        <v>8</v>
      </c>
      <c r="C24" s="427"/>
      <c r="D24" s="426" t="s">
        <v>9</v>
      </c>
      <c r="E24" s="428"/>
      <c r="F24" s="428"/>
      <c r="G24" s="427"/>
      <c r="H24" s="1"/>
      <c r="I24" s="40" t="s">
        <v>29</v>
      </c>
      <c r="J24" s="399" t="s">
        <v>85</v>
      </c>
      <c r="K24" s="400"/>
      <c r="L24" s="197" t="s">
        <v>86</v>
      </c>
      <c r="M24" s="1"/>
      <c r="R24" s="3"/>
    </row>
    <row r="25" spans="1:18" ht="15.75" customHeight="1">
      <c r="A25" s="1" t="s">
        <v>180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1" t="str">
        <f>AÑO!A8</f>
        <v>Manolo Salario</v>
      </c>
      <c r="J25" s="404" t="s">
        <v>319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267.13999999999987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19.79000000000001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-341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249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210</v>
      </c>
      <c r="J35" s="404" t="s">
        <v>315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1043.8399999999999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5" t="str">
        <f>AÑO!A22</f>
        <v>Supermercado</v>
      </c>
      <c r="C42" s="414"/>
      <c r="D42" s="414"/>
      <c r="E42" s="414"/>
      <c r="F42" s="414"/>
      <c r="G42" s="415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6"/>
      <c r="C43" s="417"/>
      <c r="D43" s="417"/>
      <c r="E43" s="417"/>
      <c r="F43" s="417"/>
      <c r="G43" s="418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6" t="s">
        <v>8</v>
      </c>
      <c r="C44" s="427"/>
      <c r="D44" s="426" t="s">
        <v>9</v>
      </c>
      <c r="E44" s="428"/>
      <c r="F44" s="428"/>
      <c r="G44" s="427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1" t="str">
        <f>AÑO!A12</f>
        <v>Regalos</v>
      </c>
      <c r="J45" s="404" t="s">
        <v>686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654</v>
      </c>
      <c r="H46" s="1"/>
      <c r="I46" s="402"/>
      <c r="J46" s="406" t="s">
        <v>687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632</v>
      </c>
      <c r="D48" s="137">
        <v>22.34</v>
      </c>
      <c r="E48" s="138"/>
      <c r="F48" s="138"/>
      <c r="G48" s="16" t="s">
        <v>655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639</v>
      </c>
      <c r="D49" s="137">
        <v>49.31</v>
      </c>
      <c r="E49" s="138"/>
      <c r="F49" s="138"/>
      <c r="G49" s="16" t="s">
        <v>661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668</v>
      </c>
      <c r="H50" s="1"/>
      <c r="I50" s="401" t="str">
        <f>AÑO!A13</f>
        <v>Gubernamental</v>
      </c>
      <c r="J50" s="404" t="s">
        <v>551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669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0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1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1" t="str">
        <f>AÑO!A15</f>
        <v>Alquiler Cartama</v>
      </c>
      <c r="J60" s="404" t="s">
        <v>37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5" t="str">
        <f>AÑO!A23</f>
        <v>Ocio</v>
      </c>
      <c r="C62" s="414"/>
      <c r="D62" s="414"/>
      <c r="E62" s="414"/>
      <c r="F62" s="414"/>
      <c r="G62" s="415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6"/>
      <c r="C63" s="417"/>
      <c r="D63" s="417"/>
      <c r="E63" s="417"/>
      <c r="F63" s="417"/>
      <c r="G63" s="418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6" t="s">
        <v>8</v>
      </c>
      <c r="C64" s="427"/>
      <c r="D64" s="426" t="s">
        <v>9</v>
      </c>
      <c r="E64" s="428"/>
      <c r="F64" s="428"/>
      <c r="G64" s="427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180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-22.509999999999934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659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639</v>
      </c>
      <c r="D68" s="137">
        <v>19.5</v>
      </c>
      <c r="E68" s="138"/>
      <c r="F68" s="138">
        <v>5.5</v>
      </c>
      <c r="G68" s="16" t="s">
        <v>665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666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678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688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226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57.490000000000066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5" t="str">
        <f>AÑO!A24</f>
        <v>Transportes</v>
      </c>
      <c r="C82" s="414"/>
      <c r="D82" s="414"/>
      <c r="E82" s="414"/>
      <c r="F82" s="414"/>
      <c r="G82" s="415"/>
      <c r="H82" s="1"/>
      <c r="M82" s="1"/>
      <c r="R82" s="3"/>
    </row>
    <row r="83" spans="1:18" ht="16.149999999999999" customHeight="1" thickBot="1">
      <c r="A83" s="1"/>
      <c r="B83" s="416"/>
      <c r="C83" s="417"/>
      <c r="D83" s="417"/>
      <c r="E83" s="417"/>
      <c r="F83" s="417"/>
      <c r="G83" s="418"/>
      <c r="H83" s="1"/>
      <c r="M83" s="1"/>
      <c r="R83" s="3"/>
    </row>
    <row r="84" spans="1:18" ht="15.75">
      <c r="A84" s="1"/>
      <c r="B84" s="426" t="s">
        <v>8</v>
      </c>
      <c r="C84" s="427"/>
      <c r="D84" s="426" t="s">
        <v>9</v>
      </c>
      <c r="E84" s="428"/>
      <c r="F84" s="428"/>
      <c r="G84" s="427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196</v>
      </c>
      <c r="D86" s="137">
        <v>56.61</v>
      </c>
      <c r="E86" s="138"/>
      <c r="F86" s="138"/>
      <c r="G86" s="16" t="s">
        <v>657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658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683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5" t="str">
        <f>AÑO!A25</f>
        <v>Coches</v>
      </c>
      <c r="C102" s="414"/>
      <c r="D102" s="414"/>
      <c r="E102" s="414"/>
      <c r="F102" s="414"/>
      <c r="G102" s="415"/>
      <c r="H102" s="1"/>
      <c r="M102" s="1"/>
      <c r="R102" s="3"/>
    </row>
    <row r="103" spans="1:18" ht="16.149999999999999" customHeight="1" thickBot="1">
      <c r="A103" s="1"/>
      <c r="B103" s="416"/>
      <c r="C103" s="417"/>
      <c r="D103" s="417"/>
      <c r="E103" s="417"/>
      <c r="F103" s="417"/>
      <c r="G103" s="418"/>
      <c r="H103" s="1"/>
      <c r="M103" s="1"/>
      <c r="R103" s="3"/>
    </row>
    <row r="104" spans="1:18" ht="15.75">
      <c r="A104" s="1"/>
      <c r="B104" s="426" t="s">
        <v>8</v>
      </c>
      <c r="C104" s="427"/>
      <c r="D104" s="426" t="s">
        <v>9</v>
      </c>
      <c r="E104" s="428"/>
      <c r="F104" s="428"/>
      <c r="G104" s="427"/>
      <c r="H104" s="1"/>
      <c r="M104" s="1"/>
      <c r="R104" s="3"/>
    </row>
    <row r="105" spans="1:18" ht="15.75">
      <c r="A105" s="89" t="s">
        <v>180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4142.5115974244991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71.650000000000077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751</v>
      </c>
      <c r="B108" s="134">
        <v>50</v>
      </c>
      <c r="C108" s="18" t="s">
        <v>183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271.05999999999972</v>
      </c>
      <c r="B109" s="134">
        <v>67.53</v>
      </c>
      <c r="C109" s="18" t="s">
        <v>373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653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4965.1615974244987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5" t="str">
        <f>AÑO!A26</f>
        <v>Teléfono</v>
      </c>
      <c r="C122" s="414"/>
      <c r="D122" s="414"/>
      <c r="E122" s="414"/>
      <c r="F122" s="414"/>
      <c r="G122" s="415"/>
      <c r="H122" s="1"/>
      <c r="M122" s="1"/>
      <c r="R122" s="3"/>
    </row>
    <row r="123" spans="1:18" ht="16.149999999999999" customHeight="1" thickBot="1">
      <c r="A123" s="1"/>
      <c r="B123" s="416"/>
      <c r="C123" s="417"/>
      <c r="D123" s="417"/>
      <c r="E123" s="417"/>
      <c r="F123" s="417"/>
      <c r="G123" s="418"/>
      <c r="H123" s="1"/>
      <c r="M123" s="1"/>
      <c r="R123" s="3"/>
    </row>
    <row r="124" spans="1:18" ht="15.75">
      <c r="A124" s="1"/>
      <c r="B124" s="426" t="s">
        <v>8</v>
      </c>
      <c r="C124" s="427"/>
      <c r="D124" s="426" t="s">
        <v>9</v>
      </c>
      <c r="E124" s="428"/>
      <c r="F124" s="428"/>
      <c r="G124" s="427"/>
      <c r="H124" s="1"/>
      <c r="M124" s="1"/>
      <c r="R124" s="3"/>
    </row>
    <row r="125" spans="1:18" ht="15.75">
      <c r="A125" s="89" t="s">
        <v>180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785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5" t="str">
        <f>AÑO!A27</f>
        <v>Gatos</v>
      </c>
      <c r="C142" s="414"/>
      <c r="D142" s="414"/>
      <c r="E142" s="414"/>
      <c r="F142" s="414"/>
      <c r="G142" s="415"/>
      <c r="H142" s="1"/>
      <c r="M142" s="1"/>
      <c r="R142" s="3"/>
    </row>
    <row r="143" spans="1:18" ht="16.149999999999999" customHeight="1" thickBot="1">
      <c r="A143" s="1"/>
      <c r="B143" s="416"/>
      <c r="C143" s="417"/>
      <c r="D143" s="417"/>
      <c r="E143" s="417"/>
      <c r="F143" s="417"/>
      <c r="G143" s="418"/>
      <c r="H143" s="1"/>
      <c r="M143" s="1"/>
      <c r="R143" s="3"/>
    </row>
    <row r="144" spans="1:18" ht="15.75">
      <c r="A144" s="1"/>
      <c r="B144" s="426" t="s">
        <v>8</v>
      </c>
      <c r="C144" s="427"/>
      <c r="D144" s="426" t="s">
        <v>9</v>
      </c>
      <c r="E144" s="428"/>
      <c r="F144" s="428"/>
      <c r="G144" s="427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172</v>
      </c>
      <c r="D146" s="137">
        <v>37.29</v>
      </c>
      <c r="E146" s="138"/>
      <c r="F146" s="138"/>
      <c r="G146" s="16" t="s">
        <v>691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5" t="str">
        <f>AÑO!A28</f>
        <v>Vacaciones</v>
      </c>
      <c r="C162" s="414"/>
      <c r="D162" s="414"/>
      <c r="E162" s="414"/>
      <c r="F162" s="414"/>
      <c r="G162" s="415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6"/>
      <c r="C163" s="417"/>
      <c r="D163" s="417"/>
      <c r="E163" s="417"/>
      <c r="F163" s="417"/>
      <c r="G163" s="418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6" t="s">
        <v>8</v>
      </c>
      <c r="C164" s="427"/>
      <c r="D164" s="426" t="s">
        <v>9</v>
      </c>
      <c r="E164" s="428"/>
      <c r="F164" s="428"/>
      <c r="G164" s="427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5" t="str">
        <f>AÑO!A29</f>
        <v>Ropa</v>
      </c>
      <c r="C182" s="414"/>
      <c r="D182" s="414"/>
      <c r="E182" s="414"/>
      <c r="F182" s="414"/>
      <c r="G182" s="4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6"/>
      <c r="C183" s="417"/>
      <c r="D183" s="417"/>
      <c r="E183" s="417"/>
      <c r="F183" s="417"/>
      <c r="G183" s="41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6" t="s">
        <v>8</v>
      </c>
      <c r="C184" s="427"/>
      <c r="D184" s="426" t="s">
        <v>9</v>
      </c>
      <c r="E184" s="428"/>
      <c r="F184" s="428"/>
      <c r="G184" s="42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173</v>
      </c>
      <c r="D186" s="137">
        <v>50.2</v>
      </c>
      <c r="E186" s="138"/>
      <c r="F186" s="138"/>
      <c r="G186" s="16" t="s">
        <v>675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5" t="str">
        <f>AÑO!A30</f>
        <v>Belleza</v>
      </c>
      <c r="C202" s="414"/>
      <c r="D202" s="414"/>
      <c r="E202" s="414"/>
      <c r="F202" s="414"/>
      <c r="G202" s="415"/>
    </row>
    <row r="203" spans="2:12" ht="15" customHeight="1" thickBot="1">
      <c r="B203" s="416"/>
      <c r="C203" s="417"/>
      <c r="D203" s="417"/>
      <c r="E203" s="417"/>
      <c r="F203" s="417"/>
      <c r="G203" s="418"/>
    </row>
    <row r="204" spans="2:12">
      <c r="B204" s="426" t="s">
        <v>8</v>
      </c>
      <c r="C204" s="427"/>
      <c r="D204" s="426" t="s">
        <v>9</v>
      </c>
      <c r="E204" s="428"/>
      <c r="F204" s="428"/>
      <c r="G204" s="427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603</v>
      </c>
    </row>
    <row r="207" spans="2:12">
      <c r="B207" s="134"/>
      <c r="C207" s="16"/>
      <c r="D207" s="137">
        <v>23</v>
      </c>
      <c r="E207" s="138"/>
      <c r="F207" s="138"/>
      <c r="G207" s="16" t="s">
        <v>672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5" t="str">
        <f>AÑO!A31</f>
        <v>Deportes</v>
      </c>
      <c r="C222" s="414"/>
      <c r="D222" s="414"/>
      <c r="E222" s="414"/>
      <c r="F222" s="414"/>
      <c r="G222" s="415"/>
    </row>
    <row r="223" spans="2:7" ht="15" customHeight="1" thickBot="1">
      <c r="B223" s="416"/>
      <c r="C223" s="417"/>
      <c r="D223" s="417"/>
      <c r="E223" s="417"/>
      <c r="F223" s="417"/>
      <c r="G223" s="418"/>
    </row>
    <row r="224" spans="2:7">
      <c r="B224" s="426" t="s">
        <v>8</v>
      </c>
      <c r="C224" s="427"/>
      <c r="D224" s="426" t="s">
        <v>9</v>
      </c>
      <c r="E224" s="428"/>
      <c r="F224" s="428"/>
      <c r="G224" s="427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5" t="str">
        <f>AÑO!A32</f>
        <v>Hogar</v>
      </c>
      <c r="C242" s="414"/>
      <c r="D242" s="414"/>
      <c r="E242" s="414"/>
      <c r="F242" s="414"/>
      <c r="G242" s="415"/>
    </row>
    <row r="243" spans="1:7" ht="15" customHeight="1" thickBot="1">
      <c r="B243" s="416"/>
      <c r="C243" s="417"/>
      <c r="D243" s="417"/>
      <c r="E243" s="417"/>
      <c r="F243" s="417"/>
      <c r="G243" s="418"/>
    </row>
    <row r="244" spans="1:7" ht="15" customHeight="1">
      <c r="B244" s="426" t="s">
        <v>8</v>
      </c>
      <c r="C244" s="427"/>
      <c r="D244" s="426" t="s">
        <v>9</v>
      </c>
      <c r="E244" s="428"/>
      <c r="F244" s="428"/>
      <c r="G244" s="427"/>
    </row>
    <row r="245" spans="1:7" ht="15" customHeight="1">
      <c r="A245" s="1" t="s">
        <v>180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320</v>
      </c>
      <c r="D246" s="137">
        <f>55.4-D327</f>
        <v>45.4</v>
      </c>
      <c r="E246" s="138"/>
      <c r="F246" s="138"/>
      <c r="G246" s="16" t="s">
        <v>652</v>
      </c>
    </row>
    <row r="247" spans="1:7" ht="15" customHeight="1">
      <c r="A247" s="112"/>
      <c r="B247" s="134">
        <v>12.12</v>
      </c>
      <c r="C247" s="16" t="s">
        <v>639</v>
      </c>
      <c r="D247" s="137">
        <v>16.52</v>
      </c>
      <c r="E247" s="138"/>
      <c r="F247" s="138"/>
      <c r="G247" s="16" t="s">
        <v>667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673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327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620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5" t="str">
        <f>AÑO!A33</f>
        <v>Formación</v>
      </c>
      <c r="C262" s="414"/>
      <c r="D262" s="414"/>
      <c r="E262" s="414"/>
      <c r="F262" s="414"/>
      <c r="G262" s="415"/>
    </row>
    <row r="263" spans="1:8" ht="15" customHeight="1" thickBot="1">
      <c r="B263" s="416"/>
      <c r="C263" s="417"/>
      <c r="D263" s="417"/>
      <c r="E263" s="417"/>
      <c r="F263" s="417"/>
      <c r="G263" s="418"/>
    </row>
    <row r="264" spans="1:8">
      <c r="B264" s="426" t="s">
        <v>8</v>
      </c>
      <c r="C264" s="427"/>
      <c r="D264" s="426" t="s">
        <v>9</v>
      </c>
      <c r="E264" s="428"/>
      <c r="F264" s="428"/>
      <c r="G264" s="427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648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5" t="str">
        <f>AÑO!A34</f>
        <v>Regalos</v>
      </c>
      <c r="C282" s="414"/>
      <c r="D282" s="414"/>
      <c r="E282" s="414"/>
      <c r="F282" s="414"/>
      <c r="G282" s="415"/>
    </row>
    <row r="283" spans="1:8" ht="15" customHeight="1" thickBot="1">
      <c r="B283" s="416"/>
      <c r="C283" s="417"/>
      <c r="D283" s="417"/>
      <c r="E283" s="417"/>
      <c r="F283" s="417"/>
      <c r="G283" s="418"/>
    </row>
    <row r="284" spans="1:8">
      <c r="B284" s="426" t="s">
        <v>8</v>
      </c>
      <c r="C284" s="427"/>
      <c r="D284" s="426" t="s">
        <v>9</v>
      </c>
      <c r="E284" s="428"/>
      <c r="F284" s="428"/>
      <c r="G284" s="427"/>
    </row>
    <row r="285" spans="1:8" ht="15.75">
      <c r="A285" s="1" t="s">
        <v>180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177.63999999999973</v>
      </c>
      <c r="B286" s="133">
        <v>70</v>
      </c>
      <c r="C286" s="19" t="s">
        <v>31</v>
      </c>
      <c r="D286" s="137"/>
      <c r="E286" s="138"/>
      <c r="F286" s="138"/>
      <c r="G286" s="16" t="s">
        <v>602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679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676</v>
      </c>
      <c r="D299" s="135"/>
      <c r="E299" s="139"/>
      <c r="F299" s="139"/>
      <c r="G299" s="17"/>
    </row>
    <row r="300" spans="1:8" ht="16.5" thickBot="1">
      <c r="A300" s="112">
        <f>SUM(A286:A299)</f>
        <v>197.63999999999973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5" t="str">
        <f>AÑO!A35</f>
        <v>Salud</v>
      </c>
      <c r="C302" s="414"/>
      <c r="D302" s="414"/>
      <c r="E302" s="414"/>
      <c r="F302" s="414"/>
      <c r="G302" s="415"/>
    </row>
    <row r="303" spans="1:8" ht="15" customHeight="1" thickBot="1">
      <c r="B303" s="416"/>
      <c r="C303" s="417"/>
      <c r="D303" s="417"/>
      <c r="E303" s="417"/>
      <c r="F303" s="417"/>
      <c r="G303" s="418"/>
    </row>
    <row r="304" spans="1:8">
      <c r="B304" s="426" t="s">
        <v>8</v>
      </c>
      <c r="C304" s="427"/>
      <c r="D304" s="426" t="s">
        <v>9</v>
      </c>
      <c r="E304" s="428"/>
      <c r="F304" s="428"/>
      <c r="G304" s="427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633</v>
      </c>
      <c r="D306" s="137">
        <v>35.96</v>
      </c>
      <c r="E306" s="138"/>
      <c r="F306" s="138"/>
      <c r="G306" s="16" t="s">
        <v>662</v>
      </c>
    </row>
    <row r="307" spans="2:7">
      <c r="B307" s="134">
        <v>13.15</v>
      </c>
      <c r="C307" s="27" t="s">
        <v>670</v>
      </c>
      <c r="D307" s="137"/>
      <c r="E307" s="138"/>
      <c r="F307" s="138">
        <v>70</v>
      </c>
      <c r="G307" s="16" t="s">
        <v>664</v>
      </c>
    </row>
    <row r="308" spans="2:7">
      <c r="B308" s="134">
        <v>14.27</v>
      </c>
      <c r="C308" s="27" t="s">
        <v>682</v>
      </c>
      <c r="D308" s="137">
        <v>8.68</v>
      </c>
      <c r="E308" s="138"/>
      <c r="F308" s="138"/>
      <c r="G308" s="16" t="s">
        <v>677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5" t="str">
        <f>AÑO!A36</f>
        <v>Nenas</v>
      </c>
      <c r="C322" s="431"/>
      <c r="D322" s="431"/>
      <c r="E322" s="431"/>
      <c r="F322" s="431"/>
      <c r="G322" s="432"/>
    </row>
    <row r="323" spans="2:7" ht="15" customHeight="1" thickBot="1">
      <c r="B323" s="433"/>
      <c r="C323" s="434"/>
      <c r="D323" s="434"/>
      <c r="E323" s="434"/>
      <c r="F323" s="434"/>
      <c r="G323" s="435"/>
    </row>
    <row r="324" spans="2:7">
      <c r="B324" s="426" t="s">
        <v>8</v>
      </c>
      <c r="C324" s="427"/>
      <c r="D324" s="426" t="s">
        <v>9</v>
      </c>
      <c r="E324" s="428"/>
      <c r="F324" s="428"/>
      <c r="G324" s="427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650</v>
      </c>
    </row>
    <row r="327" spans="2:7">
      <c r="B327" s="134">
        <v>192.98</v>
      </c>
      <c r="C327" s="16" t="s">
        <v>689</v>
      </c>
      <c r="D327" s="137">
        <v>10</v>
      </c>
      <c r="E327" s="138"/>
      <c r="F327" s="138"/>
      <c r="G327" s="16" t="s">
        <v>652</v>
      </c>
    </row>
    <row r="328" spans="2:7">
      <c r="B328" s="134"/>
      <c r="C328" s="16"/>
      <c r="D328" s="137">
        <v>187.13</v>
      </c>
      <c r="E328" s="138"/>
      <c r="F328" s="138"/>
      <c r="G328" s="16" t="s">
        <v>656</v>
      </c>
    </row>
    <row r="329" spans="2:7">
      <c r="B329" s="134"/>
      <c r="C329" s="16"/>
      <c r="D329" s="137">
        <v>32.14</v>
      </c>
      <c r="E329" s="138"/>
      <c r="F329" s="138"/>
      <c r="G329" s="16" t="s">
        <v>680</v>
      </c>
    </row>
    <row r="330" spans="2:7">
      <c r="B330" s="134"/>
      <c r="C330" s="16"/>
      <c r="D330" s="137">
        <v>7.49</v>
      </c>
      <c r="E330" s="138"/>
      <c r="F330" s="138"/>
      <c r="G330" s="16" t="s">
        <v>681</v>
      </c>
    </row>
    <row r="331" spans="2:7">
      <c r="B331" s="134"/>
      <c r="C331" s="16"/>
      <c r="D331" s="137"/>
      <c r="E331" s="138">
        <v>192.98</v>
      </c>
      <c r="F331" s="138"/>
      <c r="G331" s="16" t="s">
        <v>684</v>
      </c>
    </row>
    <row r="332" spans="2:7">
      <c r="B332" s="134"/>
      <c r="C332" s="16"/>
      <c r="D332" s="137"/>
      <c r="E332" s="138">
        <v>96.65</v>
      </c>
      <c r="F332" s="138"/>
      <c r="G332" s="16" t="s">
        <v>685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5" t="str">
        <f>AÑO!A37</f>
        <v>Imprevistos</v>
      </c>
      <c r="C342" s="414"/>
      <c r="D342" s="414"/>
      <c r="E342" s="414"/>
      <c r="F342" s="414"/>
      <c r="G342" s="415"/>
    </row>
    <row r="343" spans="1:7" ht="15" customHeight="1" thickBot="1">
      <c r="B343" s="416"/>
      <c r="C343" s="417"/>
      <c r="D343" s="417"/>
      <c r="E343" s="417"/>
      <c r="F343" s="417"/>
      <c r="G343" s="418"/>
    </row>
    <row r="344" spans="1:7">
      <c r="B344" s="426" t="s">
        <v>8</v>
      </c>
      <c r="C344" s="427"/>
      <c r="D344" s="426" t="s">
        <v>9</v>
      </c>
      <c r="E344" s="428"/>
      <c r="F344" s="428"/>
      <c r="G344" s="427"/>
    </row>
    <row r="345" spans="1:7" ht="15.75">
      <c r="A345" s="1" t="s">
        <v>180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194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643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5" t="str">
        <f>AÑO!A38</f>
        <v>Gastos Curros</v>
      </c>
      <c r="C362" s="414"/>
      <c r="D362" s="414"/>
      <c r="E362" s="414"/>
      <c r="F362" s="414"/>
      <c r="G362" s="415"/>
    </row>
    <row r="363" spans="1:7" ht="15" customHeight="1" thickBot="1">
      <c r="B363" s="416"/>
      <c r="C363" s="417"/>
      <c r="D363" s="417"/>
      <c r="E363" s="417"/>
      <c r="F363" s="417"/>
      <c r="G363" s="418"/>
    </row>
    <row r="364" spans="1:7">
      <c r="B364" s="426" t="s">
        <v>8</v>
      </c>
      <c r="C364" s="427"/>
      <c r="D364" s="426" t="s">
        <v>9</v>
      </c>
      <c r="E364" s="428"/>
      <c r="F364" s="428"/>
      <c r="G364" s="427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5" t="str">
        <f>AÑO!A39</f>
        <v>Dreamed Holidays</v>
      </c>
      <c r="C382" s="431"/>
      <c r="D382" s="431"/>
      <c r="E382" s="431"/>
      <c r="F382" s="431"/>
      <c r="G382" s="432"/>
    </row>
    <row r="383" spans="2:7" ht="15" customHeight="1" thickBot="1">
      <c r="B383" s="433"/>
      <c r="C383" s="434"/>
      <c r="D383" s="434"/>
      <c r="E383" s="434"/>
      <c r="F383" s="434"/>
      <c r="G383" s="435"/>
    </row>
    <row r="384" spans="2:7">
      <c r="B384" s="426" t="s">
        <v>8</v>
      </c>
      <c r="C384" s="427"/>
      <c r="D384" s="426" t="s">
        <v>9</v>
      </c>
      <c r="E384" s="428"/>
      <c r="F384" s="428"/>
      <c r="G384" s="427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5" t="str">
        <f>AÑO!A40</f>
        <v>Financieros</v>
      </c>
      <c r="C402" s="414"/>
      <c r="D402" s="414"/>
      <c r="E402" s="414"/>
      <c r="F402" s="414"/>
      <c r="G402" s="415"/>
    </row>
    <row r="403" spans="2:7" ht="15" customHeight="1" thickBot="1">
      <c r="B403" s="416"/>
      <c r="C403" s="417"/>
      <c r="D403" s="417"/>
      <c r="E403" s="417"/>
      <c r="F403" s="417"/>
      <c r="G403" s="418"/>
    </row>
    <row r="404" spans="2:7">
      <c r="B404" s="426" t="s">
        <v>8</v>
      </c>
      <c r="C404" s="427"/>
      <c r="D404" s="426" t="s">
        <v>9</v>
      </c>
      <c r="E404" s="428"/>
      <c r="F404" s="428"/>
      <c r="G404" s="427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649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5" t="str">
        <f>AÑO!A41</f>
        <v>Ahorros Colchón</v>
      </c>
      <c r="C422" s="431"/>
      <c r="D422" s="431"/>
      <c r="E422" s="431"/>
      <c r="F422" s="431"/>
      <c r="G422" s="432"/>
    </row>
    <row r="423" spans="1:7" ht="15" customHeight="1" thickBot="1">
      <c r="B423" s="433"/>
      <c r="C423" s="434"/>
      <c r="D423" s="434"/>
      <c r="E423" s="434"/>
      <c r="F423" s="434"/>
      <c r="G423" s="435"/>
    </row>
    <row r="424" spans="1:7">
      <c r="B424" s="426" t="s">
        <v>8</v>
      </c>
      <c r="C424" s="427"/>
      <c r="D424" s="426" t="s">
        <v>9</v>
      </c>
      <c r="E424" s="428"/>
      <c r="F424" s="428"/>
      <c r="G424" s="427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225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5" t="str">
        <f>AÑO!A42</f>
        <v>Dinero Bloqueado</v>
      </c>
      <c r="C442" s="431"/>
      <c r="D442" s="431"/>
      <c r="E442" s="431"/>
      <c r="F442" s="431"/>
      <c r="G442" s="432"/>
    </row>
    <row r="443" spans="2:7" ht="15" customHeight="1" thickBot="1">
      <c r="B443" s="433"/>
      <c r="C443" s="434"/>
      <c r="D443" s="434"/>
      <c r="E443" s="434"/>
      <c r="F443" s="434"/>
      <c r="G443" s="435"/>
    </row>
    <row r="444" spans="2:7">
      <c r="B444" s="426" t="s">
        <v>8</v>
      </c>
      <c r="C444" s="427"/>
      <c r="D444" s="428" t="s">
        <v>9</v>
      </c>
      <c r="E444" s="428"/>
      <c r="F444" s="428"/>
      <c r="G444" s="427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5" t="str">
        <f>AÑO!A43</f>
        <v>NULO</v>
      </c>
      <c r="C462" s="431"/>
      <c r="D462" s="431"/>
      <c r="E462" s="431"/>
      <c r="F462" s="431"/>
      <c r="G462" s="432"/>
    </row>
    <row r="463" spans="2:7" ht="15" customHeight="1" thickBot="1">
      <c r="B463" s="433"/>
      <c r="C463" s="434"/>
      <c r="D463" s="434"/>
      <c r="E463" s="434"/>
      <c r="F463" s="434"/>
      <c r="G463" s="435"/>
    </row>
    <row r="464" spans="2:7">
      <c r="B464" s="426" t="s">
        <v>8</v>
      </c>
      <c r="C464" s="427"/>
      <c r="D464" s="428" t="s">
        <v>9</v>
      </c>
      <c r="E464" s="428"/>
      <c r="F464" s="428"/>
      <c r="G464" s="427"/>
    </row>
    <row r="465" spans="1:7">
      <c r="A465" s="89" t="s">
        <v>180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269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371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182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5" t="str">
        <f>AÑO!A44</f>
        <v>NULO</v>
      </c>
      <c r="C482" s="431"/>
      <c r="D482" s="431"/>
      <c r="E482" s="431"/>
      <c r="F482" s="431"/>
      <c r="G482" s="432"/>
    </row>
    <row r="483" spans="2:7" ht="15" customHeight="1" thickBot="1">
      <c r="B483" s="433"/>
      <c r="C483" s="434"/>
      <c r="D483" s="434"/>
      <c r="E483" s="434"/>
      <c r="F483" s="434"/>
      <c r="G483" s="435"/>
    </row>
    <row r="484" spans="2:7">
      <c r="B484" s="426" t="s">
        <v>8</v>
      </c>
      <c r="C484" s="427"/>
      <c r="D484" s="428" t="s">
        <v>9</v>
      </c>
      <c r="E484" s="428"/>
      <c r="F484" s="428"/>
      <c r="G484" s="427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5" t="str">
        <f>AÑO!A45</f>
        <v>OTROS</v>
      </c>
      <c r="C502" s="431"/>
      <c r="D502" s="431"/>
      <c r="E502" s="431"/>
      <c r="F502" s="431"/>
      <c r="G502" s="432"/>
    </row>
    <row r="503" spans="2:7" ht="15" customHeight="1" thickBot="1">
      <c r="B503" s="433"/>
      <c r="C503" s="434"/>
      <c r="D503" s="434"/>
      <c r="E503" s="434"/>
      <c r="F503" s="434"/>
      <c r="G503" s="435"/>
    </row>
    <row r="504" spans="2:7">
      <c r="B504" s="426" t="s">
        <v>8</v>
      </c>
      <c r="C504" s="427"/>
      <c r="D504" s="426" t="s">
        <v>9</v>
      </c>
      <c r="E504" s="428"/>
      <c r="F504" s="428"/>
      <c r="G504" s="427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639</v>
      </c>
      <c r="D506" s="137">
        <v>23.43</v>
      </c>
      <c r="E506" s="138"/>
      <c r="F506" s="138"/>
      <c r="G506" s="16" t="s">
        <v>663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2020-01-02T16:21:09Z</dcterms:modified>
</cp:coreProperties>
</file>