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1669AE39-E415-44FA-AEDF-CFD72F539E8A}" xr6:coauthVersionLast="41" xr6:coauthVersionMax="41" xr10:uidLastSave="{00000000-0000-0000-0000-000000000000}"/>
  <bookViews>
    <workbookView xWindow="-108" yWindow="12852" windowWidth="22224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9" l="1"/>
  <c r="H48" i="10"/>
  <c r="M5" i="9" l="1"/>
  <c r="H48" i="9" l="1"/>
  <c r="A299" i="10" l="1"/>
  <c r="A286" i="9"/>
  <c r="A300" i="9" s="1"/>
  <c r="A299" i="9"/>
  <c r="A286" i="10" l="1"/>
  <c r="A300" i="10" s="1"/>
  <c r="A427" i="9"/>
  <c r="D67" i="9" l="1"/>
  <c r="H25" i="15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26" i="15"/>
  <c r="O27" i="15"/>
  <c r="O28" i="15"/>
  <c r="O29" i="15"/>
  <c r="O26" i="15"/>
  <c r="B5" i="19"/>
  <c r="B6" i="19"/>
  <c r="A109" i="9"/>
  <c r="A108" i="9"/>
  <c r="A467" i="9"/>
  <c r="D246" i="9" l="1"/>
  <c r="P32" i="18" l="1"/>
  <c r="D366" i="8"/>
  <c r="A359" i="10"/>
  <c r="A358" i="10"/>
  <c r="A346" i="10"/>
  <c r="H257" i="10"/>
  <c r="A257" i="10"/>
  <c r="A256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9" s="1"/>
  <c r="A246" i="10" s="1"/>
  <c r="A260" i="10" s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A66" i="10" s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1" s="1"/>
  <c r="A109" i="12" s="1"/>
  <c r="A109" i="13" s="1"/>
  <c r="A108" i="5"/>
  <c r="A108" i="6" s="1"/>
  <c r="A108" i="7" s="1"/>
  <c r="A108" i="8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1" i="14"/>
  <c r="M10" i="14"/>
  <c r="N10" i="14" s="1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K11" i="14" l="1"/>
  <c r="B23" i="14" s="1"/>
  <c r="N11" i="14"/>
  <c r="AX20" i="1"/>
  <c r="BJ20" i="1"/>
  <c r="AX40" i="1"/>
  <c r="BJ40" i="1"/>
  <c r="M13" i="14"/>
  <c r="N13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2" s="1"/>
  <c r="A40" i="11"/>
  <c r="A40" i="10"/>
  <c r="A256" i="8"/>
  <c r="A260" i="8" s="1"/>
  <c r="A260" i="7"/>
  <c r="A26" i="13"/>
  <c r="A40" i="13" s="1"/>
</calcChain>
</file>

<file path=xl/sharedStrings.xml><?xml version="1.0" encoding="utf-8"?>
<sst xmlns="http://schemas.openxmlformats.org/spreadsheetml/2006/main" count="5599" uniqueCount="786">
  <si>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</si>
  <si>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</si>
  <si>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</si>
  <si>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</si>
  <si>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</si>
  <si>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</si>
  <si>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</si>
  <si>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</si>
  <si>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</si>
  <si>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</si>
  <si>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</si>
  <si>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</si>
  <si>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</si>
  <si>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</si>
  <si>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</si>
  <si>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</si>
  <si>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</si>
  <si>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</si>
  <si>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</si>
  <si>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</si>
  <si>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</si>
  <si>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</si>
  <si>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</si>
  <si>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</si>
  <si>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</si>
  <si>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</si>
  <si>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</si>
  <si>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</si>
  <si>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</si>
  <si>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</si>
  <si>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</si>
  <si>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</si>
  <si>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</si>
  <si>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</si>
  <si>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</si>
  <si>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</si>
  <si>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</si>
  <si>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</si>
  <si>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</si>
  <si>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</si>
  <si>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</si>
  <si>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</si>
  <si>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</si>
  <si>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</si>
  <si>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</si>
  <si>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</si>
  <si>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</si>
  <si>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</si>
  <si>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</si>
  <si>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</si>
  <si>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</si>
  <si>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</si>
  <si>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</si>
  <si>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</si>
  <si>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</si>
  <si>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</si>
  <si>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</si>
  <si>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</si>
  <si>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</si>
  <si>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</si>
  <si>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</si>
  <si>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</si>
  <si>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</si>
  <si>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</si>
  <si>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</si>
  <si>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</si>
  <si>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</si>
  <si>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</si>
  <si>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</si>
  <si>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</si>
  <si>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</si>
  <si>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</si>
  <si>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</si>
  <si>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</si>
  <si>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</si>
  <si>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</si>
  <si>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</si>
  <si>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</si>
  <si>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</si>
  <si>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</si>
  <si>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</si>
  <si>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</si>
  <si>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</si>
  <si>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</si>
  <si>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</si>
  <si>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</si>
  <si>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</si>
  <si>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</si>
  <si>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</si>
  <si>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</si>
  <si>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</si>
  <si>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</si>
  <si>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</si>
  <si>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</si>
  <si>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</si>
  <si>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</si>
  <si>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</si>
  <si>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</si>
  <si>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</si>
  <si>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</si>
  <si>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</si>
  <si>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</si>
  <si>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</si>
  <si>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</si>
  <si>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</si>
  <si>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</si>
  <si>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</si>
  <si>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</si>
  <si>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</si>
  <si>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</si>
  <si>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</si>
  <si>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</si>
  <si>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</si>
  <si>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</si>
  <si>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</si>
  <si>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</si>
  <si>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</si>
  <si>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</si>
  <si>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</si>
  <si>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</si>
  <si>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</si>
  <si>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</si>
  <si>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</si>
  <si>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</si>
  <si>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</si>
  <si>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</si>
  <si>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</si>
  <si>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</si>
  <si>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</si>
  <si>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</si>
  <si>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</si>
  <si>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</si>
  <si>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</si>
  <si>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</si>
  <si>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</si>
  <si>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</si>
  <si>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</si>
  <si>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</si>
  <si>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</si>
  <si>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</si>
  <si>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</si>
  <si>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</si>
  <si>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</si>
  <si>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</si>
  <si>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</si>
  <si>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</si>
  <si>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</si>
  <si>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</si>
  <si>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</si>
  <si>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</si>
  <si>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</si>
  <si>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</si>
  <si>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</si>
  <si>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</si>
  <si>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</si>
  <si>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</si>
  <si>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</si>
  <si>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</si>
  <si>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</si>
  <si>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</si>
  <si>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</si>
  <si>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</si>
  <si>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</si>
  <si>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</si>
  <si>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</si>
  <si>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</si>
  <si>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</si>
  <si>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</si>
  <si>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</si>
  <si>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</si>
  <si>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</si>
  <si>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</si>
  <si>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</si>
  <si>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</si>
  <si>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</si>
  <si>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</si>
  <si>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</si>
  <si>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</si>
  <si>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</si>
  <si>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</si>
  <si>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</si>
  <si>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</si>
  <si>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</si>
  <si>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</si>
  <si>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</si>
  <si>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</si>
  <si>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</si>
  <si>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</si>
  <si>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</si>
  <si>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</si>
  <si>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</si>
  <si>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</si>
  <si>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</si>
  <si>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</si>
  <si>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</si>
  <si>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</si>
  <si>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</si>
  <si>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</si>
  <si>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</si>
  <si>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</si>
  <si>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</si>
  <si>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</si>
  <si>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</si>
  <si>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</si>
  <si>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</si>
  <si>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</si>
  <si>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</si>
  <si>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</si>
  <si>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</si>
  <si>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</si>
  <si>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</si>
  <si>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</si>
  <si>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</si>
  <si>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</si>
  <si>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</si>
  <si>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</si>
  <si>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</si>
  <si>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</si>
  <si>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</si>
  <si>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</si>
  <si>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</si>
  <si>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</si>
  <si>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</si>
  <si>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</si>
  <si>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</si>
  <si>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</si>
  <si>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</si>
  <si>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</si>
  <si>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</si>
  <si>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</si>
  <si>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</si>
  <si>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</si>
  <si>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</si>
  <si>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</si>
  <si>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</si>
  <si>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</si>
  <si>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</si>
  <si>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</si>
  <si>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</si>
  <si>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</si>
  <si>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</si>
  <si>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</si>
  <si>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</si>
  <si>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</si>
  <si>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</si>
  <si>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</si>
  <si>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</si>
  <si>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</si>
  <si>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</si>
  <si>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</si>
  <si>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</si>
  <si>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</si>
  <si>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</si>
  <si>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</si>
  <si>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</si>
  <si>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</si>
  <si>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</si>
  <si>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</si>
  <si>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</si>
  <si>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</si>
  <si>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</si>
  <si>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</si>
  <si>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</si>
  <si>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</si>
  <si>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</si>
  <si>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</si>
  <si>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</si>
  <si>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</si>
  <si>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</si>
  <si>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</si>
  <si>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</si>
  <si>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</si>
  <si>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</si>
  <si>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</si>
  <si>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</si>
  <si>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</si>
  <si>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</si>
  <si>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</si>
  <si>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</si>
  <si>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</si>
  <si>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</si>
  <si>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</si>
  <si>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</si>
  <si>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</si>
  <si>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</si>
  <si>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</si>
  <si>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</si>
  <si>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</si>
  <si>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</si>
  <si>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</si>
  <si>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</si>
  <si>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</si>
  <si>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</si>
  <si>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</si>
  <si>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</si>
  <si>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</si>
  <si>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</si>
  <si>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</si>
  <si>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</si>
  <si>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</si>
  <si>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</si>
  <si>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</si>
  <si>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</si>
  <si>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</si>
  <si>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</si>
  <si>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</si>
  <si>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</si>
  <si>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</si>
  <si>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</si>
  <si>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</si>
  <si>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</si>
  <si>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</si>
  <si>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</si>
  <si>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</si>
  <si>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</si>
  <si>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</si>
  <si>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</si>
  <si>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</si>
  <si>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</si>
  <si>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</si>
  <si>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</si>
  <si>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</si>
  <si>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</si>
  <si>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</si>
  <si>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</si>
  <si>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</si>
  <si>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</si>
  <si>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</si>
  <si>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</si>
  <si>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</si>
  <si>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</si>
  <si>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</si>
  <si>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</si>
  <si>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</si>
  <si>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</si>
  <si>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</si>
  <si>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</si>
  <si>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</si>
  <si>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</si>
  <si>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</si>
  <si>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</si>
  <si>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</si>
  <si>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</si>
  <si>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</si>
  <si>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</si>
  <si>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</si>
  <si>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</si>
  <si>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</si>
  <si>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</si>
  <si>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</si>
  <si>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</si>
  <si>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</si>
  <si>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</si>
  <si>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</si>
  <si>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</si>
  <si>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</si>
  <si>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</si>
  <si>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</si>
  <si>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</si>
  <si>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</si>
  <si>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</si>
  <si>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</si>
  <si>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</si>
  <si>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</si>
  <si>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</si>
  <si>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</si>
  <si>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</si>
  <si>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</si>
  <si>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</si>
  <si>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</si>
  <si>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</si>
  <si>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</si>
  <si>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</si>
  <si>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</si>
  <si>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</si>
  <si>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</si>
  <si>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</si>
  <si>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</si>
  <si>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</si>
  <si>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</si>
  <si>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</si>
  <si>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</si>
  <si>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</si>
  <si>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</si>
  <si>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</si>
  <si>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</si>
  <si>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</si>
  <si>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</si>
  <si>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</si>
  <si>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</si>
  <si>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</si>
  <si>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</si>
  <si>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</si>
  <si>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</si>
  <si>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</si>
  <si>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</si>
  <si>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</si>
  <si>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</si>
  <si>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</si>
  <si>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</si>
  <si>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</si>
  <si>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</si>
  <si>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</si>
  <si>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</si>
  <si>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</si>
  <si>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</si>
  <si>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</si>
  <si>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</si>
  <si>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</si>
  <si>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</si>
  <si>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</si>
  <si>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</si>
  <si>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</si>
  <si>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</si>
  <si>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</si>
  <si>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</si>
  <si>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</si>
  <si>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</si>
  <si>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</si>
  <si>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</si>
  <si>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</si>
  <si>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</si>
  <si>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</si>
  <si>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</si>
  <si>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</si>
  <si>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</si>
  <si>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</si>
  <si>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</si>
  <si>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</si>
  <si>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</si>
  <si>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</si>
  <si>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</si>
  <si>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</si>
  <si>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</si>
  <si>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</si>
  <si>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</si>
  <si>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</si>
  <si>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</si>
  <si>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</si>
  <si>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</si>
  <si>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</si>
  <si>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</si>
  <si>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</si>
  <si>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</si>
  <si>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</si>
  <si>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</si>
  <si>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</si>
  <si>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</si>
  <si>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</si>
  <si>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</si>
  <si>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</si>
  <si>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</si>
  <si>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</si>
  <si>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</si>
  <si>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</si>
  <si>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</si>
  <si>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</si>
  <si>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</si>
  <si>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</si>
  <si>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</si>
  <si>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</si>
  <si>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</si>
  <si>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</si>
  <si>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</si>
  <si>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</si>
  <si>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</si>
  <si>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</si>
  <si>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</si>
  <si>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</si>
  <si>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</si>
  <si>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</si>
  <si>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</si>
  <si>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</si>
  <si>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</si>
  <si>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</si>
  <si>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</si>
  <si>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</si>
  <si>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</si>
  <si>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</si>
  <si>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</si>
  <si>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</si>
  <si>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</si>
  <si>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</si>
  <si>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</si>
  <si>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</si>
  <si>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</si>
  <si>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</si>
  <si>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</si>
  <si>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</si>
  <si>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</si>
  <si>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</si>
  <si>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</si>
  <si>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</si>
  <si>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</si>
  <si>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</si>
  <si>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</si>
  <si>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</si>
  <si>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</si>
  <si>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</si>
  <si>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</si>
  <si>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</si>
  <si>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</si>
  <si>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</si>
  <si>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</si>
  <si>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</si>
  <si>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</si>
  <si>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</si>
  <si>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</si>
  <si>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</si>
  <si>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</si>
  <si>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</si>
  <si>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</si>
  <si>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</si>
  <si>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</si>
  <si>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</si>
  <si>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</si>
  <si>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</si>
  <si>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</si>
  <si>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</si>
  <si>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</si>
  <si>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</si>
  <si>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</si>
  <si>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</si>
  <si>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</si>
  <si>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</si>
  <si>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</si>
  <si>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</si>
  <si>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</si>
  <si>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</si>
  <si>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</si>
  <si>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</si>
  <si>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</si>
  <si>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</si>
  <si>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</si>
  <si>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</si>
  <si>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</si>
  <si>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</si>
  <si>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</si>
  <si>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</si>
  <si>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</si>
  <si>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</si>
  <si>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</si>
  <si>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</si>
  <si>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</si>
  <si>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</si>
  <si>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</si>
  <si>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</si>
  <si>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</si>
  <si>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</si>
  <si>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</si>
  <si>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</si>
  <si>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</si>
  <si>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</si>
  <si>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</si>
  <si>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</si>
  <si>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</si>
  <si>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</si>
  <si>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</si>
  <si>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</si>
  <si>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</si>
  <si>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</si>
  <si>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</si>
  <si>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</si>
  <si>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</si>
  <si>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</si>
  <si>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</si>
  <si>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</si>
  <si>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</si>
  <si>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</si>
  <si>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</si>
  <si>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</si>
  <si>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</si>
  <si>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</si>
  <si>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</si>
  <si>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</si>
  <si>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</si>
  <si>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</si>
  <si>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</si>
  <si>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</si>
  <si>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</si>
  <si>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</si>
  <si>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</si>
  <si>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</si>
  <si>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</si>
  <si>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</si>
  <si>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</si>
  <si>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</si>
  <si>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</si>
  <si>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</si>
  <si>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</si>
  <si>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</si>
  <si>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</si>
  <si>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</si>
  <si>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</si>
  <si>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</si>
  <si>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</si>
  <si>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</si>
  <si>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</si>
  <si>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</si>
  <si>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</si>
  <si>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</si>
  <si>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</si>
  <si>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</si>
  <si>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</si>
  <si>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</si>
  <si>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</si>
  <si>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</si>
  <si>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</si>
  <si>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</si>
  <si>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</si>
  <si>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</si>
  <si>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</si>
  <si>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</si>
  <si>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</si>
  <si>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</si>
  <si>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</si>
  <si>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</si>
  <si>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</si>
  <si>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</si>
  <si>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</si>
  <si>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</si>
  <si>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</si>
  <si>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</si>
  <si>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</si>
  <si>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</si>
  <si>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</si>
  <si>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</si>
  <si>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</si>
  <si>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</si>
  <si>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</si>
  <si>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</si>
  <si>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</si>
  <si>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</si>
  <si>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</si>
  <si>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</si>
  <si>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</si>
  <si>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</si>
  <si>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</si>
  <si>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</si>
  <si>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</si>
  <si>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</si>
  <si>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</si>
  <si>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</si>
  <si>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</si>
  <si>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</si>
  <si>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</si>
  <si>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</si>
  <si>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</si>
  <si>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</si>
  <si>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</si>
  <si>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</si>
  <si>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</si>
  <si>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</si>
  <si>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</si>
  <si>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</si>
  <si>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</si>
  <si>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</si>
  <si>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</si>
  <si>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</si>
  <si>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</si>
  <si>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</si>
  <si>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</si>
  <si>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</si>
  <si>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</si>
  <si>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</si>
  <si>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</si>
  <si>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</si>
  <si>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</si>
  <si>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</si>
  <si>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</si>
  <si>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</si>
  <si>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</si>
  <si>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</si>
  <si>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</si>
  <si>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</si>
  <si>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</si>
  <si>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</si>
  <si>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</si>
  <si>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</si>
  <si>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</si>
  <si>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</si>
  <si>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</si>
  <si>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</si>
  <si>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</si>
  <si>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</si>
  <si>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</si>
  <si>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</si>
  <si>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</si>
  <si>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</si>
  <si>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</si>
  <si>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</si>
  <si>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</si>
  <si>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</si>
  <si>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</si>
  <si>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</si>
  <si>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</si>
  <si>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</si>
  <si>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</si>
  <si>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</si>
  <si>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</si>
  <si>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</si>
  <si>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</si>
  <si>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</si>
  <si>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</si>
  <si>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</si>
  <si>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</si>
  <si>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</si>
  <si>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</si>
  <si>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</si>
  <si>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</si>
  <si>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</si>
  <si>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</si>
  <si>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</si>
  <si>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</si>
  <si>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</si>
  <si>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</si>
  <si>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</si>
  <si>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</si>
  <si>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</si>
  <si>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</si>
  <si>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</si>
  <si>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</si>
  <si>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</si>
  <si>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</si>
  <si>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</si>
  <si>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</si>
  <si>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</si>
  <si>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</si>
  <si>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</si>
  <si>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</si>
  <si>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</si>
  <si>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</si>
  <si>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</si>
  <si>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</si>
  <si>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</si>
  <si>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</si>
  <si>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</si>
  <si>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</si>
  <si>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</si>
  <si>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</si>
  <si>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</si>
  <si>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</si>
  <si>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</si>
  <si>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</si>
  <si>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</si>
  <si>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</si>
  <si>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</si>
  <si>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</si>
  <si>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</si>
  <si>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</si>
  <si>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</si>
  <si>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</si>
  <si>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</si>
  <si>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</si>
  <si>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</si>
  <si>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</si>
  <si>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</si>
  <si>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</si>
  <si>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</si>
  <si>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</si>
  <si>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</si>
  <si>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</si>
  <si>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</si>
  <si>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</si>
  <si>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</si>
  <si>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</si>
  <si>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</si>
  <si>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</si>
  <si>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</si>
  <si>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</si>
  <si>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</si>
  <si>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</si>
  <si>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</si>
  <si>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</si>
  <si>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</si>
  <si>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</si>
  <si>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</si>
  <si>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&lt;275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</si>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</sst>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31" zoomScaleNormal="100" workbookViewId="0">
      <pane xSplit="1" topLeftCell="AA1" activePane="topRight" state="frozen"/>
      <selection pane="topRight" activeCell="AE31" sqref="AE31:AH3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2" t="s">
        <v>0</v>
      </c>
      <c r="D4" s="383"/>
      <c r="E4" s="383"/>
      <c r="F4" s="384"/>
      <c r="G4" s="382" t="s">
        <v>1</v>
      </c>
      <c r="H4" s="383"/>
      <c r="I4" s="383"/>
      <c r="J4" s="384"/>
      <c r="K4" s="382" t="s">
        <v>2</v>
      </c>
      <c r="L4" s="383"/>
      <c r="M4" s="383"/>
      <c r="N4" s="384"/>
      <c r="O4" s="382" t="s">
        <v>3</v>
      </c>
      <c r="P4" s="383"/>
      <c r="Q4" s="383"/>
      <c r="R4" s="384"/>
      <c r="S4" s="382" t="s">
        <v>71</v>
      </c>
      <c r="T4" s="383"/>
      <c r="U4" s="383"/>
      <c r="V4" s="384"/>
      <c r="W4" s="382" t="s">
        <v>70</v>
      </c>
      <c r="X4" s="383"/>
      <c r="Y4" s="383"/>
      <c r="Z4" s="384"/>
      <c r="AA4" s="382" t="s">
        <v>72</v>
      </c>
      <c r="AB4" s="383"/>
      <c r="AC4" s="383"/>
      <c r="AD4" s="384"/>
      <c r="AE4" s="382" t="s">
        <v>73</v>
      </c>
      <c r="AF4" s="383"/>
      <c r="AG4" s="383"/>
      <c r="AH4" s="384"/>
      <c r="AI4" s="382" t="s">
        <v>75</v>
      </c>
      <c r="AJ4" s="383"/>
      <c r="AK4" s="383"/>
      <c r="AL4" s="384"/>
      <c r="AM4" s="382" t="s">
        <v>77</v>
      </c>
      <c r="AN4" s="383"/>
      <c r="AO4" s="383"/>
      <c r="AP4" s="384"/>
      <c r="AQ4" s="382" t="s">
        <v>79</v>
      </c>
      <c r="AR4" s="383"/>
      <c r="AS4" s="383"/>
      <c r="AT4" s="384"/>
      <c r="AU4" s="382" t="s">
        <v>84</v>
      </c>
      <c r="AV4" s="383"/>
      <c r="AW4" s="383"/>
      <c r="AX4" s="3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1">
        <f>'01'!K19</f>
        <v>26383.54</v>
      </c>
      <c r="D5" s="389"/>
      <c r="E5" s="389"/>
      <c r="F5" s="390"/>
      <c r="G5" s="391">
        <f>'02'!K19</f>
        <v>25229.379999999997</v>
      </c>
      <c r="H5" s="389"/>
      <c r="I5" s="389"/>
      <c r="J5" s="390"/>
      <c r="K5" s="388">
        <f>'03'!K19</f>
        <v>25574.760000000002</v>
      </c>
      <c r="L5" s="389"/>
      <c r="M5" s="389"/>
      <c r="N5" s="390"/>
      <c r="O5" s="388">
        <f>'04'!K19</f>
        <v>26443.759999999998</v>
      </c>
      <c r="P5" s="389"/>
      <c r="Q5" s="389"/>
      <c r="R5" s="390"/>
      <c r="S5" s="388">
        <f>'05'!K19</f>
        <v>27163.090000000004</v>
      </c>
      <c r="T5" s="389"/>
      <c r="U5" s="389"/>
      <c r="V5" s="390"/>
      <c r="W5" s="388">
        <f>'06'!K19</f>
        <v>29014.079999999998</v>
      </c>
      <c r="X5" s="389"/>
      <c r="Y5" s="389"/>
      <c r="Z5" s="390"/>
      <c r="AA5" s="388">
        <f>'07'!K19</f>
        <v>29282.959999999999</v>
      </c>
      <c r="AB5" s="389"/>
      <c r="AC5" s="389"/>
      <c r="AD5" s="390"/>
      <c r="AE5" s="388">
        <f>'08'!K19</f>
        <v>29166.850000000002</v>
      </c>
      <c r="AF5" s="389"/>
      <c r="AG5" s="389"/>
      <c r="AH5" s="390"/>
      <c r="AI5" s="388">
        <f>'09'!K19</f>
        <v>29171.350000000002</v>
      </c>
      <c r="AJ5" s="389"/>
      <c r="AK5" s="389"/>
      <c r="AL5" s="390"/>
      <c r="AM5" s="388">
        <f>'10'!K19</f>
        <v>15101.890000000001</v>
      </c>
      <c r="AN5" s="389"/>
      <c r="AO5" s="389"/>
      <c r="AP5" s="390"/>
      <c r="AQ5" s="388">
        <f>'11'!K19</f>
        <v>15101.890000000001</v>
      </c>
      <c r="AR5" s="389"/>
      <c r="AS5" s="389"/>
      <c r="AT5" s="390"/>
      <c r="AU5" s="388">
        <f>'12'!K19</f>
        <v>15101.890000000001</v>
      </c>
      <c r="AV5" s="389"/>
      <c r="AW5" s="389"/>
      <c r="AX5" s="390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5" t="s">
        <v>230</v>
      </c>
      <c r="D7" s="386"/>
      <c r="E7" s="386"/>
      <c r="F7" s="387"/>
      <c r="G7" s="385" t="s">
        <v>230</v>
      </c>
      <c r="H7" s="386"/>
      <c r="I7" s="386"/>
      <c r="J7" s="387"/>
      <c r="K7" s="385" t="s">
        <v>230</v>
      </c>
      <c r="L7" s="386"/>
      <c r="M7" s="386"/>
      <c r="N7" s="387"/>
      <c r="O7" s="385" t="s">
        <v>230</v>
      </c>
      <c r="P7" s="386"/>
      <c r="Q7" s="386"/>
      <c r="R7" s="387"/>
      <c r="S7" s="385" t="s">
        <v>230</v>
      </c>
      <c r="T7" s="386"/>
      <c r="U7" s="386"/>
      <c r="V7" s="387"/>
      <c r="W7" s="385" t="s">
        <v>230</v>
      </c>
      <c r="X7" s="386"/>
      <c r="Y7" s="386"/>
      <c r="Z7" s="387"/>
      <c r="AA7" s="385" t="s">
        <v>230</v>
      </c>
      <c r="AB7" s="386"/>
      <c r="AC7" s="386"/>
      <c r="AD7" s="387"/>
      <c r="AE7" s="385" t="s">
        <v>230</v>
      </c>
      <c r="AF7" s="386"/>
      <c r="AG7" s="386"/>
      <c r="AH7" s="387"/>
      <c r="AI7" s="385" t="s">
        <v>230</v>
      </c>
      <c r="AJ7" s="386"/>
      <c r="AK7" s="386"/>
      <c r="AL7" s="387"/>
      <c r="AM7" s="385" t="s">
        <v>230</v>
      </c>
      <c r="AN7" s="386"/>
      <c r="AO7" s="386"/>
      <c r="AP7" s="387"/>
      <c r="AQ7" s="385" t="s">
        <v>230</v>
      </c>
      <c r="AR7" s="386"/>
      <c r="AS7" s="386"/>
      <c r="AT7" s="387"/>
      <c r="AU7" s="385" t="s">
        <v>230</v>
      </c>
      <c r="AV7" s="386"/>
      <c r="AW7" s="386"/>
      <c r="AX7" s="387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2">
        <f>SUM('01'!L25:'01'!L29)</f>
        <v>2593.46</v>
      </c>
      <c r="D8" s="393"/>
      <c r="E8" s="393"/>
      <c r="F8" s="394"/>
      <c r="G8" s="392">
        <f>SUM('02'!L25:'02'!L29)</f>
        <v>2592.42</v>
      </c>
      <c r="H8" s="393"/>
      <c r="I8" s="393"/>
      <c r="J8" s="394"/>
      <c r="K8" s="392">
        <f>SUM('03'!L25:'03'!L29)</f>
        <v>2526.87</v>
      </c>
      <c r="L8" s="393"/>
      <c r="M8" s="393"/>
      <c r="N8" s="394"/>
      <c r="O8" s="392">
        <f>SUM('04'!L25:'04'!L29)</f>
        <v>2570.56</v>
      </c>
      <c r="P8" s="393"/>
      <c r="Q8" s="393"/>
      <c r="R8" s="394"/>
      <c r="S8" s="392">
        <f>SUM('05'!L25:'05'!L29)</f>
        <v>4448.8500000000004</v>
      </c>
      <c r="T8" s="393"/>
      <c r="U8" s="393"/>
      <c r="V8" s="394"/>
      <c r="W8" s="392">
        <f>SUM('06'!L25:'06'!L29)</f>
        <v>2574.61</v>
      </c>
      <c r="X8" s="393"/>
      <c r="Y8" s="393"/>
      <c r="Z8" s="394"/>
      <c r="AA8" s="392">
        <f>SUM('07'!L25:'07'!L29)</f>
        <v>2568.54</v>
      </c>
      <c r="AB8" s="393"/>
      <c r="AC8" s="393"/>
      <c r="AD8" s="394"/>
      <c r="AE8" s="392">
        <f>SUM('08'!L25:'08'!L29)</f>
        <v>2571.5500000000002</v>
      </c>
      <c r="AF8" s="393"/>
      <c r="AG8" s="393"/>
      <c r="AH8" s="394"/>
      <c r="AI8" s="392">
        <f>SUM('09'!L25:'09'!L29)</f>
        <v>0</v>
      </c>
      <c r="AJ8" s="393"/>
      <c r="AK8" s="393"/>
      <c r="AL8" s="394"/>
      <c r="AM8" s="392">
        <f>SUM('10'!L25:'10'!L29)</f>
        <v>0</v>
      </c>
      <c r="AN8" s="393"/>
      <c r="AO8" s="393"/>
      <c r="AP8" s="394"/>
      <c r="AQ8" s="392">
        <f>SUM('11'!L25:'11'!L29)</f>
        <v>0</v>
      </c>
      <c r="AR8" s="393"/>
      <c r="AS8" s="393"/>
      <c r="AT8" s="394"/>
      <c r="AU8" s="392">
        <f>SUM('12'!L25:'12'!L29)</f>
        <v>0</v>
      </c>
      <c r="AV8" s="393"/>
      <c r="AW8" s="393"/>
      <c r="AX8" s="394"/>
      <c r="AZ8" s="209">
        <f>SUM(C8:AU8)</f>
        <v>22446.86</v>
      </c>
      <c r="BA8" s="112">
        <f t="shared" ref="BA8:BA16" ca="1" si="0">AZ8/BC$17</f>
        <v>2805.8575000000001</v>
      </c>
      <c r="BB8" s="1"/>
      <c r="BC8" s="1"/>
    </row>
    <row r="9" spans="1:55" ht="15.75">
      <c r="A9" s="189" t="s">
        <v>213</v>
      </c>
      <c r="B9" s="193">
        <v>5835.74</v>
      </c>
      <c r="C9" s="379">
        <f>SUM('01'!L30:'01'!L34)</f>
        <v>655.59</v>
      </c>
      <c r="D9" s="380"/>
      <c r="E9" s="380"/>
      <c r="F9" s="381"/>
      <c r="G9" s="379">
        <f>SUM('02'!L30:'02'!L34)</f>
        <v>760.26</v>
      </c>
      <c r="H9" s="380"/>
      <c r="I9" s="380"/>
      <c r="J9" s="381"/>
      <c r="K9" s="379">
        <f>SUM('03'!L30:'03'!L34)</f>
        <v>516.44000000000005</v>
      </c>
      <c r="L9" s="380"/>
      <c r="M9" s="380"/>
      <c r="N9" s="381"/>
      <c r="O9" s="379">
        <f>SUM('04'!L30:'04'!L34)</f>
        <v>507.54</v>
      </c>
      <c r="P9" s="380"/>
      <c r="Q9" s="380"/>
      <c r="R9" s="381"/>
      <c r="S9" s="379">
        <f>SUM('05'!L30:'05'!L34)</f>
        <v>578.16999999999996</v>
      </c>
      <c r="T9" s="380"/>
      <c r="U9" s="380"/>
      <c r="V9" s="381"/>
      <c r="W9" s="379">
        <f>SUM('06'!L30:'06'!L34)</f>
        <v>613.67000000000007</v>
      </c>
      <c r="X9" s="380"/>
      <c r="Y9" s="380"/>
      <c r="Z9" s="381"/>
      <c r="AA9" s="379">
        <f>SUM('07'!L30:'07'!L34)</f>
        <v>1147.52</v>
      </c>
      <c r="AB9" s="380"/>
      <c r="AC9" s="380"/>
      <c r="AD9" s="381"/>
      <c r="AE9" s="379">
        <f>SUM('08'!L30:'08'!L34)</f>
        <v>291.60000000000002</v>
      </c>
      <c r="AF9" s="380"/>
      <c r="AG9" s="380"/>
      <c r="AH9" s="381"/>
      <c r="AI9" s="379">
        <f>SUM('09'!L30:'09'!L34)</f>
        <v>0</v>
      </c>
      <c r="AJ9" s="380"/>
      <c r="AK9" s="380"/>
      <c r="AL9" s="381"/>
      <c r="AM9" s="379">
        <f>SUM('10'!L30:'10'!L34)</f>
        <v>0</v>
      </c>
      <c r="AN9" s="380"/>
      <c r="AO9" s="380"/>
      <c r="AP9" s="381"/>
      <c r="AQ9" s="379">
        <f>SUM('11'!L30:'11'!L34)</f>
        <v>0</v>
      </c>
      <c r="AR9" s="380"/>
      <c r="AS9" s="380"/>
      <c r="AT9" s="381"/>
      <c r="AU9" s="379">
        <f>SUM('12'!L30:'12'!L34)</f>
        <v>0</v>
      </c>
      <c r="AV9" s="380"/>
      <c r="AW9" s="380"/>
      <c r="AX9" s="381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79">
        <f>SUM('01'!L35:'01'!L39)</f>
        <v>120.85</v>
      </c>
      <c r="D10" s="380"/>
      <c r="E10" s="380"/>
      <c r="F10" s="381"/>
      <c r="G10" s="379">
        <f>SUM('02'!L35:'02'!L39)</f>
        <v>107.38</v>
      </c>
      <c r="H10" s="380"/>
      <c r="I10" s="380"/>
      <c r="J10" s="381"/>
      <c r="K10" s="379">
        <f>SUM('03'!L35:'03'!L39)</f>
        <v>91.73</v>
      </c>
      <c r="L10" s="380"/>
      <c r="M10" s="380"/>
      <c r="N10" s="381"/>
      <c r="O10" s="379">
        <f>SUM('04'!L35:'04'!L39)</f>
        <v>204.23</v>
      </c>
      <c r="P10" s="380"/>
      <c r="Q10" s="380"/>
      <c r="R10" s="381"/>
      <c r="S10" s="379">
        <f>SUM('05'!L35:'05'!L39)</f>
        <v>119.85</v>
      </c>
      <c r="T10" s="380"/>
      <c r="U10" s="380"/>
      <c r="V10" s="381"/>
      <c r="W10" s="395">
        <f>SUM('06'!L35:'06'!L39)</f>
        <v>55.09</v>
      </c>
      <c r="X10" s="396"/>
      <c r="Y10" s="396"/>
      <c r="Z10" s="397"/>
      <c r="AA10" s="395">
        <f>SUM('07'!L35:'07'!L39)</f>
        <v>124.52</v>
      </c>
      <c r="AB10" s="396"/>
      <c r="AC10" s="396"/>
      <c r="AD10" s="397"/>
      <c r="AE10" s="395">
        <f>SUM('08'!L35:'08'!L39)</f>
        <v>0</v>
      </c>
      <c r="AF10" s="396"/>
      <c r="AG10" s="396"/>
      <c r="AH10" s="397"/>
      <c r="AI10" s="395">
        <f>SUM('09'!L35:'09'!L39)</f>
        <v>0</v>
      </c>
      <c r="AJ10" s="396"/>
      <c r="AK10" s="396"/>
      <c r="AL10" s="397"/>
      <c r="AM10" s="395">
        <f>SUM('10'!L35:'10'!L39)</f>
        <v>0</v>
      </c>
      <c r="AN10" s="396"/>
      <c r="AO10" s="396"/>
      <c r="AP10" s="397"/>
      <c r="AQ10" s="395">
        <f>SUM('11'!L35:'11'!L39)</f>
        <v>0</v>
      </c>
      <c r="AR10" s="396"/>
      <c r="AS10" s="396"/>
      <c r="AT10" s="397"/>
      <c r="AU10" s="395">
        <f>SUM('12'!L35:'12'!L39)</f>
        <v>0</v>
      </c>
      <c r="AV10" s="396"/>
      <c r="AW10" s="396"/>
      <c r="AX10" s="397"/>
      <c r="AZ10" s="211">
        <f t="shared" si="1"/>
        <v>823.65</v>
      </c>
      <c r="BA10" s="112">
        <f t="shared" ca="1" si="0"/>
        <v>102.95625</v>
      </c>
      <c r="BB10" s="1"/>
      <c r="BC10" s="1"/>
    </row>
    <row r="11" spans="1:55" ht="15.75">
      <c r="A11" s="189" t="s">
        <v>214</v>
      </c>
      <c r="B11" s="193">
        <v>2906.88</v>
      </c>
      <c r="C11" s="379">
        <f>SUM('01'!L40:'01'!L44)</f>
        <v>3.87</v>
      </c>
      <c r="D11" s="380"/>
      <c r="E11" s="380"/>
      <c r="F11" s="381"/>
      <c r="G11" s="379">
        <f>SUM('02'!L40:'02'!L44)</f>
        <v>0</v>
      </c>
      <c r="H11" s="380"/>
      <c r="I11" s="380"/>
      <c r="J11" s="381"/>
      <c r="K11" s="379">
        <f>SUM('03'!L40:'03'!L44)</f>
        <v>0</v>
      </c>
      <c r="L11" s="380"/>
      <c r="M11" s="380"/>
      <c r="N11" s="381"/>
      <c r="O11" s="379">
        <f>SUM('04'!L40:'04'!L44)</f>
        <v>356.59</v>
      </c>
      <c r="P11" s="380"/>
      <c r="Q11" s="380"/>
      <c r="R11" s="381"/>
      <c r="S11" s="379">
        <f>SUM('05'!L40:'05'!L44)</f>
        <v>45.86</v>
      </c>
      <c r="T11" s="380"/>
      <c r="U11" s="380"/>
      <c r="V11" s="381"/>
      <c r="W11" s="379">
        <f>SUM('06'!L40:'06'!L44)</f>
        <v>0</v>
      </c>
      <c r="X11" s="380"/>
      <c r="Y11" s="380"/>
      <c r="Z11" s="381"/>
      <c r="AA11" s="379">
        <f>SUM('07'!L40:'07'!L44)</f>
        <v>1.02</v>
      </c>
      <c r="AB11" s="380"/>
      <c r="AC11" s="380"/>
      <c r="AD11" s="381"/>
      <c r="AE11" s="379">
        <f>SUM('08'!L40:'08'!L44)</f>
        <v>0</v>
      </c>
      <c r="AF11" s="380"/>
      <c r="AG11" s="380"/>
      <c r="AH11" s="381"/>
      <c r="AI11" s="379">
        <f>SUM('09'!L40:'09'!L44)</f>
        <v>0</v>
      </c>
      <c r="AJ11" s="380"/>
      <c r="AK11" s="380"/>
      <c r="AL11" s="381"/>
      <c r="AM11" s="379">
        <f>SUM('10'!L40:'10'!L44)</f>
        <v>0</v>
      </c>
      <c r="AN11" s="380"/>
      <c r="AO11" s="380"/>
      <c r="AP11" s="381"/>
      <c r="AQ11" s="379">
        <f>SUM('11'!L40:'11'!L44)</f>
        <v>0</v>
      </c>
      <c r="AR11" s="380"/>
      <c r="AS11" s="380"/>
      <c r="AT11" s="381"/>
      <c r="AU11" s="379">
        <f>SUM('12'!L40:'12'!L44)</f>
        <v>0</v>
      </c>
      <c r="AV11" s="380"/>
      <c r="AW11" s="380"/>
      <c r="AX11" s="381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79">
        <f>SUM('01'!L45:'01'!L49)</f>
        <v>137</v>
      </c>
      <c r="D12" s="380"/>
      <c r="E12" s="380"/>
      <c r="F12" s="381"/>
      <c r="G12" s="379">
        <f>SUM('02'!L45:'02'!L49)</f>
        <v>600.04</v>
      </c>
      <c r="H12" s="380"/>
      <c r="I12" s="380"/>
      <c r="J12" s="381"/>
      <c r="K12" s="379">
        <f>SUM('03'!L45:'03'!L49)</f>
        <v>380</v>
      </c>
      <c r="L12" s="380"/>
      <c r="M12" s="380"/>
      <c r="N12" s="381"/>
      <c r="O12" s="379">
        <f>SUM('04'!L45:'04'!L49)</f>
        <v>0</v>
      </c>
      <c r="P12" s="380"/>
      <c r="Q12" s="380"/>
      <c r="R12" s="381"/>
      <c r="S12" s="379">
        <f>SUM('05'!L45:'05'!L49)</f>
        <v>0</v>
      </c>
      <c r="T12" s="380"/>
      <c r="U12" s="380"/>
      <c r="V12" s="381"/>
      <c r="W12" s="395">
        <f>SUM('06'!L45:'06'!L49)</f>
        <v>242.41</v>
      </c>
      <c r="X12" s="396"/>
      <c r="Y12" s="396"/>
      <c r="Z12" s="397"/>
      <c r="AA12" s="395">
        <f>SUM('07'!L45:'07'!L49)</f>
        <v>0</v>
      </c>
      <c r="AB12" s="396"/>
      <c r="AC12" s="396"/>
      <c r="AD12" s="397"/>
      <c r="AE12" s="395">
        <f>SUM('08'!L45:'08'!L49)</f>
        <v>222.98</v>
      </c>
      <c r="AF12" s="396"/>
      <c r="AG12" s="396"/>
      <c r="AH12" s="397"/>
      <c r="AI12" s="395">
        <f>SUM('09'!L45:'09'!L49)</f>
        <v>0</v>
      </c>
      <c r="AJ12" s="396"/>
      <c r="AK12" s="396"/>
      <c r="AL12" s="397"/>
      <c r="AM12" s="395">
        <f>SUM('10'!L45:'10'!L49)</f>
        <v>0</v>
      </c>
      <c r="AN12" s="396"/>
      <c r="AO12" s="396"/>
      <c r="AP12" s="397"/>
      <c r="AQ12" s="395">
        <f>SUM('11'!L45:'11'!L49)</f>
        <v>0</v>
      </c>
      <c r="AR12" s="396"/>
      <c r="AS12" s="396"/>
      <c r="AT12" s="397"/>
      <c r="AU12" s="395">
        <f>SUM('12'!L45:'12'!L49)</f>
        <v>0</v>
      </c>
      <c r="AV12" s="396"/>
      <c r="AW12" s="396"/>
      <c r="AX12" s="397"/>
      <c r="AZ12" s="211">
        <f t="shared" si="1"/>
        <v>1582.43</v>
      </c>
      <c r="BA12" s="112">
        <f t="shared" ca="1" si="0"/>
        <v>197.80375000000001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79">
        <f>SUM('01'!L50:'01'!L54)</f>
        <v>95.8</v>
      </c>
      <c r="D13" s="380"/>
      <c r="E13" s="380"/>
      <c r="F13" s="381"/>
      <c r="G13" s="379">
        <f>SUM('02'!L50:'02'!L54)</f>
        <v>95.8</v>
      </c>
      <c r="H13" s="380"/>
      <c r="I13" s="380"/>
      <c r="J13" s="381"/>
      <c r="K13" s="379">
        <f>SUM('03'!L50:'03'!L54)</f>
        <v>4517.74</v>
      </c>
      <c r="L13" s="380"/>
      <c r="M13" s="380"/>
      <c r="N13" s="381"/>
      <c r="O13" s="379">
        <f>SUM('04'!L50:'04'!L54)</f>
        <v>95.8</v>
      </c>
      <c r="P13" s="380"/>
      <c r="Q13" s="380"/>
      <c r="R13" s="381"/>
      <c r="S13" s="379">
        <f>SUM('05'!L50:'05'!L54)</f>
        <v>95.8</v>
      </c>
      <c r="T13" s="380"/>
      <c r="U13" s="380"/>
      <c r="V13" s="381"/>
      <c r="W13" s="379">
        <f>SUM('06'!L50:'06'!L54)</f>
        <v>95.8</v>
      </c>
      <c r="X13" s="380"/>
      <c r="Y13" s="380"/>
      <c r="Z13" s="381"/>
      <c r="AA13" s="379">
        <f>SUM('07'!L50:'07'!L54)</f>
        <v>95.8</v>
      </c>
      <c r="AB13" s="380"/>
      <c r="AC13" s="380"/>
      <c r="AD13" s="381"/>
      <c r="AE13" s="379">
        <f>SUM('08'!L50:'08'!L54)</f>
        <v>117.03</v>
      </c>
      <c r="AF13" s="380"/>
      <c r="AG13" s="380"/>
      <c r="AH13" s="381"/>
      <c r="AI13" s="379">
        <f>SUM('09'!L50:'09'!L54)</f>
        <v>0</v>
      </c>
      <c r="AJ13" s="380"/>
      <c r="AK13" s="380"/>
      <c r="AL13" s="381"/>
      <c r="AM13" s="379">
        <f>SUM('10'!L50:'10'!L54)</f>
        <v>0</v>
      </c>
      <c r="AN13" s="380"/>
      <c r="AO13" s="380"/>
      <c r="AP13" s="381"/>
      <c r="AQ13" s="379">
        <f>SUM('11'!L50:'11'!L54)</f>
        <v>0</v>
      </c>
      <c r="AR13" s="380"/>
      <c r="AS13" s="380"/>
      <c r="AT13" s="381"/>
      <c r="AU13" s="379">
        <f>SUM('12'!L50:'12'!L54)</f>
        <v>0</v>
      </c>
      <c r="AV13" s="380"/>
      <c r="AW13" s="380"/>
      <c r="AX13" s="381"/>
      <c r="AZ13" s="212">
        <f t="shared" si="1"/>
        <v>5209.5700000000006</v>
      </c>
      <c r="BA13" s="112">
        <f t="shared" ca="1" si="0"/>
        <v>651.19625000000008</v>
      </c>
      <c r="BB13" s="1"/>
      <c r="BC13" s="1"/>
    </row>
    <row r="14" spans="1:55" ht="15.75">
      <c r="A14" s="190" t="s">
        <v>216</v>
      </c>
      <c r="B14" s="194">
        <v>364.62</v>
      </c>
      <c r="C14" s="379">
        <f>SUM('01'!L55:'01'!L59)</f>
        <v>0</v>
      </c>
      <c r="D14" s="380"/>
      <c r="E14" s="380"/>
      <c r="F14" s="381"/>
      <c r="G14" s="379">
        <f>SUM('02'!L55:'02'!L59)</f>
        <v>0</v>
      </c>
      <c r="H14" s="380"/>
      <c r="I14" s="380"/>
      <c r="J14" s="381"/>
      <c r="K14" s="379">
        <f>SUM('03'!L55:'03'!L59)</f>
        <v>9.44</v>
      </c>
      <c r="L14" s="380"/>
      <c r="M14" s="380"/>
      <c r="N14" s="381"/>
      <c r="O14" s="379">
        <f>SUM('04'!L55:'04'!L59)</f>
        <v>37.980000000000004</v>
      </c>
      <c r="P14" s="380"/>
      <c r="Q14" s="380"/>
      <c r="R14" s="381"/>
      <c r="S14" s="379">
        <f>SUM('05'!L55:'05'!L59)</f>
        <v>17.350000000000001</v>
      </c>
      <c r="T14" s="380"/>
      <c r="U14" s="380"/>
      <c r="V14" s="381"/>
      <c r="W14" s="395">
        <f>SUM('06'!L55:'06'!L59)</f>
        <v>0</v>
      </c>
      <c r="X14" s="396"/>
      <c r="Y14" s="396"/>
      <c r="Z14" s="397"/>
      <c r="AA14" s="395">
        <f>SUM('07'!L55:'07'!L59)</f>
        <v>51.759999999999991</v>
      </c>
      <c r="AB14" s="396"/>
      <c r="AC14" s="396"/>
      <c r="AD14" s="397"/>
      <c r="AE14" s="395">
        <f>SUM('08'!L55:'08'!L59)</f>
        <v>27.42</v>
      </c>
      <c r="AF14" s="396"/>
      <c r="AG14" s="396"/>
      <c r="AH14" s="397"/>
      <c r="AI14" s="395">
        <f>SUM('09'!L55:'09'!L59)</f>
        <v>0</v>
      </c>
      <c r="AJ14" s="396"/>
      <c r="AK14" s="396"/>
      <c r="AL14" s="397"/>
      <c r="AM14" s="395">
        <f>SUM('10'!L55:'10'!L59)</f>
        <v>0</v>
      </c>
      <c r="AN14" s="396"/>
      <c r="AO14" s="396"/>
      <c r="AP14" s="397"/>
      <c r="AQ14" s="395">
        <f>SUM('11'!L55:'11'!L59)</f>
        <v>0</v>
      </c>
      <c r="AR14" s="396"/>
      <c r="AS14" s="396"/>
      <c r="AT14" s="397"/>
      <c r="AU14" s="395">
        <f>SUM('12'!L55:'12'!L59)</f>
        <v>0</v>
      </c>
      <c r="AV14" s="396"/>
      <c r="AW14" s="396"/>
      <c r="AX14" s="397"/>
      <c r="AZ14" s="211">
        <f t="shared" si="1"/>
        <v>143.94999999999999</v>
      </c>
      <c r="BA14" s="112">
        <f t="shared" ca="1" si="0"/>
        <v>17.993749999999999</v>
      </c>
      <c r="BB14" s="3"/>
      <c r="BC14" s="3"/>
    </row>
    <row r="15" spans="1:55" ht="15.75">
      <c r="A15" s="189" t="s">
        <v>217</v>
      </c>
      <c r="B15" s="193">
        <v>7756.04</v>
      </c>
      <c r="C15" s="379">
        <f>SUM('01'!L60:'01'!L64)</f>
        <v>0</v>
      </c>
      <c r="D15" s="380"/>
      <c r="E15" s="380"/>
      <c r="F15" s="381"/>
      <c r="G15" s="379">
        <f>SUM('02'!L60:'02'!L64)</f>
        <v>665.77</v>
      </c>
      <c r="H15" s="380"/>
      <c r="I15" s="380"/>
      <c r="J15" s="381"/>
      <c r="K15" s="379">
        <f>SUM('03'!L60:'03'!L64)</f>
        <v>682.39</v>
      </c>
      <c r="L15" s="380"/>
      <c r="M15" s="380"/>
      <c r="N15" s="381"/>
      <c r="O15" s="379">
        <f>SUM('04'!L60:'04'!L64)</f>
        <v>550</v>
      </c>
      <c r="P15" s="380"/>
      <c r="Q15" s="380"/>
      <c r="R15" s="381"/>
      <c r="S15" s="379">
        <f>SUM('05'!L60:'05'!L64)</f>
        <v>652.44000000000005</v>
      </c>
      <c r="T15" s="380"/>
      <c r="U15" s="380"/>
      <c r="V15" s="381"/>
      <c r="W15" s="379">
        <f>SUM('06'!L60:'06'!L64)</f>
        <v>511.74</v>
      </c>
      <c r="X15" s="380"/>
      <c r="Y15" s="380"/>
      <c r="Z15" s="381"/>
      <c r="AA15" s="379">
        <f>SUM('07'!L60:'07'!L64)</f>
        <v>649.1</v>
      </c>
      <c r="AB15" s="380"/>
      <c r="AC15" s="380"/>
      <c r="AD15" s="381"/>
      <c r="AE15" s="379">
        <f>SUM('08'!L60:'08'!L64)</f>
        <v>550</v>
      </c>
      <c r="AF15" s="380"/>
      <c r="AG15" s="380"/>
      <c r="AH15" s="381"/>
      <c r="AI15" s="379">
        <f>SUM('09'!L60:'09'!L64)</f>
        <v>0</v>
      </c>
      <c r="AJ15" s="380"/>
      <c r="AK15" s="380"/>
      <c r="AL15" s="381"/>
      <c r="AM15" s="379">
        <f>SUM('10'!L60:'10'!L64)</f>
        <v>0</v>
      </c>
      <c r="AN15" s="380"/>
      <c r="AO15" s="380"/>
      <c r="AP15" s="381"/>
      <c r="AQ15" s="379">
        <f>SUM('11'!L60:'11'!L64)</f>
        <v>0</v>
      </c>
      <c r="AR15" s="380"/>
      <c r="AS15" s="380"/>
      <c r="AT15" s="381"/>
      <c r="AU15" s="379">
        <f>SUM('12'!L60:'12'!L64)</f>
        <v>0</v>
      </c>
      <c r="AV15" s="380"/>
      <c r="AW15" s="380"/>
      <c r="AX15" s="381"/>
      <c r="AZ15" s="210">
        <f t="shared" si="1"/>
        <v>4261.4400000000005</v>
      </c>
      <c r="BA15" s="112">
        <f t="shared" ca="1" si="0"/>
        <v>532.68000000000006</v>
      </c>
      <c r="BB15" s="1"/>
      <c r="BC15" s="1"/>
    </row>
    <row r="16" spans="1:55" ht="16.5" thickBot="1">
      <c r="A16" s="191" t="s">
        <v>42</v>
      </c>
      <c r="B16" s="196">
        <v>2018.96</v>
      </c>
      <c r="C16" s="379">
        <f>SUM('01'!L65:'01'!L69)</f>
        <v>85</v>
      </c>
      <c r="D16" s="380"/>
      <c r="E16" s="380"/>
      <c r="F16" s="381"/>
      <c r="G16" s="379">
        <f>SUM('02'!L65:'02'!L69)</f>
        <v>0</v>
      </c>
      <c r="H16" s="380"/>
      <c r="I16" s="380"/>
      <c r="J16" s="381"/>
      <c r="K16" s="379">
        <f>SUM('03'!L65:'03'!L69)</f>
        <v>0</v>
      </c>
      <c r="L16" s="380"/>
      <c r="M16" s="380"/>
      <c r="N16" s="381"/>
      <c r="O16" s="379">
        <f>SUM('04'!L65:'04'!L69)</f>
        <v>0</v>
      </c>
      <c r="P16" s="380"/>
      <c r="Q16" s="380"/>
      <c r="R16" s="381"/>
      <c r="S16" s="379">
        <f>SUM('05'!L65:'05'!L69)</f>
        <v>0</v>
      </c>
      <c r="T16" s="380"/>
      <c r="U16" s="380"/>
      <c r="V16" s="381"/>
      <c r="W16" s="398">
        <f>SUM('06'!L65:'06'!L69)</f>
        <v>0</v>
      </c>
      <c r="X16" s="399"/>
      <c r="Y16" s="399"/>
      <c r="Z16" s="400"/>
      <c r="AA16" s="398">
        <f>SUM('07'!L65:'07'!L69)</f>
        <v>0</v>
      </c>
      <c r="AB16" s="399"/>
      <c r="AC16" s="399"/>
      <c r="AD16" s="400"/>
      <c r="AE16" s="398">
        <f>SUM('08'!L65:'08'!L69)</f>
        <v>0</v>
      </c>
      <c r="AF16" s="399"/>
      <c r="AG16" s="399"/>
      <c r="AH16" s="400"/>
      <c r="AI16" s="398">
        <f>SUM('09'!L65:'09'!L69)</f>
        <v>0</v>
      </c>
      <c r="AJ16" s="399"/>
      <c r="AK16" s="399"/>
      <c r="AL16" s="400"/>
      <c r="AM16" s="398">
        <f>SUM('10'!L65:'10'!L69)</f>
        <v>0</v>
      </c>
      <c r="AN16" s="399"/>
      <c r="AO16" s="399"/>
      <c r="AP16" s="400"/>
      <c r="AQ16" s="398">
        <f>SUM('11'!L65:'11'!L69)</f>
        <v>0</v>
      </c>
      <c r="AR16" s="399"/>
      <c r="AS16" s="399"/>
      <c r="AT16" s="400"/>
      <c r="AU16" s="398">
        <f>SUM('12'!L65:'12'!L69)</f>
        <v>0</v>
      </c>
      <c r="AV16" s="399"/>
      <c r="AW16" s="399"/>
      <c r="AX16" s="400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5">
        <f>SUM(C8:C16)</f>
        <v>3691.57</v>
      </c>
      <c r="D17" s="376"/>
      <c r="E17" s="376"/>
      <c r="F17" s="377"/>
      <c r="G17" s="375">
        <f>SUM(G8:G16)</f>
        <v>4821.67</v>
      </c>
      <c r="H17" s="376"/>
      <c r="I17" s="376"/>
      <c r="J17" s="377"/>
      <c r="K17" s="375">
        <f>SUM(K8:K16)</f>
        <v>8724.6099999999988</v>
      </c>
      <c r="L17" s="376"/>
      <c r="M17" s="376"/>
      <c r="N17" s="377"/>
      <c r="O17" s="375">
        <f>SUM(O8:O16)</f>
        <v>4322.7000000000007</v>
      </c>
      <c r="P17" s="376"/>
      <c r="Q17" s="376"/>
      <c r="R17" s="377"/>
      <c r="S17" s="375">
        <f>SUM(S8:S16)</f>
        <v>5958.3200000000015</v>
      </c>
      <c r="T17" s="376"/>
      <c r="U17" s="376"/>
      <c r="V17" s="377"/>
      <c r="W17" s="375">
        <f>SUM(W8:W16)</f>
        <v>4093.3200000000006</v>
      </c>
      <c r="X17" s="376"/>
      <c r="Y17" s="376"/>
      <c r="Z17" s="377"/>
      <c r="AA17" s="375">
        <f>SUM(AA8:AA16)</f>
        <v>4638.26</v>
      </c>
      <c r="AB17" s="376"/>
      <c r="AC17" s="376"/>
      <c r="AD17" s="377"/>
      <c r="AE17" s="375">
        <f>SUM(AE8:AE16)</f>
        <v>3780.5800000000004</v>
      </c>
      <c r="AF17" s="376"/>
      <c r="AG17" s="376"/>
      <c r="AH17" s="377"/>
      <c r="AI17" s="375">
        <f>SUM(AI8:AI16)</f>
        <v>0</v>
      </c>
      <c r="AJ17" s="376"/>
      <c r="AK17" s="376"/>
      <c r="AL17" s="377"/>
      <c r="AM17" s="375">
        <f>SUM(AM8:AM16)</f>
        <v>0</v>
      </c>
      <c r="AN17" s="376"/>
      <c r="AO17" s="376"/>
      <c r="AP17" s="377"/>
      <c r="AQ17" s="375">
        <f>SUM(AQ8:AQ16)</f>
        <v>0</v>
      </c>
      <c r="AR17" s="376"/>
      <c r="AS17" s="376"/>
      <c r="AT17" s="377"/>
      <c r="AU17" s="375">
        <f>SUM(AU8:AU16)</f>
        <v>0</v>
      </c>
      <c r="AV17" s="376"/>
      <c r="AW17" s="376"/>
      <c r="AX17" s="377"/>
      <c r="AZ17" s="227">
        <f>SUM(AZ8:AZ16)</f>
        <v>40031.030000000006</v>
      </c>
      <c r="BA17" s="112">
        <f ca="1">AZ17/BC$17</f>
        <v>5003.8787500000008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 t="s">
        <v>173</v>
      </c>
      <c r="AV18" s="378"/>
      <c r="AW18" s="378"/>
      <c r="AX18" s="378"/>
      <c r="AZ18" s="131">
        <f>(2500*13)+(600*12)+(550*12)+(95*12)</f>
        <v>47440</v>
      </c>
      <c r="BA18" s="131">
        <f ca="1">12*BA17</f>
        <v>60046.545000000013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146</v>
      </c>
      <c r="AH20" s="145">
        <f t="shared" ref="AH20:AH45" si="9">AD20+AF20-AG20</f>
        <v>818.13999999999987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1362.1399999999999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1906.1399999999999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2450.14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2994.14</v>
      </c>
      <c r="AZ20" s="123">
        <f t="shared" ref="AZ20:AZ27" si="14">E20+I20+M20+Q20+U20+Y20+AC20+AG20+AK20+AO20+AS20+AW20</f>
        <v>4281.6600000000008</v>
      </c>
      <c r="BA20" s="21">
        <f t="shared" ref="BA20:BA45" si="15">AZ20/AZ$46</f>
        <v>0.11617465785854274</v>
      </c>
      <c r="BB20" s="22">
        <f>_xlfn.RANK.EQ(BA20,$BA$20:$BA$45,)</f>
        <v>3</v>
      </c>
      <c r="BC20" s="22">
        <f t="shared" ref="BC20:BC45" ca="1" si="16">AZ20/BC$17</f>
        <v>535.2075000000001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0.11618536919984321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369.36000000000024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1468.0199999999993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2596.0199999999995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3724.0199999999995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4852.0199999999995</v>
      </c>
      <c r="AZ21" s="152">
        <f t="shared" si="14"/>
        <v>9541.84</v>
      </c>
      <c r="BA21" s="21">
        <f t="shared" si="15"/>
        <v>0.25889958505368416</v>
      </c>
      <c r="BB21" s="22">
        <f t="shared" ref="BB21:BB45" si="20">_xlfn.RANK.EQ(BA21,$BA$20:$BA$45,)</f>
        <v>1</v>
      </c>
      <c r="BC21" s="22">
        <f t="shared" ca="1" si="16"/>
        <v>1192.73</v>
      </c>
      <c r="BE21" s="224">
        <f t="shared" ca="1" si="17"/>
        <v>9209</v>
      </c>
      <c r="BF21" s="21">
        <f t="shared" ca="1" si="18"/>
        <v>0.23004654139551239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-332.84000000000037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323.87000000000006</v>
      </c>
      <c r="AH22" s="156">
        <f t="shared" si="9"/>
        <v>465.81000000000012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765.81000000000017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1255.8100000000002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1745.8100000000002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2235.8100000000004</v>
      </c>
      <c r="AZ22" s="157">
        <f t="shared" si="14"/>
        <v>2342.62</v>
      </c>
      <c r="BA22" s="21">
        <f t="shared" si="15"/>
        <v>6.3562514770574813E-2</v>
      </c>
      <c r="BB22" s="22">
        <f t="shared" si="20"/>
        <v>6</v>
      </c>
      <c r="BC22" s="22">
        <f t="shared" ca="1" si="16"/>
        <v>292.82749999999999</v>
      </c>
      <c r="BE22" s="225">
        <f t="shared" ca="1" si="17"/>
        <v>2562.36</v>
      </c>
      <c r="BF22" s="21">
        <f t="shared" ca="1" si="18"/>
        <v>6.4009344750809549E-2</v>
      </c>
      <c r="BG22" s="22">
        <f t="shared" ca="1" si="21"/>
        <v>7</v>
      </c>
      <c r="BH22" s="22">
        <f t="shared" ca="1" si="19"/>
        <v>320.29500000000002</v>
      </c>
      <c r="BJ22" s="225">
        <f t="shared" ca="1" si="22"/>
        <v>219.73999999999995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200</v>
      </c>
      <c r="AG23" s="150">
        <f>SUM('08'!D80:F80)</f>
        <v>216.64999999999998</v>
      </c>
      <c r="AH23" s="151">
        <f t="shared" si="9"/>
        <v>112.8300000000001</v>
      </c>
      <c r="AI23" s="148" t="s">
        <v>76</v>
      </c>
      <c r="AJ23" s="149">
        <f>'09'!B80</f>
        <v>175</v>
      </c>
      <c r="AK23" s="150">
        <f>SUM('09'!D80:F80)</f>
        <v>0</v>
      </c>
      <c r="AL23" s="151">
        <f t="shared" si="10"/>
        <v>287.8300000000001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437.8300000000001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587.83000000000015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737.83000000000015</v>
      </c>
      <c r="AZ23" s="152">
        <f t="shared" si="14"/>
        <v>1364.2999999999997</v>
      </c>
      <c r="BA23" s="21">
        <f t="shared" si="15"/>
        <v>3.7017672051589762E-2</v>
      </c>
      <c r="BB23" s="22">
        <f t="shared" si="20"/>
        <v>7</v>
      </c>
      <c r="BC23" s="22">
        <f t="shared" ca="1" si="16"/>
        <v>170.53749999999997</v>
      </c>
      <c r="BE23" s="224">
        <f t="shared" ca="1" si="17"/>
        <v>1435</v>
      </c>
      <c r="BF23" s="21">
        <f t="shared" ca="1" si="18"/>
        <v>3.5847191541161935E-2</v>
      </c>
      <c r="BG23" s="22">
        <f t="shared" ca="1" si="21"/>
        <v>9</v>
      </c>
      <c r="BH23" s="22">
        <f t="shared" ca="1" si="19"/>
        <v>179.375</v>
      </c>
      <c r="BJ23" s="224">
        <f t="shared" ca="1" si="22"/>
        <v>70.700000000000074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371.09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531.08999999999992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691.08999999999992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851.08999999999992</v>
      </c>
      <c r="AZ24" s="157">
        <f t="shared" si="14"/>
        <v>1098.9100000000001</v>
      </c>
      <c r="BA24" s="21">
        <f t="shared" si="15"/>
        <v>2.9816821809142059E-2</v>
      </c>
      <c r="BB24" s="22">
        <f t="shared" si="20"/>
        <v>10</v>
      </c>
      <c r="BC24" s="22">
        <f t="shared" ca="1" si="16"/>
        <v>137.36375000000001</v>
      </c>
      <c r="BE24" s="225">
        <f t="shared" ca="1" si="17"/>
        <v>1310</v>
      </c>
      <c r="BF24" s="21">
        <f t="shared" ca="1" si="18"/>
        <v>3.2724613880781982E-2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211.08999999999997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4402.8599999999979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4807.8599999999979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5212.8599999999979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5617.8599999999979</v>
      </c>
      <c r="AZ25" s="152">
        <f t="shared" si="14"/>
        <v>2683.0400000000004</v>
      </c>
      <c r="BA25" s="21">
        <f t="shared" si="15"/>
        <v>7.2799160610787519E-2</v>
      </c>
      <c r="BB25" s="22">
        <f t="shared" si="20"/>
        <v>5</v>
      </c>
      <c r="BC25" s="22">
        <f t="shared" ca="1" si="16"/>
        <v>335.38000000000005</v>
      </c>
      <c r="BE25" s="224">
        <f t="shared" ca="1" si="17"/>
        <v>3478.35</v>
      </c>
      <c r="BF25" s="21">
        <f t="shared" ca="1" si="18"/>
        <v>8.6891344039861068E-2</v>
      </c>
      <c r="BG25" s="22">
        <f t="shared" ca="1" si="21"/>
        <v>5</v>
      </c>
      <c r="BH25" s="22">
        <f t="shared" ca="1" si="19"/>
        <v>434.79374999999999</v>
      </c>
      <c r="BJ25" s="224">
        <f t="shared" ca="1" si="22"/>
        <v>795.30999999999949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78.049999999999983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126.04999999999998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174.04999999999998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222.04999999999998</v>
      </c>
      <c r="AZ26" s="157">
        <f t="shared" si="14"/>
        <v>413.94000000000005</v>
      </c>
      <c r="BA26" s="21">
        <f t="shared" si="15"/>
        <v>1.1231470474994554E-2</v>
      </c>
      <c r="BB26" s="22">
        <f t="shared" si="20"/>
        <v>17</v>
      </c>
      <c r="BC26" s="22">
        <f t="shared" ca="1" si="16"/>
        <v>51.742500000000007</v>
      </c>
      <c r="BE26" s="225">
        <f t="shared" ca="1" si="17"/>
        <v>419.45</v>
      </c>
      <c r="BF26" s="21">
        <f t="shared" ca="1" si="18"/>
        <v>1.0478121597170993E-2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5.5100000000000406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8.5309142195560631E-3</v>
      </c>
      <c r="BB27" s="22">
        <f t="shared" si="20"/>
        <v>18</v>
      </c>
      <c r="BC27" s="22">
        <f t="shared" ca="1" si="16"/>
        <v>39.301249999999996</v>
      </c>
      <c r="BE27" s="224">
        <f t="shared" ca="1" si="17"/>
        <v>340</v>
      </c>
      <c r="BF27" s="21">
        <f t="shared" ca="1" si="18"/>
        <v>8.4934112362334904E-3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25.590000000000032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9.1061085535160818E-2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8.1937437033221469E-2</v>
      </c>
      <c r="BG28" s="22">
        <f t="shared" ca="1" si="21"/>
        <v>6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103.78000000000007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173.78000000000009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243.78000000000009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313.78000000000009</v>
      </c>
      <c r="AZ29" s="152">
        <f t="shared" si="23"/>
        <v>463.55</v>
      </c>
      <c r="BA29" s="21">
        <f t="shared" si="15"/>
        <v>1.2577542974063209E-2</v>
      </c>
      <c r="BB29" s="22">
        <f t="shared" si="20"/>
        <v>15</v>
      </c>
      <c r="BC29" s="22">
        <f t="shared" ca="1" si="16"/>
        <v>57.943750000000001</v>
      </c>
      <c r="BE29" s="224">
        <f t="shared" ca="1" si="17"/>
        <v>544</v>
      </c>
      <c r="BF29" s="21">
        <f t="shared" ca="1" si="18"/>
        <v>1.3589457977973585E-2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80.45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97.919999999999973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132.91999999999996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167.91999999999996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202.91999999999996</v>
      </c>
      <c r="AZ30" s="157">
        <f t="shared" si="23"/>
        <v>230.25</v>
      </c>
      <c r="BA30" s="21">
        <f t="shared" si="15"/>
        <v>6.2473935277274377E-3</v>
      </c>
      <c r="BB30" s="22">
        <f t="shared" si="20"/>
        <v>19</v>
      </c>
      <c r="BC30" s="22">
        <f t="shared" ca="1" si="16"/>
        <v>28.78125</v>
      </c>
      <c r="BE30" s="225">
        <f t="shared" ca="1" si="17"/>
        <v>320</v>
      </c>
      <c r="BF30" s="21">
        <f t="shared" ca="1" si="18"/>
        <v>7.9937988105726974E-3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89.75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4.2696627384286191E-3</v>
      </c>
      <c r="BB31" s="22">
        <f t="shared" si="20"/>
        <v>21</v>
      </c>
      <c r="BC31" s="22">
        <f t="shared" ca="1" si="16"/>
        <v>19.669999999999998</v>
      </c>
      <c r="BE31" s="224">
        <f t="shared" ca="1" si="17"/>
        <v>160</v>
      </c>
      <c r="BF31" s="21">
        <f t="shared" ca="1" si="18"/>
        <v>3.9968994052863487E-3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2.6399999999999721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69.89</v>
      </c>
      <c r="AH32" s="161">
        <f t="shared" si="9"/>
        <v>608.99999999999989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698.99999999999989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748.99999999999989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798.99999999999989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848.99999999999989</v>
      </c>
      <c r="AZ32" s="157">
        <f t="shared" si="23"/>
        <v>1058.8800000000001</v>
      </c>
      <c r="BA32" s="21">
        <f t="shared" si="15"/>
        <v>2.8730684293767773E-2</v>
      </c>
      <c r="BB32" s="22">
        <f t="shared" si="20"/>
        <v>12</v>
      </c>
      <c r="BC32" s="22">
        <f t="shared" ca="1" si="16"/>
        <v>132.36000000000001</v>
      </c>
      <c r="BE32" s="225">
        <f t="shared" ca="1" si="17"/>
        <v>1682.13</v>
      </c>
      <c r="BF32" s="21">
        <f t="shared" ca="1" si="18"/>
        <v>4.2020652478839536E-2</v>
      </c>
      <c r="BG32" s="22">
        <f t="shared" ca="1" si="21"/>
        <v>8</v>
      </c>
      <c r="BH32" s="22">
        <f t="shared" ca="1" si="19"/>
        <v>210.26625000000001</v>
      </c>
      <c r="BJ32" s="225">
        <f t="shared" ca="1" si="22"/>
        <v>623.24999999999989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11</v>
      </c>
      <c r="AH33" s="160">
        <f t="shared" si="9"/>
        <v>445.09000000000026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505.09000000000026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655.09000000000026</v>
      </c>
      <c r="AZ33" s="152">
        <f t="shared" si="23"/>
        <v>4406.8500000000004</v>
      </c>
      <c r="BA33" s="21">
        <f t="shared" si="15"/>
        <v>0.11957144915381394</v>
      </c>
      <c r="BB33" s="22">
        <f t="shared" si="20"/>
        <v>2</v>
      </c>
      <c r="BC33" s="22">
        <f t="shared" ca="1" si="16"/>
        <v>550.85625000000005</v>
      </c>
      <c r="BE33" s="224">
        <f t="shared" ca="1" si="17"/>
        <v>4431.9400000000005</v>
      </c>
      <c r="BF33" s="21">
        <f t="shared" ca="1" si="18"/>
        <v>0.11071261468915489</v>
      </c>
      <c r="BG33" s="22">
        <f t="shared" ca="1" si="21"/>
        <v>3</v>
      </c>
      <c r="BH33" s="22">
        <f t="shared" ca="1" si="19"/>
        <v>553.99250000000006</v>
      </c>
      <c r="BJ33" s="224">
        <f t="shared" ca="1" si="22"/>
        <v>25.090000000000259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155.35999999999981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245.35999999999981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335.35999999999979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425.35999999999979</v>
      </c>
      <c r="AZ34" s="152">
        <f t="shared" si="23"/>
        <v>1180.6500000000001</v>
      </c>
      <c r="BA34" s="21">
        <f t="shared" si="15"/>
        <v>3.2034680427845387E-2</v>
      </c>
      <c r="BB34" s="22">
        <f t="shared" si="20"/>
        <v>8</v>
      </c>
      <c r="BC34" s="22">
        <f t="shared" ca="1" si="16"/>
        <v>147.58125000000001</v>
      </c>
      <c r="BE34" s="225">
        <f t="shared" ca="1" si="17"/>
        <v>1144.4099999999999</v>
      </c>
      <c r="BF34" s="21">
        <f t="shared" ca="1" si="18"/>
        <v>2.8588072802523436E-2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-36.240000000000094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1946.7900000000004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2061.7900000000004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2176.7900000000004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2291.7900000000004</v>
      </c>
      <c r="AZ35" s="188">
        <f t="shared" si="23"/>
        <v>1082.24</v>
      </c>
      <c r="BA35" s="21">
        <f t="shared" si="15"/>
        <v>2.9364513231043398E-2</v>
      </c>
      <c r="BB35" s="22">
        <f t="shared" si="20"/>
        <v>11</v>
      </c>
      <c r="BC35" s="22">
        <f t="shared" ca="1" si="16"/>
        <v>135.28</v>
      </c>
      <c r="BE35" s="224">
        <f t="shared" ca="1" si="17"/>
        <v>1409.43</v>
      </c>
      <c r="BF35" s="21">
        <f t="shared" ca="1" si="18"/>
        <v>3.5208437054954612E-2</v>
      </c>
      <c r="BG35" s="22">
        <f t="shared" ca="1" si="21"/>
        <v>10</v>
      </c>
      <c r="BH35" s="22">
        <f t="shared" ca="1" si="19"/>
        <v>176.17875000000001</v>
      </c>
      <c r="BJ35" s="224">
        <f t="shared" ca="1" si="22"/>
        <v>327.19000000000005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147.37000000000012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237.37000000000012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327.37000000000012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417.37000000000012</v>
      </c>
      <c r="AZ36" s="182">
        <f t="shared" si="23"/>
        <v>1166.6199999999999</v>
      </c>
      <c r="BA36" s="21">
        <f t="shared" si="15"/>
        <v>3.1654003202247046E-2</v>
      </c>
      <c r="BB36" s="22">
        <f t="shared" si="20"/>
        <v>9</v>
      </c>
      <c r="BC36" s="22">
        <f t="shared" ca="1" si="16"/>
        <v>145.82749999999999</v>
      </c>
      <c r="BE36" s="223">
        <f t="shared" ca="1" si="17"/>
        <v>1123</v>
      </c>
      <c r="BF36" s="21">
        <f t="shared" ca="1" si="18"/>
        <v>2.8053237700853557E-2</v>
      </c>
      <c r="BG36" s="22">
        <f t="shared" ca="1" si="21"/>
        <v>13</v>
      </c>
      <c r="BH36" s="22">
        <f t="shared" ca="1" si="19"/>
        <v>140.375</v>
      </c>
      <c r="BJ36" s="223">
        <f t="shared" ca="1" si="22"/>
        <v>-43.619999999999948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1.1720137391104741E-2</v>
      </c>
      <c r="BB37" s="22">
        <f t="shared" si="20"/>
        <v>16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1.0849083823224132E-2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36.799999999999997</v>
      </c>
      <c r="AH38" s="156">
        <f t="shared" si="9"/>
        <v>101.23000000000006</v>
      </c>
      <c r="AI38" s="143" t="s">
        <v>76</v>
      </c>
      <c r="AJ38" s="166">
        <f>'09'!B380</f>
        <v>65</v>
      </c>
      <c r="AK38" s="166">
        <f>SUM('09'!D380:F380)</f>
        <v>0</v>
      </c>
      <c r="AL38" s="156">
        <f t="shared" si="10"/>
        <v>166.23000000000008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236.23000000000008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306.23000000000008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376.23000000000008</v>
      </c>
      <c r="AZ38" s="157">
        <f t="shared" si="23"/>
        <v>527.97</v>
      </c>
      <c r="BA38" s="21">
        <f t="shared" si="15"/>
        <v>1.4325456507423477E-2</v>
      </c>
      <c r="BB38" s="22">
        <f t="shared" si="20"/>
        <v>13</v>
      </c>
      <c r="BC38" s="22">
        <f t="shared" ca="1" si="16"/>
        <v>65.996250000000003</v>
      </c>
      <c r="BE38" s="225">
        <f t="shared" ca="1" si="17"/>
        <v>590</v>
      </c>
      <c r="BF38" s="21">
        <f t="shared" ca="1" si="18"/>
        <v>1.473856655699341E-2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62.03000000000003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-2.9195851318339794E-2</v>
      </c>
      <c r="BG39" s="22">
        <f t="shared" ca="1" si="21"/>
        <v>26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4.4560670534578815E-3</v>
      </c>
      <c r="BB40" s="22">
        <f t="shared" si="20"/>
        <v>20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-1.5299381504797652E-2</v>
      </c>
      <c r="BG40" s="22">
        <f t="shared" ca="1" si="21"/>
        <v>25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-369.81999999999925</v>
      </c>
      <c r="AG41" s="165">
        <f>SUM('08'!D440:F440)</f>
        <v>0</v>
      </c>
      <c r="AH41" s="151">
        <f t="shared" si="9"/>
        <v>8095.9200000000019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4195.9200000000019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295.92000000000189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-3604.0799999999981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-7504.0799999999981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-454.07999999999663</v>
      </c>
      <c r="BF41" s="21">
        <f t="shared" ca="1" si="18"/>
        <v>-1.1343200512202573E-2</v>
      </c>
      <c r="BG41" s="22">
        <f t="shared" ca="1" si="21"/>
        <v>24</v>
      </c>
      <c r="BH41" s="22">
        <f t="shared" ca="1" si="19"/>
        <v>-56.759999999999579</v>
      </c>
      <c r="BJ41" s="224">
        <f t="shared" ca="1" si="22"/>
        <v>-454.07999999999629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0.10107758906028648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273.63000000000011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323.63000000000011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373.63000000000011</v>
      </c>
      <c r="AZ43" s="152">
        <f t="shared" si="23"/>
        <v>500</v>
      </c>
      <c r="BA43" s="21">
        <f t="shared" si="15"/>
        <v>1.356654403415296E-2</v>
      </c>
      <c r="BB43" s="22">
        <f t="shared" si="20"/>
        <v>14</v>
      </c>
      <c r="BC43" s="22">
        <f t="shared" ca="1" si="16"/>
        <v>62.5</v>
      </c>
      <c r="BE43" s="224">
        <f t="shared" ca="1" si="17"/>
        <v>-304.36999999999995</v>
      </c>
      <c r="BF43" s="21">
        <f t="shared" ca="1" si="18"/>
        <v>-7.6033516999187856E-3</v>
      </c>
      <c r="BG43" s="22">
        <f t="shared" ca="1" si="21"/>
        <v>23</v>
      </c>
      <c r="BH43" s="22">
        <f t="shared" ca="1" si="19"/>
        <v>-38.046249999999993</v>
      </c>
      <c r="BJ43" s="224">
        <f t="shared" ca="1" si="22"/>
        <v>-804.36999999999989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23.43</v>
      </c>
      <c r="AH45" s="176">
        <f t="shared" si="9"/>
        <v>7.9100000000000286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7.9100000000000286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7.9100000000000286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7.9100000000000286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7.9100000000000286</v>
      </c>
      <c r="AZ45" s="177">
        <f t="shared" si="23"/>
        <v>88.009999999999991</v>
      </c>
      <c r="BA45" s="21">
        <f t="shared" si="15"/>
        <v>2.3879830808916035E-3</v>
      </c>
      <c r="BB45" s="22">
        <f t="shared" si="20"/>
        <v>22</v>
      </c>
      <c r="BC45" s="22">
        <f t="shared" ca="1" si="16"/>
        <v>11.001249999999999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-88.01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3780.58</v>
      </c>
      <c r="AG46" s="219">
        <f>SUM(AG20:AG45)</f>
        <v>3388.2299999999996</v>
      </c>
      <c r="AH46" s="220">
        <f>SUM(AH20:AH45)</f>
        <v>29559.200000000001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29559.200000000004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29559.200000000001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29559.200000000001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29559.200000000001</v>
      </c>
      <c r="AZ46" s="227">
        <f>SUM(AZ20:AZ45)</f>
        <v>36855.370000000003</v>
      </c>
      <c r="BA46" s="1"/>
      <c r="BB46" s="1"/>
      <c r="BC46" s="124">
        <f ca="1">SUM(BC20:BC45)</f>
        <v>4606.9212500000003</v>
      </c>
      <c r="BE46" s="227">
        <f ca="1">SUM(BE20:BE45)</f>
        <v>40031.030000000006</v>
      </c>
      <c r="BF46" s="1"/>
      <c r="BG46" s="1"/>
      <c r="BH46" s="124">
        <f ca="1">SUM(BH20:BH45)</f>
        <v>5003.8787500000008</v>
      </c>
      <c r="BJ46" s="227">
        <f ca="1">SUM(BJ20:BJ45)</f>
        <v>3175.6600000000044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392.35000000000082</v>
      </c>
      <c r="AH47" s="125"/>
      <c r="AI47" s="125">
        <f>AI5-AH46</f>
        <v>-387.84999999999854</v>
      </c>
      <c r="AJ47" s="125">
        <f>AI17-AJ46</f>
        <v>0</v>
      </c>
      <c r="AK47" s="125">
        <f>AI17-AK46</f>
        <v>0</v>
      </c>
      <c r="AL47" s="125"/>
      <c r="AM47" s="125">
        <f>AM5-AL46</f>
        <v>-14457.310000000003</v>
      </c>
      <c r="AN47" s="125">
        <f>AM17-AN46</f>
        <v>0</v>
      </c>
      <c r="AO47" s="125">
        <f>AM17-AO46</f>
        <v>0</v>
      </c>
      <c r="AP47" s="125"/>
      <c r="AQ47" s="125">
        <f>AQ5-AP46</f>
        <v>-14457.31</v>
      </c>
      <c r="AR47" s="125">
        <f>AQ17-AR46</f>
        <v>0</v>
      </c>
      <c r="AS47" s="125">
        <f>AQ17-AS46</f>
        <v>0</v>
      </c>
      <c r="AT47" s="140"/>
      <c r="AU47" s="125">
        <f>AU5-AT46</f>
        <v>-14457.31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55283.055000000008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0</v>
      </c>
      <c r="AL50" s="119" t="s">
        <v>777</v>
      </c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0" t="s">
        <v>257</v>
      </c>
      <c r="M54" s="371"/>
      <c r="N54" s="100">
        <v>70</v>
      </c>
      <c r="O54" s="95"/>
      <c r="P54" s="358"/>
      <c r="Q54" s="359"/>
      <c r="R54" s="102"/>
      <c r="S54" s="95">
        <v>43594</v>
      </c>
      <c r="T54" s="370" t="s">
        <v>243</v>
      </c>
      <c r="U54" s="371"/>
      <c r="V54" s="103"/>
      <c r="W54" s="95">
        <v>43624</v>
      </c>
      <c r="X54" s="370" t="s">
        <v>153</v>
      </c>
      <c r="Y54" s="371"/>
      <c r="Z54" s="104">
        <v>10</v>
      </c>
      <c r="AA54" s="95"/>
      <c r="AB54" s="366" t="s">
        <v>476</v>
      </c>
      <c r="AC54" s="367"/>
      <c r="AD54" s="239">
        <v>15</v>
      </c>
      <c r="AE54" s="95"/>
      <c r="AF54" s="366" t="s">
        <v>476</v>
      </c>
      <c r="AG54" s="367"/>
      <c r="AH54" s="239">
        <v>14</v>
      </c>
      <c r="AI54" s="95"/>
      <c r="AJ54" s="366" t="s">
        <v>476</v>
      </c>
      <c r="AK54" s="367"/>
      <c r="AL54" s="239">
        <v>14</v>
      </c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785</v>
      </c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6" t="s">
        <v>235</v>
      </c>
      <c r="Q56" s="367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/>
      <c r="AJ56" s="364"/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2" t="s">
        <v>389</v>
      </c>
      <c r="Q57" s="373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2" t="s">
        <v>389</v>
      </c>
      <c r="M60" s="373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4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72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27</v>
      </c>
      <c r="D75">
        <f>C75*D74</f>
        <v>87.096774193548384</v>
      </c>
      <c r="Z75" s="111"/>
    </row>
    <row r="76" spans="1:50">
      <c r="D76">
        <f>D75-D73</f>
        <v>15.096774193548384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23" workbookViewId="0">
      <selection activeCell="J308" sqref="J30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7494.86</v>
      </c>
      <c r="L7" s="427"/>
      <c r="M7" s="1"/>
      <c r="N7" s="1"/>
      <c r="R7" s="3"/>
    </row>
    <row r="8" spans="1:22" ht="15.75">
      <c r="A8" s="112">
        <f>'08'!A8+(B8-SUM(D8:F8))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29171.350000000002</v>
      </c>
      <c r="L19" s="442"/>
      <c r="M19" s="1"/>
      <c r="N19" s="1"/>
      <c r="R19" s="3"/>
    </row>
    <row r="20" spans="1:18" ht="16.5" thickBot="1">
      <c r="A20" s="112">
        <f>SUM(A6:A15)</f>
        <v>1374.14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1468.0199999999998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'08'!A66+(B66-SUM(D66:F78))+B67</f>
        <v>157.83000000000004</v>
      </c>
      <c r="B66" s="133">
        <v>165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267.83000000000004</v>
      </c>
      <c r="B80" s="233">
        <f>SUM(B66:B79)</f>
        <v>175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32.880000000000003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709.00000000000011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95.359999999999815</v>
      </c>
      <c r="B286" s="133">
        <v>50</v>
      </c>
      <c r="C286" s="19" t="s">
        <v>33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155.35999999999981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'09'!A8+(B8-SUM(D8:F8))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'09'!A11+(B11-SUM(D11:F11))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1918.1399999999999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'09'!A27+(B27-SUM(D27:F27))</f>
        <v>398.04999999999995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2596.0200000000004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142.11000000000004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1292.1500000000001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45.230000000000018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'10'!A8+(B8-SUM(D8:F8))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'10'!A11+(B11-SUM(D11:F11))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2462.14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'10'!A27+(B27-SUM(D27:F27))</f>
        <v>568.04999999999995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3724.0200000000004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213.11000000000004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1671.62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'11'!A8+(B8-SUM(D8:F8))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'11'!A11+(B11-SUM(D11:F11))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3006.1399999999994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'11'!A27+(B27-SUM(D27:F27))</f>
        <v>738.05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4852.0199999999995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284.11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3366.7700000000018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2051.09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85.230000000000018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topLeftCell="A4" workbookViewId="0">
      <selection activeCell="E20" sqref="E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130048.84</v>
      </c>
      <c r="C4" s="114"/>
      <c r="E4" s="41"/>
    </row>
    <row r="5" spans="1:14" ht="12.75" customHeight="1">
      <c r="A5" t="s">
        <v>90</v>
      </c>
      <c r="B5" s="46">
        <f>Historico!H83</f>
        <v>341</v>
      </c>
      <c r="E5" s="42"/>
      <c r="J5" s="47" t="s">
        <v>91</v>
      </c>
      <c r="L5" s="44" t="s">
        <v>92</v>
      </c>
      <c r="M5" t="s">
        <v>93</v>
      </c>
      <c r="N5" t="s">
        <v>768</v>
      </c>
    </row>
    <row r="6" spans="1:14" ht="12.75" customHeight="1">
      <c r="A6" t="s">
        <v>94</v>
      </c>
      <c r="B6" s="48">
        <f>E19</f>
        <v>-0.35499999999999993</v>
      </c>
      <c r="C6" s="44" t="s">
        <v>95</v>
      </c>
      <c r="D6" s="43" t="s">
        <v>96</v>
      </c>
      <c r="E6" s="42"/>
      <c r="J6" t="s">
        <v>97</v>
      </c>
      <c r="K6" s="49">
        <f>B4-B15</f>
        <v>129675.24522624344</v>
      </c>
      <c r="L6" s="39">
        <f>B4*(E8/100)</f>
        <v>15.714234833333341</v>
      </c>
      <c r="M6" s="49">
        <f>B13-L6</f>
        <v>373.59477375656149</v>
      </c>
      <c r="N6" s="59">
        <f>L6/SUM(L6:M6)</f>
        <v>4.0364426423758926E-2</v>
      </c>
    </row>
    <row r="7" spans="1:14" ht="12.75" customHeight="1">
      <c r="E7" s="42"/>
      <c r="J7" t="s">
        <v>98</v>
      </c>
      <c r="K7" s="49">
        <f>K6-(B13-L7)</f>
        <v>129301.60530978505</v>
      </c>
      <c r="L7" s="39">
        <f>(K6*(E8/100))</f>
        <v>15.669092131504424</v>
      </c>
      <c r="M7" s="49">
        <f>B13-L7</f>
        <v>373.63991645839042</v>
      </c>
      <c r="N7" s="59">
        <f t="shared" ref="N7:N13" si="0">L7/SUM(L7:M7)</f>
        <v>4.0248470458618464E-2</v>
      </c>
    </row>
    <row r="8" spans="1:14" ht="12.75" customHeight="1">
      <c r="B8" s="42"/>
      <c r="D8" t="s">
        <v>183</v>
      </c>
      <c r="E8" s="50">
        <f>(B6+0.5)/12</f>
        <v>1.208333333333334E-2</v>
      </c>
      <c r="J8" t="s">
        <v>99</v>
      </c>
      <c r="K8" s="49">
        <f>K7-(B13-L8)</f>
        <v>128927.92024517008</v>
      </c>
      <c r="L8" s="39">
        <f>(K7*(E8/100))</f>
        <v>15.62394397493237</v>
      </c>
      <c r="M8" s="49">
        <f>B13-L8</f>
        <v>373.68506461496247</v>
      </c>
      <c r="N8" s="59">
        <f t="shared" si="0"/>
        <v>4.0132500482132218E-2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1.0001208333333333</v>
      </c>
      <c r="J9" t="s">
        <v>101</v>
      </c>
      <c r="K9" s="49">
        <f>K8-(B13-L9)</f>
        <v>128554.19002694315</v>
      </c>
      <c r="L9" s="39">
        <f>(K8*(E8/100))</f>
        <v>15.578790362958062</v>
      </c>
      <c r="M9" s="49">
        <f>B13-L9</f>
        <v>373.73021822693681</v>
      </c>
      <c r="N9" s="59">
        <f t="shared" si="0"/>
        <v>4.0016516492607138E-2</v>
      </c>
    </row>
    <row r="10" spans="1:14" ht="12.75" customHeight="1">
      <c r="B10" s="42"/>
      <c r="D10" t="s">
        <v>102</v>
      </c>
      <c r="E10" s="50">
        <f>E9^-B5</f>
        <v>0.95963557357624107</v>
      </c>
      <c r="J10" t="s">
        <v>103</v>
      </c>
      <c r="K10" s="49">
        <f>K9-(B13-L10)</f>
        <v>128180.41464964818</v>
      </c>
      <c r="L10" s="39">
        <f>(K9*(E8/100))</f>
        <v>15.533631294922307</v>
      </c>
      <c r="M10" s="49">
        <f>B13-L10</f>
        <v>373.77537729497254</v>
      </c>
      <c r="N10" s="59">
        <f t="shared" si="0"/>
        <v>3.9900518488349995E-2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4.0364426423758921</v>
      </c>
      <c r="J11" t="s">
        <v>106</v>
      </c>
      <c r="K11" s="51">
        <f>K10-(B13-L11)</f>
        <v>127806.59410782845</v>
      </c>
      <c r="L11" s="39">
        <f>(K10*(E8/100))</f>
        <v>15.488466770165831</v>
      </c>
      <c r="M11" s="49">
        <f>B13-L11</f>
        <v>373.82054181972904</v>
      </c>
      <c r="N11" s="59">
        <f t="shared" si="0"/>
        <v>3.9784506467667333E-2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389.30900858989486</v>
      </c>
      <c r="E13" s="42"/>
      <c r="F13" s="44"/>
      <c r="G13" s="53"/>
      <c r="L13" s="54">
        <f>SUM(L6:L11)</f>
        <v>93.608159367816327</v>
      </c>
      <c r="M13" s="54">
        <f>SUM(M6:M11)</f>
        <v>2242.2458921715529</v>
      </c>
      <c r="N13" s="59">
        <f t="shared" si="0"/>
        <v>4.0074489802189008E-2</v>
      </c>
    </row>
    <row r="14" spans="1:14" ht="12.75" customHeight="1">
      <c r="A14" t="s">
        <v>108</v>
      </c>
      <c r="B14" s="55">
        <f>B4*(E8/100)</f>
        <v>15.714234833333341</v>
      </c>
      <c r="E14" s="42"/>
    </row>
    <row r="15" spans="1:14" ht="12.75" customHeight="1">
      <c r="A15" t="s">
        <v>109</v>
      </c>
      <c r="B15" s="55">
        <f>B13-B14</f>
        <v>373.59477375656149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389.31056858989484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-0.35499999999999993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-7.4549999999999983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2242.2458921715529</v>
      </c>
      <c r="C22" s="58">
        <f>B22/170000</f>
        <v>1.3189681718656194E-2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127806.59410782845</v>
      </c>
      <c r="C23" s="59">
        <f>6/(40*6)</f>
        <v>2.5000000000000001E-2</v>
      </c>
      <c r="E23" s="42">
        <v>-0.308</v>
      </c>
      <c r="F23">
        <v>5</v>
      </c>
      <c r="G23" s="57">
        <v>1</v>
      </c>
    </row>
    <row r="24" spans="1:9" ht="12.75" customHeight="1">
      <c r="E24" s="42">
        <v>-0.31900000000000001</v>
      </c>
      <c r="F24">
        <v>6</v>
      </c>
      <c r="G24" s="57">
        <v>1</v>
      </c>
    </row>
    <row r="25" spans="1:9" ht="12.75" customHeight="1">
      <c r="E25" s="42">
        <v>-0.32200000000000001</v>
      </c>
      <c r="F25">
        <v>7</v>
      </c>
      <c r="G25" s="57">
        <v>1</v>
      </c>
    </row>
    <row r="26" spans="1:9" ht="12.75" customHeight="1">
      <c r="E26" s="42">
        <v>-0.33900000000000002</v>
      </c>
      <c r="F26">
        <v>8</v>
      </c>
      <c r="G26" s="57">
        <v>1</v>
      </c>
    </row>
    <row r="27" spans="1:9" ht="12.75" customHeight="1">
      <c r="E27" s="42">
        <v>-0.34300000000000003</v>
      </c>
      <c r="F27">
        <v>9</v>
      </c>
      <c r="G27" s="57">
        <v>1</v>
      </c>
    </row>
    <row r="28" spans="1:9" ht="12.75" customHeight="1">
      <c r="C28" s="59"/>
      <c r="E28" s="42">
        <v>-0.35199999999999998</v>
      </c>
      <c r="F28">
        <v>12</v>
      </c>
      <c r="G28" s="57">
        <v>1</v>
      </c>
    </row>
    <row r="29" spans="1:9" ht="12.75" customHeight="1">
      <c r="C29" s="59"/>
      <c r="E29" s="42">
        <v>-0.35699999999999998</v>
      </c>
      <c r="F29">
        <v>13</v>
      </c>
      <c r="G29" s="57">
        <v>1</v>
      </c>
    </row>
    <row r="30" spans="1:9" ht="12.75" customHeight="1">
      <c r="C30" s="59"/>
      <c r="E30" s="42">
        <v>-0.35</v>
      </c>
      <c r="F30">
        <v>14</v>
      </c>
      <c r="G30" s="57">
        <v>1</v>
      </c>
    </row>
    <row r="31" spans="1:9" ht="12.75" customHeight="1">
      <c r="E31" s="42">
        <v>-0.35299999999999998</v>
      </c>
      <c r="F31">
        <v>15</v>
      </c>
      <c r="G31" s="57">
        <v>1</v>
      </c>
    </row>
    <row r="32" spans="1:9" ht="12.75" customHeight="1">
      <c r="E32" s="42">
        <v>-0.38500000000000001</v>
      </c>
      <c r="F32">
        <v>16</v>
      </c>
      <c r="G32" s="57">
        <v>1</v>
      </c>
    </row>
    <row r="33" spans="2:7" ht="12.75" customHeight="1">
      <c r="C33" s="59"/>
      <c r="E33" s="42">
        <v>-0.39800000000000002</v>
      </c>
      <c r="F33">
        <v>19</v>
      </c>
      <c r="G33" s="57">
        <v>1</v>
      </c>
    </row>
    <row r="34" spans="2:7" ht="12.75" customHeight="1">
      <c r="C34" s="58"/>
      <c r="E34" s="42">
        <v>-0.39500000000000002</v>
      </c>
      <c r="F34">
        <v>20</v>
      </c>
      <c r="G34" s="57">
        <v>1</v>
      </c>
    </row>
    <row r="35" spans="2:7" ht="12.75" customHeight="1">
      <c r="C35" s="58"/>
      <c r="E35" s="42">
        <v>-0.39900000000000002</v>
      </c>
      <c r="F35">
        <v>21</v>
      </c>
      <c r="G35" s="57">
        <v>1</v>
      </c>
    </row>
    <row r="36" spans="2:7" ht="12.75" customHeight="1">
      <c r="E36" s="42">
        <v>-0.38600000000000001</v>
      </c>
      <c r="F36">
        <v>22</v>
      </c>
      <c r="G36" s="57">
        <v>1</v>
      </c>
    </row>
    <row r="37" spans="2:7" ht="12.75" customHeight="1">
      <c r="E37" s="42">
        <v>-0.35799999999999998</v>
      </c>
      <c r="F37">
        <v>23</v>
      </c>
      <c r="G37" s="57">
        <v>1</v>
      </c>
    </row>
    <row r="38" spans="2:7" ht="12.75" customHeight="1">
      <c r="E38" s="42">
        <v>-0.36399999999999999</v>
      </c>
      <c r="F38">
        <v>26</v>
      </c>
      <c r="G38" s="57">
        <v>1</v>
      </c>
    </row>
    <row r="39" spans="2:7" ht="12.75" customHeight="1">
      <c r="E39" s="42">
        <v>-0.36899999999999999</v>
      </c>
      <c r="F39">
        <v>27</v>
      </c>
      <c r="G39" s="57">
        <v>1</v>
      </c>
    </row>
    <row r="40" spans="2:7" ht="12.75" customHeight="1">
      <c r="E40" s="42">
        <v>-0.379</v>
      </c>
      <c r="F40">
        <v>28</v>
      </c>
      <c r="G40" s="57">
        <v>1</v>
      </c>
    </row>
    <row r="41" spans="2:7" ht="12.75" customHeight="1">
      <c r="E41" s="42">
        <v>-0.375</v>
      </c>
      <c r="F41">
        <v>29</v>
      </c>
      <c r="G41" s="57">
        <v>1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21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F23" sqref="F2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0" workbookViewId="0">
      <selection activeCell="E27" sqref="E27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-3.5499999999999993E-3</v>
      </c>
      <c r="D25" s="73">
        <f>Hipoteca!B$13</f>
        <v>389.30900858989486</v>
      </c>
      <c r="E25" s="72">
        <f t="shared" ref="E25" si="10">D25-D24</f>
        <v>-13.770991410105125</v>
      </c>
      <c r="H25">
        <f>IF(MONTH(I26)&gt;MONTH(I25),MONTH(I26)-MONTH(I25),(MONTH(I26)+12)-MONTH(I25))</f>
        <v>6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/>
      <c r="C26" s="71"/>
      <c r="D26" s="73"/>
      <c r="E26" s="72"/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1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2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1"/>
        <v>6</v>
      </c>
      <c r="I28" s="79">
        <f t="shared" si="4"/>
        <v>44287</v>
      </c>
      <c r="J28" s="128"/>
      <c r="K28" s="127"/>
      <c r="L28" s="127"/>
      <c r="M28" s="72"/>
      <c r="O28">
        <f t="shared" si="12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1"/>
        <v>6</v>
      </c>
      <c r="I29" s="79">
        <f t="shared" si="4"/>
        <v>44470</v>
      </c>
      <c r="J29" s="128"/>
      <c r="K29" s="127"/>
      <c r="L29" s="127"/>
      <c r="M29" s="72"/>
      <c r="O29">
        <f t="shared" si="12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1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1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1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1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1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1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1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1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1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1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1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1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1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1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1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1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1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1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1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1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1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1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1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1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1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1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1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1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1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1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1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1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1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1"/>
        <v>6</v>
      </c>
      <c r="I63" s="79">
        <f t="shared" ref="I63:I81" si="13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1"/>
        <v>6</v>
      </c>
      <c r="I64" s="79">
        <f t="shared" si="13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1"/>
        <v>6</v>
      </c>
      <c r="I65" s="79">
        <f t="shared" si="13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1"/>
        <v>6</v>
      </c>
      <c r="I66" s="79">
        <f t="shared" si="13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1"/>
        <v>6</v>
      </c>
      <c r="I67" s="79">
        <f t="shared" si="13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1"/>
        <v>6</v>
      </c>
      <c r="I68" s="79">
        <f t="shared" si="13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1"/>
        <v>6</v>
      </c>
      <c r="I69" s="79">
        <f t="shared" si="13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1"/>
        <v>6</v>
      </c>
      <c r="I70" s="79">
        <f t="shared" si="13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1"/>
        <v>6</v>
      </c>
      <c r="I71" s="79">
        <f t="shared" si="13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1"/>
        <v>6</v>
      </c>
      <c r="I72" s="79">
        <f t="shared" si="13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1"/>
        <v>6</v>
      </c>
      <c r="I73" s="79">
        <f t="shared" si="13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1"/>
        <v>6</v>
      </c>
      <c r="I74" s="79">
        <f t="shared" si="13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1"/>
        <v>6</v>
      </c>
      <c r="I75" s="79">
        <f t="shared" si="13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1"/>
        <v>6</v>
      </c>
      <c r="I76" s="79">
        <f t="shared" si="13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1"/>
        <v>6</v>
      </c>
      <c r="I77" s="79">
        <f t="shared" si="13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1"/>
        <v>6</v>
      </c>
      <c r="I78" s="79">
        <f t="shared" si="13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1"/>
        <v>6</v>
      </c>
      <c r="I79" s="79">
        <f t="shared" si="13"/>
        <v>53601</v>
      </c>
      <c r="J79" s="128"/>
      <c r="K79" s="127"/>
      <c r="L79" s="127"/>
      <c r="M79" s="72"/>
    </row>
    <row r="80" spans="1:13" ht="12.75" customHeight="1">
      <c r="A80" s="120">
        <f t="shared" ref="A80:A81" si="14">EDATE(A79,6)</f>
        <v>53724</v>
      </c>
      <c r="B80" s="116"/>
      <c r="C80" s="71"/>
      <c r="D80" s="73"/>
      <c r="E80" s="72"/>
      <c r="H80">
        <f t="shared" si="11"/>
        <v>6</v>
      </c>
      <c r="I80" s="79">
        <f t="shared" si="13"/>
        <v>53783</v>
      </c>
      <c r="J80" s="128"/>
      <c r="K80" s="127"/>
      <c r="L80" s="127"/>
      <c r="M80" s="72"/>
    </row>
    <row r="81" spans="1:13" ht="12.75" customHeight="1">
      <c r="A81" s="120">
        <f t="shared" si="14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3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8.3622308488612816E-3</v>
      </c>
      <c r="D83" s="85">
        <f>AVERAGE(D2:D82)</f>
        <v>492.24228546616729</v>
      </c>
      <c r="E83" s="86">
        <f>AVERAGE(E3:E82)</f>
        <v>-19.945260496091528</v>
      </c>
      <c r="H83">
        <f>SUM(H25:H82)</f>
        <v>341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9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1497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43706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101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43706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535</v>
      </c>
      <c r="S4" s="341">
        <v>43708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552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43706</v>
      </c>
      <c r="L5" s="302">
        <v>29.93</v>
      </c>
      <c r="M5" s="264">
        <f>(H5*L5)</f>
        <v>5866.28</v>
      </c>
      <c r="N5" s="264">
        <f>-(IF((M5*0.0075)&lt;30,30,(M5*0.0075)) + (M5*0.0035))</f>
        <v>-64.529079999999993</v>
      </c>
      <c r="O5" s="272">
        <f>J5+N5</f>
        <v>-120.54195999999999</v>
      </c>
      <c r="P5" s="273">
        <f>M5-E5+N5</f>
        <v>653.65803999999957</v>
      </c>
      <c r="Q5" s="274">
        <f>P5/E5</f>
        <v>0.12697091043936246</v>
      </c>
      <c r="R5" s="275" t="s">
        <v>535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518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3.7990196078431369E-2</v>
      </c>
      <c r="X13" s="119">
        <f ca="1">W13*E13</f>
        <v>152.69281550245097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3.3700980392156861E-2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8.5784313725490204E-3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0.53247549019607843</v>
      </c>
      <c r="X19" s="119">
        <f t="shared" ca="1" si="2"/>
        <v>2355.3520407352944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0.38725490196078433</v>
      </c>
      <c r="X20" s="119">
        <f t="shared" ca="1" si="2"/>
        <v>232.58529411764707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0.17647058823529413</v>
      </c>
      <c r="X25" s="119">
        <f t="shared" ca="1" si="2"/>
        <v>107.28762811764706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552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43706</v>
      </c>
      <c r="L28" s="302">
        <v>28</v>
      </c>
      <c r="M28" s="264">
        <f>(H28*L28)</f>
        <v>5488</v>
      </c>
      <c r="N28" s="264">
        <f>-(IF((M28*0.0075)&lt;30,30,(M28*0.0075)) + (M28*0.0035))</f>
        <v>-60.367999999999995</v>
      </c>
      <c r="O28" s="272">
        <f>J28+N28</f>
        <v>-116.38087999999999</v>
      </c>
      <c r="P28" s="273">
        <f ca="1">IF(K28=0,0,M28-E28+N28)</f>
        <v>279.53911999999985</v>
      </c>
      <c r="Q28" s="274">
        <f ca="1">P28/E28</f>
        <v>5.4299548690349163E-2</v>
      </c>
      <c r="R28" s="275" t="s">
        <v>517</v>
      </c>
      <c r="S28" s="59">
        <f ca="1">Q28+Q29+Q30+Q34</f>
        <v>7.8704702779177488E-2</v>
      </c>
      <c r="W28" s="39">
        <f t="shared" ca="1" si="0"/>
        <v>0.33823529411764708</v>
      </c>
      <c r="X28" s="119">
        <f t="shared" ca="1" si="2"/>
        <v>1741.2667094117649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1.3480392156862746E-2</v>
      </c>
      <c r="X33" s="119">
        <f t="shared" ca="1" si="2"/>
        <v>55.662240441176472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101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43706</v>
      </c>
      <c r="L35" s="302">
        <v>67.03</v>
      </c>
      <c r="M35" s="264">
        <f>(H35*L35)</f>
        <v>4155.8599999999997</v>
      </c>
      <c r="N35" s="264">
        <f>-(IF((M35*0.0075)&lt;30,30,(M35*0.0075)) + (M35*0.0035))</f>
        <v>-45.714459999999995</v>
      </c>
      <c r="O35" s="272">
        <f>J35+N35</f>
        <v>-90.201319999999996</v>
      </c>
      <c r="P35" s="273">
        <f ca="1">IF(K35=0,0,M35-E35+N35)</f>
        <v>21.39867999999948</v>
      </c>
      <c r="Q35" s="274">
        <f ca="1">P35/E35</f>
        <v>5.233554615312986E-3</v>
      </c>
      <c r="R35" s="275" t="s">
        <v>412</v>
      </c>
      <c r="W35" s="39">
        <f t="shared" ca="1" si="0"/>
        <v>6.1887254901960786E-2</v>
      </c>
      <c r="X35" s="119">
        <f t="shared" ca="1" si="2"/>
        <v>253.04131915441178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2595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-376.66371900000001</v>
      </c>
      <c r="O42" s="315">
        <f>SUM(O13:O41)</f>
        <v>-562.86185699999999</v>
      </c>
      <c r="P42" s="315">
        <f ca="1">SUM(P13:P41)</f>
        <v>3952.6465229999999</v>
      </c>
      <c r="Q42" s="326">
        <f ca="1">SUM(Q13:Q41)</f>
        <v>3.9828988094667319</v>
      </c>
      <c r="R42" s="317"/>
      <c r="W42" s="327">
        <f ca="1">SUM(W13:W41)</f>
        <v>1.5900735294117645</v>
      </c>
      <c r="X42" s="328">
        <f ca="1">SUM(X13:X41)</f>
        <v>4897.8880474803937</v>
      </c>
      <c r="Y42" s="329">
        <f ca="1">P42/X42</f>
        <v>0.80701038584035178</v>
      </c>
      <c r="Z42" s="329">
        <f ca="1">Y42/(D$43/365)</f>
        <v>0.18048945516650022</v>
      </c>
    </row>
    <row r="43" spans="1:26">
      <c r="C43" s="119" t="s">
        <v>568</v>
      </c>
      <c r="D43" s="46">
        <f ca="1">_xlfn.DAYS(TODAY(),F13)</f>
        <v>1632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L10" sqref="L10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574</v>
      </c>
      <c r="B1" s="448"/>
      <c r="C1" s="448"/>
      <c r="D1" s="448"/>
      <c r="E1" s="448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6.5835335949714784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7.4075732025139995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5.8202360876895716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1.5873371148244286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21.39867999999948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603</v>
      </c>
      <c r="B15" s="446"/>
      <c r="C15" s="446"/>
      <c r="D15" s="446"/>
      <c r="E15" s="446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4"/>
  <sheetViews>
    <sheetView topLeftCell="A46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2018</v>
      </c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4">
        <v>2901.68</v>
      </c>
      <c r="L5" s="4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6">
        <v>620.05999999999995</v>
      </c>
      <c r="L6" s="42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6">
        <v>8035.29</v>
      </c>
      <c r="L7" s="4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6">
        <v>659.39</v>
      </c>
      <c r="L9" s="4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6">
        <f>240+35</f>
        <v>275</v>
      </c>
      <c r="L11" s="4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2">
        <f>SUM(K5:K18)</f>
        <v>26383.54</v>
      </c>
      <c r="L19" s="4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3" t="str">
        <f>AÑO!A8</f>
        <v>Manolo Salario</v>
      </c>
      <c r="J25" s="406" t="s">
        <v>291</v>
      </c>
      <c r="K25" s="4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4"/>
      <c r="J26" s="408"/>
      <c r="K26" s="4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4"/>
      <c r="J27" s="408"/>
      <c r="K27" s="4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4"/>
      <c r="J28" s="408"/>
      <c r="K28" s="4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2"/>
      <c r="J29" s="413"/>
      <c r="K29" s="4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3" t="str">
        <f>AÑO!A9</f>
        <v>Rocío Salario</v>
      </c>
      <c r="J30" s="406" t="s">
        <v>238</v>
      </c>
      <c r="K30" s="4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4"/>
      <c r="J31" s="408" t="s">
        <v>256</v>
      </c>
      <c r="K31" s="4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4"/>
      <c r="J32" s="415" t="s">
        <v>267</v>
      </c>
      <c r="K32" s="4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3" t="s">
        <v>218</v>
      </c>
      <c r="J35" s="406" t="s">
        <v>306</v>
      </c>
      <c r="K35" s="4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3" t="str">
        <f>AÑO!A11</f>
        <v>Finanazas</v>
      </c>
      <c r="J40" s="406" t="s">
        <v>239</v>
      </c>
      <c r="K40" s="4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4"/>
      <c r="J41" s="408" t="s">
        <v>240</v>
      </c>
      <c r="K41" s="409"/>
      <c r="L41" s="229">
        <v>1.87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12"/>
      <c r="I42" s="404"/>
      <c r="J42" s="408" t="s">
        <v>269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3" t="str">
        <f>AÑO!A12</f>
        <v>Regalos</v>
      </c>
      <c r="J45" s="406" t="s">
        <v>299</v>
      </c>
      <c r="K45" s="4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2"/>
      <c r="J49" s="413"/>
      <c r="K49" s="4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3" t="str">
        <f>AÑO!A13</f>
        <v>Gubernamental</v>
      </c>
      <c r="J50" s="406" t="s">
        <v>259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2"/>
      <c r="J54" s="413"/>
      <c r="K54" s="4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2"/>
      <c r="J59" s="413"/>
      <c r="K59" s="4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3" t="str">
        <f>AÑO!A16</f>
        <v>Otros</v>
      </c>
      <c r="J65" s="406" t="s">
        <v>296</v>
      </c>
      <c r="K65" s="4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4"/>
      <c r="J66" s="408"/>
      <c r="K66" s="4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4"/>
      <c r="J67" s="408"/>
      <c r="K67" s="4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4"/>
      <c r="J68" s="408"/>
      <c r="K68" s="4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5"/>
      <c r="J69" s="410"/>
      <c r="K69" s="4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2:8" ht="15" customHeight="1" thickBot="1">
      <c r="B243" s="419"/>
      <c r="C243" s="420"/>
      <c r="D243" s="420"/>
      <c r="E243" s="420"/>
      <c r="F243" s="420"/>
      <c r="G243" s="421"/>
      <c r="H243" s="112"/>
    </row>
    <row r="244" spans="2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2:8" ht="15" customHeight="1" thickBot="1">
      <c r="B263" s="419"/>
      <c r="C263" s="420"/>
      <c r="D263" s="420"/>
      <c r="E263" s="420"/>
      <c r="F263" s="420"/>
      <c r="G263" s="421"/>
      <c r="H263" s="112"/>
    </row>
    <row r="264" spans="2:8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2:8" ht="15" customHeight="1" thickBot="1">
      <c r="B283" s="419"/>
      <c r="C283" s="420"/>
      <c r="D283" s="420"/>
      <c r="E283" s="420"/>
      <c r="F283" s="420"/>
      <c r="G283" s="421"/>
      <c r="H283" s="112"/>
    </row>
    <row r="284" spans="2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2:8" ht="15" customHeight="1" thickBot="1">
      <c r="B303" s="419"/>
      <c r="C303" s="420"/>
      <c r="D303" s="420"/>
      <c r="E303" s="420"/>
      <c r="F303" s="420"/>
      <c r="G303" s="421"/>
      <c r="H303" s="112"/>
    </row>
    <row r="304" spans="2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Impuestos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Cartama Finanazas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2397.48-4.45</f>
        <v>2393.0300000000002</v>
      </c>
      <c r="L5" s="4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>
        <f>7340.23-4.45</f>
        <v>7335.78</v>
      </c>
      <c r="L7" s="4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7001.87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669.52</v>
      </c>
      <c r="L9" s="4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160+155</f>
        <v>315</v>
      </c>
      <c r="L11" s="4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25229.379999999997</v>
      </c>
      <c r="L19" s="4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314</v>
      </c>
      <c r="K30" s="4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319</v>
      </c>
      <c r="K31" s="4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 t="s">
        <v>314</v>
      </c>
      <c r="K33" s="4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3" t="str">
        <f>AÑO!A15</f>
        <v>Alquiler Cartama</v>
      </c>
      <c r="J60" s="406" t="s">
        <v>315</v>
      </c>
      <c r="K60" s="4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4"/>
      <c r="J66" s="408"/>
      <c r="K66" s="4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4"/>
      <c r="J67" s="408"/>
      <c r="K67" s="4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5"/>
      <c r="J69" s="410"/>
      <c r="K69" s="4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238</v>
      </c>
      <c r="K31" s="4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379</v>
      </c>
      <c r="K45" s="4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4"/>
      <c r="J46" s="408" t="s">
        <v>160</v>
      </c>
      <c r="K46" s="4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4"/>
      <c r="J51" s="408" t="s">
        <v>417</v>
      </c>
      <c r="K51" s="4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3" t="str">
        <f>AÑO!A14</f>
        <v>Mutualite/DKV</v>
      </c>
      <c r="J55" s="439" t="str">
        <f>G306</f>
        <v>12/03 Chirec</v>
      </c>
      <c r="K55" s="4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366</v>
      </c>
      <c r="K60" s="4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424</v>
      </c>
      <c r="K40" s="4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444</v>
      </c>
      <c r="K41" s="409"/>
      <c r="L41" s="229">
        <v>352.82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 t="s">
        <v>60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3" t="str">
        <f>AÑO!A13</f>
        <v>Gubernamental</v>
      </c>
      <c r="J50" s="406" t="s">
        <v>433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39" t="str">
        <f>'03'!G307</f>
        <v>22/03 Chirec</v>
      </c>
      <c r="K55" s="4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0" t="str">
        <f>'03'!G309</f>
        <v>26/03 Ginecologa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448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362</v>
      </c>
      <c r="K31" s="4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472</v>
      </c>
      <c r="K40" s="4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3" t="str">
        <f>AÑO!A13</f>
        <v>Gubernamental</v>
      </c>
      <c r="J50" s="406" t="s">
        <v>483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3" t="str">
        <f>AÑO!A14</f>
        <v>Mutualite/DKV</v>
      </c>
      <c r="J55" s="406" t="s">
        <v>477</v>
      </c>
      <c r="K55" s="4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M5+2156.93</f>
        <v>1614.1099999999997</v>
      </c>
      <c r="L5" s="425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626</v>
      </c>
      <c r="K30" s="407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627</v>
      </c>
      <c r="K60" s="407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626</v>
      </c>
      <c r="K31" s="409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692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679</v>
      </c>
      <c r="K40" s="407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60</v>
      </c>
      <c r="K41" s="409"/>
      <c r="L41" s="229">
        <v>0.02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 t="s">
        <v>693</v>
      </c>
      <c r="K55" s="407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 t="s">
        <v>693</v>
      </c>
      <c r="K56" s="409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693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708</v>
      </c>
      <c r="K60" s="407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214" workbookViewId="0">
      <selection activeCell="B222" sqref="B222:G2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830.1400000000001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146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781</v>
      </c>
      <c r="K45" s="407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748</v>
      </c>
      <c r="H46" s="1"/>
      <c r="I46" s="404"/>
      <c r="J46" s="408" t="s">
        <v>782</v>
      </c>
      <c r="K46" s="409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725</v>
      </c>
      <c r="D48" s="137">
        <v>22.34</v>
      </c>
      <c r="E48" s="138"/>
      <c r="F48" s="138"/>
      <c r="G48" s="16" t="s">
        <v>749</v>
      </c>
      <c r="H48" s="1">
        <f>22*8</f>
        <v>176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49.31</v>
      </c>
      <c r="E49" s="138"/>
      <c r="F49" s="138"/>
      <c r="G49" s="16" t="s">
        <v>755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762</v>
      </c>
      <c r="H50" s="1"/>
      <c r="I50" s="403" t="str">
        <f>AÑO!A13</f>
        <v>Gubernamental</v>
      </c>
      <c r="J50" s="406" t="s">
        <v>639</v>
      </c>
      <c r="K50" s="407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763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43">
        <v>43692</v>
      </c>
      <c r="K55" s="407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9">
        <v>43696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39</v>
      </c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'07'!A66+(B66-SUM(D66:F78))+B67</f>
        <v>-7.169999999999952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754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753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19.5</v>
      </c>
      <c r="E68" s="138"/>
      <c r="F68" s="138">
        <v>5.5</v>
      </c>
      <c r="G68" s="16" t="s">
        <v>759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760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772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783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92.830000000000041</v>
      </c>
      <c r="B80" s="233">
        <f>SUM(B66:B79)</f>
        <v>200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751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752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>
        <v>23</v>
      </c>
      <c r="E207" s="138"/>
      <c r="F207" s="138"/>
      <c r="G207" s="16" t="s">
        <v>766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-12.119999999999997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746</v>
      </c>
    </row>
    <row r="247" spans="1:7" ht="15" customHeight="1">
      <c r="A247" s="112"/>
      <c r="B247" s="134"/>
      <c r="C247" s="16"/>
      <c r="D247" s="137">
        <v>16.52</v>
      </c>
      <c r="E247" s="138"/>
      <c r="F247" s="138"/>
      <c r="G247" s="16" t="s">
        <v>761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619.00000000000011</v>
      </c>
      <c r="B260" s="135">
        <f>SUM(B246:B259)</f>
        <v>90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773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>
        <v>35.96</v>
      </c>
      <c r="E306" s="138"/>
      <c r="F306" s="138"/>
      <c r="G306" s="16" t="s">
        <v>756</v>
      </c>
    </row>
    <row r="307" spans="2:7">
      <c r="B307" s="134">
        <v>13.15</v>
      </c>
      <c r="C307" s="27" t="s">
        <v>764</v>
      </c>
      <c r="D307" s="137"/>
      <c r="E307" s="138"/>
      <c r="F307" s="138">
        <v>70</v>
      </c>
      <c r="G307" s="16" t="s">
        <v>758</v>
      </c>
    </row>
    <row r="308" spans="2:7">
      <c r="B308" s="134">
        <v>14.27</v>
      </c>
      <c r="C308" s="27" t="s">
        <v>776</v>
      </c>
      <c r="D308" s="137">
        <v>8.68</v>
      </c>
      <c r="E308" s="138"/>
      <c r="F308" s="138"/>
      <c r="G308" s="16" t="s">
        <v>771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>
        <v>192.98</v>
      </c>
      <c r="C327" s="16" t="s">
        <v>784</v>
      </c>
      <c r="D327" s="137">
        <v>10</v>
      </c>
      <c r="E327" s="138"/>
      <c r="F327" s="138"/>
      <c r="G327" s="16" t="s">
        <v>746</v>
      </c>
    </row>
    <row r="328" spans="2:7">
      <c r="B328" s="134"/>
      <c r="C328" s="16"/>
      <c r="D328" s="137">
        <v>187.13</v>
      </c>
      <c r="E328" s="138"/>
      <c r="F328" s="138"/>
      <c r="G328" s="16" t="s">
        <v>750</v>
      </c>
    </row>
    <row r="329" spans="2:7">
      <c r="B329" s="134"/>
      <c r="C329" s="16"/>
      <c r="D329" s="137">
        <v>32.14</v>
      </c>
      <c r="E329" s="138"/>
      <c r="F329" s="138"/>
      <c r="G329" s="16" t="s">
        <v>774</v>
      </c>
    </row>
    <row r="330" spans="2:7">
      <c r="B330" s="134"/>
      <c r="C330" s="16"/>
      <c r="D330" s="137">
        <v>7.49</v>
      </c>
      <c r="E330" s="138"/>
      <c r="F330" s="138"/>
      <c r="G330" s="16" t="s">
        <v>775</v>
      </c>
    </row>
    <row r="331" spans="2:7">
      <c r="B331" s="134"/>
      <c r="C331" s="16"/>
      <c r="D331" s="137"/>
      <c r="E331" s="138">
        <v>192.98</v>
      </c>
      <c r="F331" s="138"/>
      <c r="G331" s="16" t="s">
        <v>779</v>
      </c>
    </row>
    <row r="332" spans="2:7">
      <c r="B332" s="134"/>
      <c r="C332" s="16"/>
      <c r="D332" s="137"/>
      <c r="E332" s="138">
        <v>96.65</v>
      </c>
      <c r="F332" s="138"/>
      <c r="G332" s="16" t="s">
        <v>780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</f>
        <v>36.799999999999997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36.799999999999997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3780.5800000000004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-369.81999999999925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-369.81999999999925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23.43</v>
      </c>
      <c r="E506" s="138"/>
      <c r="F506" s="138"/>
      <c r="G506" s="16" t="s">
        <v>757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2019-08-29T15:30:44Z</dcterms:modified>
</cp:coreProperties>
</file>