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478FF8F0-180A-4C91-8EED-1CC0907F94E7}" xr6:coauthVersionLast="41" xr6:coauthVersionMax="41" xr10:uidLastSave="{00000000-0000-0000-0000-000000000000}"/>
  <bookViews>
    <workbookView xWindow="-96" yWindow="-96" windowWidth="21912" windowHeight="13152" activeTab="9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10" l="1"/>
  <c r="K7" i="11"/>
  <c r="A428" i="10" l="1"/>
  <c r="M60" i="10"/>
  <c r="L25" i="15" l="1"/>
  <c r="M25" i="15" s="1"/>
  <c r="J25" i="15"/>
  <c r="A468" i="11" l="1"/>
  <c r="A467" i="11"/>
  <c r="A466" i="11"/>
  <c r="A359" i="11"/>
  <c r="A358" i="11"/>
  <c r="A346" i="11"/>
  <c r="A299" i="11"/>
  <c r="A257" i="11"/>
  <c r="A256" i="11"/>
  <c r="H257" i="11"/>
  <c r="A127" i="11"/>
  <c r="A126" i="11"/>
  <c r="A140" i="11" s="1"/>
  <c r="A108" i="11"/>
  <c r="A109" i="11"/>
  <c r="A79" i="11"/>
  <c r="A28" i="11"/>
  <c r="A30" i="11"/>
  <c r="A7" i="11"/>
  <c r="A12" i="11"/>
  <c r="A13" i="11"/>
  <c r="A6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H48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E19" i="14"/>
  <c r="P32" i="18"/>
  <c r="D326" i="10"/>
  <c r="A257" i="10"/>
  <c r="A256" i="10"/>
  <c r="A246" i="10"/>
  <c r="A246" i="11" s="1"/>
  <c r="E257" i="10"/>
  <c r="H26" i="15"/>
  <c r="E186" i="10"/>
  <c r="F66" i="10"/>
  <c r="A480" i="11" l="1"/>
  <c r="A360" i="11"/>
  <c r="A26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A286" i="11"/>
  <c r="A300" i="11" s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D246" i="9" l="1"/>
  <c r="D366" i="8" l="1"/>
  <c r="A359" i="10"/>
  <c r="A358" i="10"/>
  <c r="A346" i="10"/>
  <c r="H257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s="1"/>
  <c r="B308" i="4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10" l="1"/>
  <c r="B467" i="2"/>
  <c r="A80" i="10" l="1"/>
  <c r="A66" i="11"/>
  <c r="A80" i="11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2"/>
  <c r="A29" i="13" s="1"/>
  <c r="A29" i="1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20" i="11" l="1"/>
  <c r="A468" i="7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80" i="10" l="1"/>
  <c r="A106" i="8"/>
  <c r="A120" i="7"/>
  <c r="A20" i="10"/>
  <c r="A466" i="12" l="1"/>
  <c r="A106" i="9"/>
  <c r="A120" i="8"/>
  <c r="A6" i="12"/>
  <c r="O5" i="11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<sst xmlns="http://schemas.openxmlformats.org/spreadsheetml/2006/main" count="5659" uniqueCount="820">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</sst>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zoomScaleNormal="100" workbookViewId="0">
      <pane xSplit="1" topLeftCell="AH1" activePane="topRight" state="frozen"/>
      <selection pane="topRight" activeCell="AP22" sqref="AP2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2" t="s">
        <v>0</v>
      </c>
      <c r="D4" s="383"/>
      <c r="E4" s="383"/>
      <c r="F4" s="384"/>
      <c r="G4" s="382" t="s">
        <v>1</v>
      </c>
      <c r="H4" s="383"/>
      <c r="I4" s="383"/>
      <c r="J4" s="384"/>
      <c r="K4" s="382" t="s">
        <v>2</v>
      </c>
      <c r="L4" s="383"/>
      <c r="M4" s="383"/>
      <c r="N4" s="384"/>
      <c r="O4" s="382" t="s">
        <v>3</v>
      </c>
      <c r="P4" s="383"/>
      <c r="Q4" s="383"/>
      <c r="R4" s="384"/>
      <c r="S4" s="382" t="s">
        <v>71</v>
      </c>
      <c r="T4" s="383"/>
      <c r="U4" s="383"/>
      <c r="V4" s="384"/>
      <c r="W4" s="382" t="s">
        <v>70</v>
      </c>
      <c r="X4" s="383"/>
      <c r="Y4" s="383"/>
      <c r="Z4" s="384"/>
      <c r="AA4" s="382" t="s">
        <v>72</v>
      </c>
      <c r="AB4" s="383"/>
      <c r="AC4" s="383"/>
      <c r="AD4" s="384"/>
      <c r="AE4" s="382" t="s">
        <v>73</v>
      </c>
      <c r="AF4" s="383"/>
      <c r="AG4" s="383"/>
      <c r="AH4" s="384"/>
      <c r="AI4" s="382" t="s">
        <v>75</v>
      </c>
      <c r="AJ4" s="383"/>
      <c r="AK4" s="383"/>
      <c r="AL4" s="384"/>
      <c r="AM4" s="382" t="s">
        <v>77</v>
      </c>
      <c r="AN4" s="383"/>
      <c r="AO4" s="383"/>
      <c r="AP4" s="384"/>
      <c r="AQ4" s="382" t="s">
        <v>79</v>
      </c>
      <c r="AR4" s="383"/>
      <c r="AS4" s="383"/>
      <c r="AT4" s="384"/>
      <c r="AU4" s="382" t="s">
        <v>84</v>
      </c>
      <c r="AV4" s="383"/>
      <c r="AW4" s="383"/>
      <c r="AX4" s="38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1">
        <f>'01'!K19</f>
        <v>26383.54</v>
      </c>
      <c r="D5" s="389"/>
      <c r="E5" s="389"/>
      <c r="F5" s="390"/>
      <c r="G5" s="391">
        <f>'02'!K19</f>
        <v>25229.379999999997</v>
      </c>
      <c r="H5" s="389"/>
      <c r="I5" s="389"/>
      <c r="J5" s="390"/>
      <c r="K5" s="388">
        <f>'03'!K19</f>
        <v>25574.760000000002</v>
      </c>
      <c r="L5" s="389"/>
      <c r="M5" s="389"/>
      <c r="N5" s="390"/>
      <c r="O5" s="388">
        <f>'04'!K19</f>
        <v>26443.759999999998</v>
      </c>
      <c r="P5" s="389"/>
      <c r="Q5" s="389"/>
      <c r="R5" s="390"/>
      <c r="S5" s="388">
        <f>'05'!K19</f>
        <v>27163.090000000004</v>
      </c>
      <c r="T5" s="389"/>
      <c r="U5" s="389"/>
      <c r="V5" s="390"/>
      <c r="W5" s="388">
        <f>'06'!K19</f>
        <v>29014.079999999998</v>
      </c>
      <c r="X5" s="389"/>
      <c r="Y5" s="389"/>
      <c r="Z5" s="390"/>
      <c r="AA5" s="388">
        <f>'07'!K19</f>
        <v>29282.959999999999</v>
      </c>
      <c r="AB5" s="389"/>
      <c r="AC5" s="389"/>
      <c r="AD5" s="390"/>
      <c r="AE5" s="388">
        <f>'08'!K19</f>
        <v>29166.850000000002</v>
      </c>
      <c r="AF5" s="389"/>
      <c r="AG5" s="389"/>
      <c r="AH5" s="390"/>
      <c r="AI5" s="388">
        <f>'09'!K19</f>
        <v>29258.260000000002</v>
      </c>
      <c r="AJ5" s="389"/>
      <c r="AK5" s="389"/>
      <c r="AL5" s="390"/>
      <c r="AM5" s="388">
        <f>'10'!K19</f>
        <v>17864.099999999999</v>
      </c>
      <c r="AN5" s="389"/>
      <c r="AO5" s="389"/>
      <c r="AP5" s="390"/>
      <c r="AQ5" s="388">
        <f>'11'!K19</f>
        <v>15101.890000000001</v>
      </c>
      <c r="AR5" s="389"/>
      <c r="AS5" s="389"/>
      <c r="AT5" s="390"/>
      <c r="AU5" s="388">
        <f>'12'!K19</f>
        <v>15101.890000000001</v>
      </c>
      <c r="AV5" s="389"/>
      <c r="AW5" s="389"/>
      <c r="AX5" s="390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5" t="s">
        <v>230</v>
      </c>
      <c r="D7" s="386"/>
      <c r="E7" s="386"/>
      <c r="F7" s="387"/>
      <c r="G7" s="385" t="s">
        <v>230</v>
      </c>
      <c r="H7" s="386"/>
      <c r="I7" s="386"/>
      <c r="J7" s="387"/>
      <c r="K7" s="385" t="s">
        <v>230</v>
      </c>
      <c r="L7" s="386"/>
      <c r="M7" s="386"/>
      <c r="N7" s="387"/>
      <c r="O7" s="385" t="s">
        <v>230</v>
      </c>
      <c r="P7" s="386"/>
      <c r="Q7" s="386"/>
      <c r="R7" s="387"/>
      <c r="S7" s="385" t="s">
        <v>230</v>
      </c>
      <c r="T7" s="386"/>
      <c r="U7" s="386"/>
      <c r="V7" s="387"/>
      <c r="W7" s="385" t="s">
        <v>230</v>
      </c>
      <c r="X7" s="386"/>
      <c r="Y7" s="386"/>
      <c r="Z7" s="387"/>
      <c r="AA7" s="385" t="s">
        <v>230</v>
      </c>
      <c r="AB7" s="386"/>
      <c r="AC7" s="386"/>
      <c r="AD7" s="387"/>
      <c r="AE7" s="385" t="s">
        <v>230</v>
      </c>
      <c r="AF7" s="386"/>
      <c r="AG7" s="386"/>
      <c r="AH7" s="387"/>
      <c r="AI7" s="385" t="s">
        <v>230</v>
      </c>
      <c r="AJ7" s="386"/>
      <c r="AK7" s="386"/>
      <c r="AL7" s="387"/>
      <c r="AM7" s="385" t="s">
        <v>230</v>
      </c>
      <c r="AN7" s="386"/>
      <c r="AO7" s="386"/>
      <c r="AP7" s="387"/>
      <c r="AQ7" s="385" t="s">
        <v>230</v>
      </c>
      <c r="AR7" s="386"/>
      <c r="AS7" s="386"/>
      <c r="AT7" s="387"/>
      <c r="AU7" s="385" t="s">
        <v>230</v>
      </c>
      <c r="AV7" s="386"/>
      <c r="AW7" s="386"/>
      <c r="AX7" s="387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2">
        <f>SUM('01'!L25:'01'!L29)</f>
        <v>2593.46</v>
      </c>
      <c r="D8" s="393"/>
      <c r="E8" s="393"/>
      <c r="F8" s="394"/>
      <c r="G8" s="392">
        <f>SUM('02'!L25:'02'!L29)</f>
        <v>2592.42</v>
      </c>
      <c r="H8" s="393"/>
      <c r="I8" s="393"/>
      <c r="J8" s="394"/>
      <c r="K8" s="392">
        <f>SUM('03'!L25:'03'!L29)</f>
        <v>2526.87</v>
      </c>
      <c r="L8" s="393"/>
      <c r="M8" s="393"/>
      <c r="N8" s="394"/>
      <c r="O8" s="392">
        <f>SUM('04'!L25:'04'!L29)</f>
        <v>2570.56</v>
      </c>
      <c r="P8" s="393"/>
      <c r="Q8" s="393"/>
      <c r="R8" s="394"/>
      <c r="S8" s="392">
        <f>SUM('05'!L25:'05'!L29)</f>
        <v>4448.8500000000004</v>
      </c>
      <c r="T8" s="393"/>
      <c r="U8" s="393"/>
      <c r="V8" s="394"/>
      <c r="W8" s="392">
        <f>SUM('06'!L25:'06'!L29)</f>
        <v>2574.61</v>
      </c>
      <c r="X8" s="393"/>
      <c r="Y8" s="393"/>
      <c r="Z8" s="394"/>
      <c r="AA8" s="392">
        <f>SUM('07'!L25:'07'!L29)</f>
        <v>2568.54</v>
      </c>
      <c r="AB8" s="393"/>
      <c r="AC8" s="393"/>
      <c r="AD8" s="394"/>
      <c r="AE8" s="392">
        <f>SUM('08'!L25:'08'!L29)</f>
        <v>2571.5500000000002</v>
      </c>
      <c r="AF8" s="393"/>
      <c r="AG8" s="393"/>
      <c r="AH8" s="394"/>
      <c r="AI8" s="392">
        <f>SUM('09'!L25:'09'!L29)</f>
        <v>0</v>
      </c>
      <c r="AJ8" s="393"/>
      <c r="AK8" s="393"/>
      <c r="AL8" s="394"/>
      <c r="AM8" s="392">
        <f>SUM('10'!L25:'10'!L29)</f>
        <v>0</v>
      </c>
      <c r="AN8" s="393"/>
      <c r="AO8" s="393"/>
      <c r="AP8" s="394"/>
      <c r="AQ8" s="392">
        <f>SUM('11'!L25:'11'!L29)</f>
        <v>0</v>
      </c>
      <c r="AR8" s="393"/>
      <c r="AS8" s="393"/>
      <c r="AT8" s="394"/>
      <c r="AU8" s="392">
        <f>SUM('12'!L25:'12'!L29)</f>
        <v>0</v>
      </c>
      <c r="AV8" s="393"/>
      <c r="AW8" s="393"/>
      <c r="AX8" s="394"/>
      <c r="AZ8" s="209">
        <f>SUM(C8:AU8)</f>
        <v>22446.86</v>
      </c>
      <c r="BA8" s="112">
        <f t="shared" ref="BA8:BA16" ca="1" si="0">AZ8/BC$17</f>
        <v>2494.0955555555556</v>
      </c>
      <c r="BB8" s="1"/>
      <c r="BC8" s="1"/>
    </row>
    <row r="9" spans="1:55" ht="15.75">
      <c r="A9" s="189" t="s">
        <v>213</v>
      </c>
      <c r="B9" s="193">
        <v>5835.74</v>
      </c>
      <c r="C9" s="379">
        <f>SUM('01'!L30:'01'!L34)</f>
        <v>655.59</v>
      </c>
      <c r="D9" s="380"/>
      <c r="E9" s="380"/>
      <c r="F9" s="381"/>
      <c r="G9" s="379">
        <f>SUM('02'!L30:'02'!L34)</f>
        <v>760.26</v>
      </c>
      <c r="H9" s="380"/>
      <c r="I9" s="380"/>
      <c r="J9" s="381"/>
      <c r="K9" s="379">
        <f>SUM('03'!L30:'03'!L34)</f>
        <v>516.44000000000005</v>
      </c>
      <c r="L9" s="380"/>
      <c r="M9" s="380"/>
      <c r="N9" s="381"/>
      <c r="O9" s="379">
        <f>SUM('04'!L30:'04'!L34)</f>
        <v>507.54</v>
      </c>
      <c r="P9" s="380"/>
      <c r="Q9" s="380"/>
      <c r="R9" s="381"/>
      <c r="S9" s="379">
        <f>SUM('05'!L30:'05'!L34)</f>
        <v>578.16999999999996</v>
      </c>
      <c r="T9" s="380"/>
      <c r="U9" s="380"/>
      <c r="V9" s="381"/>
      <c r="W9" s="379">
        <f>SUM('06'!L30:'06'!L34)</f>
        <v>613.67000000000007</v>
      </c>
      <c r="X9" s="380"/>
      <c r="Y9" s="380"/>
      <c r="Z9" s="381"/>
      <c r="AA9" s="379">
        <f>SUM('07'!L30:'07'!L34)</f>
        <v>1147.52</v>
      </c>
      <c r="AB9" s="380"/>
      <c r="AC9" s="380"/>
      <c r="AD9" s="381"/>
      <c r="AE9" s="379">
        <f>SUM('08'!L30:'08'!L34)</f>
        <v>291.60000000000002</v>
      </c>
      <c r="AF9" s="380"/>
      <c r="AG9" s="380"/>
      <c r="AH9" s="381"/>
      <c r="AI9" s="379">
        <f>SUM('09'!L30:'09'!L34)</f>
        <v>291.60000000000002</v>
      </c>
      <c r="AJ9" s="380"/>
      <c r="AK9" s="380"/>
      <c r="AL9" s="381"/>
      <c r="AM9" s="379">
        <f>SUM('10'!L30:'10'!L34)</f>
        <v>0</v>
      </c>
      <c r="AN9" s="380"/>
      <c r="AO9" s="380"/>
      <c r="AP9" s="381"/>
      <c r="AQ9" s="379">
        <f>SUM('11'!L30:'11'!L34)</f>
        <v>0</v>
      </c>
      <c r="AR9" s="380"/>
      <c r="AS9" s="380"/>
      <c r="AT9" s="381"/>
      <c r="AU9" s="379">
        <f>SUM('12'!L30:'12'!L34)</f>
        <v>0</v>
      </c>
      <c r="AV9" s="380"/>
      <c r="AW9" s="380"/>
      <c r="AX9" s="381"/>
      <c r="AZ9" s="210">
        <f t="shared" ref="AZ9:AZ16" si="1">SUM(C9:AW9)</f>
        <v>5362.3900000000012</v>
      </c>
      <c r="BA9" s="112">
        <f t="shared" ca="1" si="0"/>
        <v>595.82111111111124</v>
      </c>
      <c r="BB9" s="1"/>
      <c r="BC9" s="1"/>
    </row>
    <row r="10" spans="1:55" ht="15.75">
      <c r="A10" s="190" t="s">
        <v>218</v>
      </c>
      <c r="B10" s="194">
        <v>2731.18</v>
      </c>
      <c r="C10" s="379">
        <f>SUM('01'!L35:'01'!L39)</f>
        <v>120.85</v>
      </c>
      <c r="D10" s="380"/>
      <c r="E10" s="380"/>
      <c r="F10" s="381"/>
      <c r="G10" s="379">
        <f>SUM('02'!L35:'02'!L39)</f>
        <v>107.38</v>
      </c>
      <c r="H10" s="380"/>
      <c r="I10" s="380"/>
      <c r="J10" s="381"/>
      <c r="K10" s="379">
        <f>SUM('03'!L35:'03'!L39)</f>
        <v>91.73</v>
      </c>
      <c r="L10" s="380"/>
      <c r="M10" s="380"/>
      <c r="N10" s="381"/>
      <c r="O10" s="379">
        <f>SUM('04'!L35:'04'!L39)</f>
        <v>204.23</v>
      </c>
      <c r="P10" s="380"/>
      <c r="Q10" s="380"/>
      <c r="R10" s="381"/>
      <c r="S10" s="379">
        <f>SUM('05'!L35:'05'!L39)</f>
        <v>119.85</v>
      </c>
      <c r="T10" s="380"/>
      <c r="U10" s="380"/>
      <c r="V10" s="381"/>
      <c r="W10" s="395">
        <f>SUM('06'!L35:'06'!L39)</f>
        <v>55.09</v>
      </c>
      <c r="X10" s="396"/>
      <c r="Y10" s="396"/>
      <c r="Z10" s="397"/>
      <c r="AA10" s="395">
        <f>SUM('07'!L35:'07'!L39)</f>
        <v>124.52</v>
      </c>
      <c r="AB10" s="396"/>
      <c r="AC10" s="396"/>
      <c r="AD10" s="397"/>
      <c r="AE10" s="395">
        <f>SUM('08'!L35:'08'!L39)</f>
        <v>164.91</v>
      </c>
      <c r="AF10" s="396"/>
      <c r="AG10" s="396"/>
      <c r="AH10" s="397"/>
      <c r="AI10" s="395">
        <f>SUM('09'!L35:'09'!L39)</f>
        <v>48</v>
      </c>
      <c r="AJ10" s="396"/>
      <c r="AK10" s="396"/>
      <c r="AL10" s="397"/>
      <c r="AM10" s="395">
        <f>SUM('10'!L35:'10'!L39)</f>
        <v>0</v>
      </c>
      <c r="AN10" s="396"/>
      <c r="AO10" s="396"/>
      <c r="AP10" s="397"/>
      <c r="AQ10" s="395">
        <f>SUM('11'!L35:'11'!L39)</f>
        <v>0</v>
      </c>
      <c r="AR10" s="396"/>
      <c r="AS10" s="396"/>
      <c r="AT10" s="397"/>
      <c r="AU10" s="395">
        <f>SUM('12'!L35:'12'!L39)</f>
        <v>0</v>
      </c>
      <c r="AV10" s="396"/>
      <c r="AW10" s="396"/>
      <c r="AX10" s="397"/>
      <c r="AZ10" s="211">
        <f t="shared" si="1"/>
        <v>1036.56</v>
      </c>
      <c r="BA10" s="112">
        <f t="shared" ca="1" si="0"/>
        <v>115.17333333333333</v>
      </c>
      <c r="BB10" s="1"/>
      <c r="BC10" s="1"/>
    </row>
    <row r="11" spans="1:55" ht="15.75">
      <c r="A11" s="189" t="s">
        <v>214</v>
      </c>
      <c r="B11" s="193">
        <v>2906.88</v>
      </c>
      <c r="C11" s="379">
        <f>SUM('01'!L40:'01'!L44)</f>
        <v>3.87</v>
      </c>
      <c r="D11" s="380"/>
      <c r="E11" s="380"/>
      <c r="F11" s="381"/>
      <c r="G11" s="379">
        <f>SUM('02'!L40:'02'!L44)</f>
        <v>0</v>
      </c>
      <c r="H11" s="380"/>
      <c r="I11" s="380"/>
      <c r="J11" s="381"/>
      <c r="K11" s="379">
        <f>SUM('03'!L40:'03'!L44)</f>
        <v>0</v>
      </c>
      <c r="L11" s="380"/>
      <c r="M11" s="380"/>
      <c r="N11" s="381"/>
      <c r="O11" s="379">
        <f>SUM('04'!L40:'04'!L44)</f>
        <v>356.59</v>
      </c>
      <c r="P11" s="380"/>
      <c r="Q11" s="380"/>
      <c r="R11" s="381"/>
      <c r="S11" s="379">
        <f>SUM('05'!L40:'05'!L44)</f>
        <v>45.86</v>
      </c>
      <c r="T11" s="380"/>
      <c r="U11" s="380"/>
      <c r="V11" s="381"/>
      <c r="W11" s="379">
        <f>SUM('06'!L40:'06'!L44)</f>
        <v>0</v>
      </c>
      <c r="X11" s="380"/>
      <c r="Y11" s="380"/>
      <c r="Z11" s="381"/>
      <c r="AA11" s="379">
        <f>SUM('07'!L40:'07'!L44)</f>
        <v>1.02</v>
      </c>
      <c r="AB11" s="380"/>
      <c r="AC11" s="380"/>
      <c r="AD11" s="381"/>
      <c r="AE11" s="379">
        <f>SUM('08'!L40:'08'!L44)</f>
        <v>0</v>
      </c>
      <c r="AF11" s="380"/>
      <c r="AG11" s="380"/>
      <c r="AH11" s="381"/>
      <c r="AI11" s="379">
        <f>SUM('09'!L40:'09'!L44)</f>
        <v>0</v>
      </c>
      <c r="AJ11" s="380"/>
      <c r="AK11" s="380"/>
      <c r="AL11" s="381"/>
      <c r="AM11" s="379">
        <f>SUM('10'!L40:'10'!L44)</f>
        <v>0</v>
      </c>
      <c r="AN11" s="380"/>
      <c r="AO11" s="380"/>
      <c r="AP11" s="381"/>
      <c r="AQ11" s="379">
        <f>SUM('11'!L40:'11'!L44)</f>
        <v>0</v>
      </c>
      <c r="AR11" s="380"/>
      <c r="AS11" s="380"/>
      <c r="AT11" s="381"/>
      <c r="AU11" s="379">
        <f>SUM('12'!L40:'12'!L44)</f>
        <v>0</v>
      </c>
      <c r="AV11" s="380"/>
      <c r="AW11" s="380"/>
      <c r="AX11" s="381"/>
      <c r="AZ11" s="210">
        <f t="shared" si="1"/>
        <v>407.34</v>
      </c>
      <c r="BA11" s="112">
        <f t="shared" ca="1" si="0"/>
        <v>45.26</v>
      </c>
      <c r="BB11" s="1"/>
      <c r="BC11" s="1"/>
    </row>
    <row r="12" spans="1:55" ht="15.75">
      <c r="A12" s="190" t="s">
        <v>23</v>
      </c>
      <c r="B12" s="194">
        <v>3325.31</v>
      </c>
      <c r="C12" s="379">
        <f>SUM('01'!L45:'01'!L49)</f>
        <v>137</v>
      </c>
      <c r="D12" s="380"/>
      <c r="E12" s="380"/>
      <c r="F12" s="381"/>
      <c r="G12" s="379">
        <f>SUM('02'!L45:'02'!L49)</f>
        <v>600.04</v>
      </c>
      <c r="H12" s="380"/>
      <c r="I12" s="380"/>
      <c r="J12" s="381"/>
      <c r="K12" s="379">
        <f>SUM('03'!L45:'03'!L49)</f>
        <v>380</v>
      </c>
      <c r="L12" s="380"/>
      <c r="M12" s="380"/>
      <c r="N12" s="381"/>
      <c r="O12" s="379">
        <f>SUM('04'!L45:'04'!L49)</f>
        <v>0</v>
      </c>
      <c r="P12" s="380"/>
      <c r="Q12" s="380"/>
      <c r="R12" s="381"/>
      <c r="S12" s="379">
        <f>SUM('05'!L45:'05'!L49)</f>
        <v>0</v>
      </c>
      <c r="T12" s="380"/>
      <c r="U12" s="380"/>
      <c r="V12" s="381"/>
      <c r="W12" s="395">
        <f>SUM('06'!L45:'06'!L49)</f>
        <v>242.41</v>
      </c>
      <c r="X12" s="396"/>
      <c r="Y12" s="396"/>
      <c r="Z12" s="397"/>
      <c r="AA12" s="395">
        <f>SUM('07'!L45:'07'!L49)</f>
        <v>0</v>
      </c>
      <c r="AB12" s="396"/>
      <c r="AC12" s="396"/>
      <c r="AD12" s="397"/>
      <c r="AE12" s="395">
        <f>SUM('08'!L45:'08'!L49)</f>
        <v>222.98</v>
      </c>
      <c r="AF12" s="396"/>
      <c r="AG12" s="396"/>
      <c r="AH12" s="397"/>
      <c r="AI12" s="395">
        <f>SUM('09'!L45:'09'!L49)</f>
        <v>100</v>
      </c>
      <c r="AJ12" s="396"/>
      <c r="AK12" s="396"/>
      <c r="AL12" s="397"/>
      <c r="AM12" s="395">
        <f>SUM('10'!L45:'10'!L49)</f>
        <v>0</v>
      </c>
      <c r="AN12" s="396"/>
      <c r="AO12" s="396"/>
      <c r="AP12" s="397"/>
      <c r="AQ12" s="395">
        <f>SUM('11'!L45:'11'!L49)</f>
        <v>0</v>
      </c>
      <c r="AR12" s="396"/>
      <c r="AS12" s="396"/>
      <c r="AT12" s="397"/>
      <c r="AU12" s="395">
        <f>SUM('12'!L45:'12'!L49)</f>
        <v>0</v>
      </c>
      <c r="AV12" s="396"/>
      <c r="AW12" s="396"/>
      <c r="AX12" s="397"/>
      <c r="AZ12" s="211">
        <f t="shared" si="1"/>
        <v>1682.43</v>
      </c>
      <c r="BA12" s="112">
        <f t="shared" ca="1" si="0"/>
        <v>186.93666666666667</v>
      </c>
      <c r="BB12" s="1"/>
      <c r="BC12" s="1"/>
    </row>
    <row r="13" spans="1:55" ht="15.75">
      <c r="A13" s="189" t="s">
        <v>215</v>
      </c>
      <c r="B13" s="195">
        <v>3443.8099999999995</v>
      </c>
      <c r="C13" s="379">
        <f>SUM('01'!L50:'01'!L54)</f>
        <v>95.8</v>
      </c>
      <c r="D13" s="380"/>
      <c r="E13" s="380"/>
      <c r="F13" s="381"/>
      <c r="G13" s="379">
        <f>SUM('02'!L50:'02'!L54)</f>
        <v>95.8</v>
      </c>
      <c r="H13" s="380"/>
      <c r="I13" s="380"/>
      <c r="J13" s="381"/>
      <c r="K13" s="379">
        <f>SUM('03'!L50:'03'!L54)</f>
        <v>4517.74</v>
      </c>
      <c r="L13" s="380"/>
      <c r="M13" s="380"/>
      <c r="N13" s="381"/>
      <c r="O13" s="379">
        <f>SUM('04'!L50:'04'!L54)</f>
        <v>95.8</v>
      </c>
      <c r="P13" s="380"/>
      <c r="Q13" s="380"/>
      <c r="R13" s="381"/>
      <c r="S13" s="379">
        <f>SUM('05'!L50:'05'!L54)</f>
        <v>95.8</v>
      </c>
      <c r="T13" s="380"/>
      <c r="U13" s="380"/>
      <c r="V13" s="381"/>
      <c r="W13" s="379">
        <f>SUM('06'!L50:'06'!L54)</f>
        <v>95.8</v>
      </c>
      <c r="X13" s="380"/>
      <c r="Y13" s="380"/>
      <c r="Z13" s="381"/>
      <c r="AA13" s="379">
        <f>SUM('07'!L50:'07'!L54)</f>
        <v>95.8</v>
      </c>
      <c r="AB13" s="380"/>
      <c r="AC13" s="380"/>
      <c r="AD13" s="381"/>
      <c r="AE13" s="379">
        <f>SUM('08'!L50:'08'!L54)</f>
        <v>117.03</v>
      </c>
      <c r="AF13" s="380"/>
      <c r="AG13" s="380"/>
      <c r="AH13" s="381"/>
      <c r="AI13" s="379">
        <f>SUM('09'!L50:'09'!L54)</f>
        <v>1072.33</v>
      </c>
      <c r="AJ13" s="380"/>
      <c r="AK13" s="380"/>
      <c r="AL13" s="381"/>
      <c r="AM13" s="379">
        <f>SUM('10'!L50:'10'!L54)</f>
        <v>0</v>
      </c>
      <c r="AN13" s="380"/>
      <c r="AO13" s="380"/>
      <c r="AP13" s="381"/>
      <c r="AQ13" s="379">
        <f>SUM('11'!L50:'11'!L54)</f>
        <v>0</v>
      </c>
      <c r="AR13" s="380"/>
      <c r="AS13" s="380"/>
      <c r="AT13" s="381"/>
      <c r="AU13" s="379">
        <f>SUM('12'!L50:'12'!L54)</f>
        <v>0</v>
      </c>
      <c r="AV13" s="380"/>
      <c r="AW13" s="380"/>
      <c r="AX13" s="381"/>
      <c r="AZ13" s="212">
        <f t="shared" si="1"/>
        <v>6281.9000000000005</v>
      </c>
      <c r="BA13" s="112">
        <f t="shared" ca="1" si="0"/>
        <v>697.98888888888894</v>
      </c>
      <c r="BB13" s="1"/>
      <c r="BC13" s="1"/>
    </row>
    <row r="14" spans="1:55" ht="15.75">
      <c r="A14" s="190" t="s">
        <v>216</v>
      </c>
      <c r="B14" s="194">
        <v>364.62</v>
      </c>
      <c r="C14" s="379">
        <f>SUM('01'!L55:'01'!L59)</f>
        <v>0</v>
      </c>
      <c r="D14" s="380"/>
      <c r="E14" s="380"/>
      <c r="F14" s="381"/>
      <c r="G14" s="379">
        <f>SUM('02'!L55:'02'!L59)</f>
        <v>0</v>
      </c>
      <c r="H14" s="380"/>
      <c r="I14" s="380"/>
      <c r="J14" s="381"/>
      <c r="K14" s="379">
        <f>SUM('03'!L55:'03'!L59)</f>
        <v>9.44</v>
      </c>
      <c r="L14" s="380"/>
      <c r="M14" s="380"/>
      <c r="N14" s="381"/>
      <c r="O14" s="379">
        <f>SUM('04'!L55:'04'!L59)</f>
        <v>37.980000000000004</v>
      </c>
      <c r="P14" s="380"/>
      <c r="Q14" s="380"/>
      <c r="R14" s="381"/>
      <c r="S14" s="379">
        <f>SUM('05'!L55:'05'!L59)</f>
        <v>17.350000000000001</v>
      </c>
      <c r="T14" s="380"/>
      <c r="U14" s="380"/>
      <c r="V14" s="381"/>
      <c r="W14" s="395">
        <f>SUM('06'!L55:'06'!L59)</f>
        <v>0</v>
      </c>
      <c r="X14" s="396"/>
      <c r="Y14" s="396"/>
      <c r="Z14" s="397"/>
      <c r="AA14" s="395">
        <f>SUM('07'!L55:'07'!L59)</f>
        <v>51.759999999999991</v>
      </c>
      <c r="AB14" s="396"/>
      <c r="AC14" s="396"/>
      <c r="AD14" s="397"/>
      <c r="AE14" s="395">
        <f>SUM('08'!L55:'08'!L59)</f>
        <v>27.42</v>
      </c>
      <c r="AF14" s="396"/>
      <c r="AG14" s="396"/>
      <c r="AH14" s="397"/>
      <c r="AI14" s="395">
        <f>SUM('09'!L55:'09'!L59)</f>
        <v>0</v>
      </c>
      <c r="AJ14" s="396"/>
      <c r="AK14" s="396"/>
      <c r="AL14" s="397"/>
      <c r="AM14" s="395">
        <f>SUM('10'!L55:'10'!L59)</f>
        <v>0</v>
      </c>
      <c r="AN14" s="396"/>
      <c r="AO14" s="396"/>
      <c r="AP14" s="397"/>
      <c r="AQ14" s="395">
        <f>SUM('11'!L55:'11'!L59)</f>
        <v>0</v>
      </c>
      <c r="AR14" s="396"/>
      <c r="AS14" s="396"/>
      <c r="AT14" s="397"/>
      <c r="AU14" s="395">
        <f>SUM('12'!L55:'12'!L59)</f>
        <v>0</v>
      </c>
      <c r="AV14" s="396"/>
      <c r="AW14" s="396"/>
      <c r="AX14" s="397"/>
      <c r="AZ14" s="211">
        <f t="shared" si="1"/>
        <v>143.94999999999999</v>
      </c>
      <c r="BA14" s="112">
        <f t="shared" ca="1" si="0"/>
        <v>15.994444444444444</v>
      </c>
      <c r="BB14" s="3"/>
      <c r="BC14" s="3"/>
    </row>
    <row r="15" spans="1:55" ht="15.75">
      <c r="A15" s="189" t="s">
        <v>217</v>
      </c>
      <c r="B15" s="193">
        <v>7756.04</v>
      </c>
      <c r="C15" s="379">
        <f>SUM('01'!L60:'01'!L64)</f>
        <v>0</v>
      </c>
      <c r="D15" s="380"/>
      <c r="E15" s="380"/>
      <c r="F15" s="381"/>
      <c r="G15" s="379">
        <f>SUM('02'!L60:'02'!L64)</f>
        <v>665.77</v>
      </c>
      <c r="H15" s="380"/>
      <c r="I15" s="380"/>
      <c r="J15" s="381"/>
      <c r="K15" s="379">
        <f>SUM('03'!L60:'03'!L64)</f>
        <v>682.39</v>
      </c>
      <c r="L15" s="380"/>
      <c r="M15" s="380"/>
      <c r="N15" s="381"/>
      <c r="O15" s="379">
        <f>SUM('04'!L60:'04'!L64)</f>
        <v>550</v>
      </c>
      <c r="P15" s="380"/>
      <c r="Q15" s="380"/>
      <c r="R15" s="381"/>
      <c r="S15" s="379">
        <f>SUM('05'!L60:'05'!L64)</f>
        <v>652.44000000000005</v>
      </c>
      <c r="T15" s="380"/>
      <c r="U15" s="380"/>
      <c r="V15" s="381"/>
      <c r="W15" s="379">
        <f>SUM('06'!L60:'06'!L64)</f>
        <v>511.74</v>
      </c>
      <c r="X15" s="380"/>
      <c r="Y15" s="380"/>
      <c r="Z15" s="381"/>
      <c r="AA15" s="379">
        <f>SUM('07'!L60:'07'!L64)</f>
        <v>649.1</v>
      </c>
      <c r="AB15" s="380"/>
      <c r="AC15" s="380"/>
      <c r="AD15" s="381"/>
      <c r="AE15" s="379">
        <f>SUM('08'!L60:'08'!L64)</f>
        <v>550</v>
      </c>
      <c r="AF15" s="380"/>
      <c r="AG15" s="380"/>
      <c r="AH15" s="381"/>
      <c r="AI15" s="379">
        <f>SUM('09'!L60:'09'!L64)</f>
        <v>676.35</v>
      </c>
      <c r="AJ15" s="380"/>
      <c r="AK15" s="380"/>
      <c r="AL15" s="381"/>
      <c r="AM15" s="379">
        <f>SUM('10'!L60:'10'!L64)</f>
        <v>0</v>
      </c>
      <c r="AN15" s="380"/>
      <c r="AO15" s="380"/>
      <c r="AP15" s="381"/>
      <c r="AQ15" s="379">
        <f>SUM('11'!L60:'11'!L64)</f>
        <v>0</v>
      </c>
      <c r="AR15" s="380"/>
      <c r="AS15" s="380"/>
      <c r="AT15" s="381"/>
      <c r="AU15" s="379">
        <f>SUM('12'!L60:'12'!L64)</f>
        <v>0</v>
      </c>
      <c r="AV15" s="380"/>
      <c r="AW15" s="380"/>
      <c r="AX15" s="381"/>
      <c r="AZ15" s="210">
        <f t="shared" si="1"/>
        <v>4937.7900000000009</v>
      </c>
      <c r="BA15" s="112">
        <f t="shared" ca="1" si="0"/>
        <v>548.64333333333343</v>
      </c>
      <c r="BB15" s="1"/>
      <c r="BC15" s="1"/>
    </row>
    <row r="16" spans="1:55" ht="16.5" thickBot="1">
      <c r="A16" s="191" t="s">
        <v>42</v>
      </c>
      <c r="B16" s="196">
        <v>2018.96</v>
      </c>
      <c r="C16" s="379">
        <f>SUM('01'!L65:'01'!L69)</f>
        <v>85</v>
      </c>
      <c r="D16" s="380"/>
      <c r="E16" s="380"/>
      <c r="F16" s="381"/>
      <c r="G16" s="379">
        <f>SUM('02'!L65:'02'!L69)</f>
        <v>0</v>
      </c>
      <c r="H16" s="380"/>
      <c r="I16" s="380"/>
      <c r="J16" s="381"/>
      <c r="K16" s="379">
        <f>SUM('03'!L65:'03'!L69)</f>
        <v>0</v>
      </c>
      <c r="L16" s="380"/>
      <c r="M16" s="380"/>
      <c r="N16" s="381"/>
      <c r="O16" s="379">
        <f>SUM('04'!L65:'04'!L69)</f>
        <v>0</v>
      </c>
      <c r="P16" s="380"/>
      <c r="Q16" s="380"/>
      <c r="R16" s="381"/>
      <c r="S16" s="379">
        <f>SUM('05'!L65:'05'!L69)</f>
        <v>0</v>
      </c>
      <c r="T16" s="380"/>
      <c r="U16" s="380"/>
      <c r="V16" s="381"/>
      <c r="W16" s="398">
        <f>SUM('06'!L65:'06'!L69)</f>
        <v>0</v>
      </c>
      <c r="X16" s="399"/>
      <c r="Y16" s="399"/>
      <c r="Z16" s="400"/>
      <c r="AA16" s="398">
        <f>SUM('07'!L65:'07'!L69)</f>
        <v>0</v>
      </c>
      <c r="AB16" s="399"/>
      <c r="AC16" s="399"/>
      <c r="AD16" s="400"/>
      <c r="AE16" s="398">
        <f>SUM('08'!L65:'08'!L69)</f>
        <v>0</v>
      </c>
      <c r="AF16" s="399"/>
      <c r="AG16" s="399"/>
      <c r="AH16" s="400"/>
      <c r="AI16" s="398">
        <f>SUM('09'!L65:'09'!L69)</f>
        <v>0</v>
      </c>
      <c r="AJ16" s="399"/>
      <c r="AK16" s="399"/>
      <c r="AL16" s="400"/>
      <c r="AM16" s="398">
        <f>SUM('10'!L65:'10'!L69)</f>
        <v>0</v>
      </c>
      <c r="AN16" s="399"/>
      <c r="AO16" s="399"/>
      <c r="AP16" s="400"/>
      <c r="AQ16" s="398">
        <f>SUM('11'!L65:'11'!L69)</f>
        <v>0</v>
      </c>
      <c r="AR16" s="399"/>
      <c r="AS16" s="399"/>
      <c r="AT16" s="400"/>
      <c r="AU16" s="398">
        <f>SUM('12'!L65:'12'!L69)</f>
        <v>0</v>
      </c>
      <c r="AV16" s="399"/>
      <c r="AW16" s="399"/>
      <c r="AX16" s="400"/>
      <c r="AZ16" s="213">
        <f t="shared" si="1"/>
        <v>85</v>
      </c>
      <c r="BA16" s="112">
        <f t="shared" ca="1" si="0"/>
        <v>9.4444444444444446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5">
        <f>SUM(C8:C16)</f>
        <v>3691.57</v>
      </c>
      <c r="D17" s="376"/>
      <c r="E17" s="376"/>
      <c r="F17" s="377"/>
      <c r="G17" s="375">
        <f>SUM(G8:G16)</f>
        <v>4821.67</v>
      </c>
      <c r="H17" s="376"/>
      <c r="I17" s="376"/>
      <c r="J17" s="377"/>
      <c r="K17" s="375">
        <f>SUM(K8:K16)</f>
        <v>8724.6099999999988</v>
      </c>
      <c r="L17" s="376"/>
      <c r="M17" s="376"/>
      <c r="N17" s="377"/>
      <c r="O17" s="375">
        <f>SUM(O8:O16)</f>
        <v>4322.7000000000007</v>
      </c>
      <c r="P17" s="376"/>
      <c r="Q17" s="376"/>
      <c r="R17" s="377"/>
      <c r="S17" s="375">
        <f>SUM(S8:S16)</f>
        <v>5958.3200000000015</v>
      </c>
      <c r="T17" s="376"/>
      <c r="U17" s="376"/>
      <c r="V17" s="377"/>
      <c r="W17" s="375">
        <f>SUM(W8:W16)</f>
        <v>4093.3200000000006</v>
      </c>
      <c r="X17" s="376"/>
      <c r="Y17" s="376"/>
      <c r="Z17" s="377"/>
      <c r="AA17" s="375">
        <f>SUM(AA8:AA16)</f>
        <v>4638.26</v>
      </c>
      <c r="AB17" s="376"/>
      <c r="AC17" s="376"/>
      <c r="AD17" s="377"/>
      <c r="AE17" s="375">
        <f>SUM(AE8:AE16)</f>
        <v>3945.4900000000002</v>
      </c>
      <c r="AF17" s="376"/>
      <c r="AG17" s="376"/>
      <c r="AH17" s="377"/>
      <c r="AI17" s="375">
        <f>SUM(AI8:AI16)</f>
        <v>2188.2799999999997</v>
      </c>
      <c r="AJ17" s="376"/>
      <c r="AK17" s="376"/>
      <c r="AL17" s="377"/>
      <c r="AM17" s="375">
        <f>SUM(AM8:AM16)</f>
        <v>0</v>
      </c>
      <c r="AN17" s="376"/>
      <c r="AO17" s="376"/>
      <c r="AP17" s="377"/>
      <c r="AQ17" s="375">
        <f>SUM(AQ8:AQ16)</f>
        <v>0</v>
      </c>
      <c r="AR17" s="376"/>
      <c r="AS17" s="376"/>
      <c r="AT17" s="377"/>
      <c r="AU17" s="375">
        <f>SUM(AU8:AU16)</f>
        <v>0</v>
      </c>
      <c r="AV17" s="376"/>
      <c r="AW17" s="376"/>
      <c r="AX17" s="377"/>
      <c r="AZ17" s="227">
        <f>SUM(AZ8:AZ16)</f>
        <v>42384.22</v>
      </c>
      <c r="BA17" s="112">
        <f ca="1">AZ17/BC$17</f>
        <v>4709.3577777777782</v>
      </c>
      <c r="BB17" s="1" t="s">
        <v>83</v>
      </c>
      <c r="BC17" s="1">
        <f ca="1">MONTH(TODAY())</f>
        <v>9</v>
      </c>
      <c r="BD17" s="39"/>
    </row>
    <row r="18" spans="1:62" ht="32.25" customHeight="1" thickTop="1" thickBot="1">
      <c r="A18" s="10"/>
      <c r="B18" s="10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 t="s">
        <v>173</v>
      </c>
      <c r="AV18" s="378"/>
      <c r="AW18" s="378"/>
      <c r="AX18" s="378"/>
      <c r="AZ18" s="131">
        <f>(2500*13)+(600*12)+(550*12)+(95*12)</f>
        <v>47440</v>
      </c>
      <c r="BA18" s="131">
        <f ca="1">12*BA17</f>
        <v>56512.293333333335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64.820000000000007</v>
      </c>
      <c r="AL20" s="145">
        <f t="shared" ref="AL20:AL45" si="10">AH20+AJ20-AK20</f>
        <v>1020.4999999999999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1564.5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2108.5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2652.5</v>
      </c>
      <c r="AZ20" s="123">
        <f t="shared" ref="AZ20:AZ27" si="14">E20+I20+M20+Q20+U20+Y20+AC20+AG20+AK20+AO20+AS20+AW20</f>
        <v>4749.5600000000004</v>
      </c>
      <c r="BA20" s="21">
        <f t="shared" ref="BA20:BA45" si="15">AZ20/AZ$46</f>
        <v>0.11781787043447565</v>
      </c>
      <c r="BB20" s="22">
        <f>_xlfn.RANK.EQ(BA20,$BA$20:$BA$45,)</f>
        <v>2</v>
      </c>
      <c r="BC20" s="22">
        <f t="shared" ref="BC20:BC45" ca="1" si="16">AZ20/BC$17</f>
        <v>527.72888888888895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5321.2800000000007</v>
      </c>
      <c r="BF20" s="21">
        <f t="shared" ref="BF20:BF45" ca="1" si="18">BE20/BE$46</f>
        <v>0.12554861219576527</v>
      </c>
      <c r="BG20" s="22">
        <f ca="1">_xlfn.RANK.EQ(BF20,$BF$20:$BF$45,)</f>
        <v>2</v>
      </c>
      <c r="BH20" s="22">
        <f t="shared" ref="BH20:BH45" ca="1" si="19">BE20/BC$17</f>
        <v>591.25333333333344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571.72000000000025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0</v>
      </c>
      <c r="AP21" s="151">
        <f t="shared" si="11"/>
        <v>1512.0799999999992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2640.079999999999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3768.079999999999</v>
      </c>
      <c r="AZ21" s="152">
        <f t="shared" si="14"/>
        <v>10645.78</v>
      </c>
      <c r="BA21" s="21">
        <f t="shared" si="15"/>
        <v>0.26407985765290515</v>
      </c>
      <c r="BB21" s="22">
        <f t="shared" ref="BB21:BB45" si="20">_xlfn.RANK.EQ(BA21,$BA$20:$BA$45,)</f>
        <v>1</v>
      </c>
      <c r="BC21" s="22">
        <f t="shared" ca="1" si="16"/>
        <v>1182.8644444444444</v>
      </c>
      <c r="BE21" s="224">
        <f t="shared" ca="1" si="17"/>
        <v>10357</v>
      </c>
      <c r="BF21" s="21">
        <f t="shared" ca="1" si="18"/>
        <v>0.24435981126938272</v>
      </c>
      <c r="BG21" s="22">
        <f t="shared" ref="BG21:BG45" ca="1" si="21">_xlfn.RANK.EQ(BF21,$BF$20:$BF$45,)</f>
        <v>1</v>
      </c>
      <c r="BH21" s="22">
        <f t="shared" ca="1" si="19"/>
        <v>1150.7777777777778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-288.78000000000043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218.77</v>
      </c>
      <c r="AL22" s="156">
        <f t="shared" si="10"/>
        <v>570.91000000000008</v>
      </c>
      <c r="AM22" s="143" t="s">
        <v>77</v>
      </c>
      <c r="AN22" s="155">
        <f>'10'!B60</f>
        <v>300</v>
      </c>
      <c r="AO22" s="155">
        <f>SUM('10'!D60:F60)</f>
        <v>0</v>
      </c>
      <c r="AP22" s="156">
        <f t="shared" si="11"/>
        <v>870.91000000000008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1360.91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1850.91</v>
      </c>
      <c r="AZ22" s="157">
        <f t="shared" si="14"/>
        <v>2561.39</v>
      </c>
      <c r="BA22" s="21">
        <f t="shared" si="15"/>
        <v>6.3537994077801224E-2</v>
      </c>
      <c r="BB22" s="22">
        <f t="shared" si="20"/>
        <v>6</v>
      </c>
      <c r="BC22" s="22">
        <f t="shared" ca="1" si="16"/>
        <v>284.59888888888889</v>
      </c>
      <c r="BE22" s="225">
        <f t="shared" ca="1" si="17"/>
        <v>2886.23</v>
      </c>
      <c r="BF22" s="21">
        <f t="shared" ca="1" si="18"/>
        <v>6.809680583953176E-2</v>
      </c>
      <c r="BG22" s="22">
        <f t="shared" ca="1" si="21"/>
        <v>7</v>
      </c>
      <c r="BH22" s="22">
        <f t="shared" ca="1" si="19"/>
        <v>320.6922222222222</v>
      </c>
      <c r="BJ22" s="225">
        <f t="shared" ca="1" si="22"/>
        <v>324.83999999999992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180</v>
      </c>
      <c r="AK23" s="150">
        <f>SUM('09'!D80:F80)</f>
        <v>119.35</v>
      </c>
      <c r="AL23" s="151">
        <f t="shared" si="10"/>
        <v>183.4800000000001</v>
      </c>
      <c r="AM23" s="148" t="s">
        <v>77</v>
      </c>
      <c r="AN23" s="149">
        <f>'10'!B80</f>
        <v>180</v>
      </c>
      <c r="AO23" s="150">
        <f>SUM('10'!D80:F80)</f>
        <v>0</v>
      </c>
      <c r="AP23" s="151">
        <f t="shared" si="11"/>
        <v>363.48000000000013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513.48000000000013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663.48000000000013</v>
      </c>
      <c r="AZ23" s="152">
        <f t="shared" si="14"/>
        <v>1483.6499999999996</v>
      </c>
      <c r="BA23" s="21">
        <f t="shared" si="15"/>
        <v>3.6803510950511154E-2</v>
      </c>
      <c r="BB23" s="22">
        <f t="shared" si="20"/>
        <v>7</v>
      </c>
      <c r="BC23" s="22">
        <f t="shared" ca="1" si="16"/>
        <v>164.84999999999997</v>
      </c>
      <c r="BE23" s="224">
        <f t="shared" ca="1" si="17"/>
        <v>1625</v>
      </c>
      <c r="BF23" s="21">
        <f t="shared" ca="1" si="18"/>
        <v>3.8339740592135456E-2</v>
      </c>
      <c r="BG23" s="22">
        <f t="shared" ca="1" si="21"/>
        <v>9</v>
      </c>
      <c r="BH23" s="22">
        <f t="shared" ca="1" si="19"/>
        <v>180.55555555555554</v>
      </c>
      <c r="BJ23" s="224">
        <f t="shared" ca="1" si="22"/>
        <v>141.35000000000008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94.68</v>
      </c>
      <c r="AL24" s="156">
        <f t="shared" si="10"/>
        <v>266.40999999999997</v>
      </c>
      <c r="AM24" s="143" t="s">
        <v>77</v>
      </c>
      <c r="AN24" s="155">
        <f>'10'!B100</f>
        <v>150</v>
      </c>
      <c r="AO24" s="155">
        <f>SUM('10'!D100:F100)</f>
        <v>0</v>
      </c>
      <c r="AP24" s="156">
        <f t="shared" si="11"/>
        <v>416.40999999999997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576.41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736.41</v>
      </c>
      <c r="AZ24" s="157">
        <f t="shared" si="14"/>
        <v>1193.5900000000001</v>
      </c>
      <c r="BA24" s="21">
        <f t="shared" si="15"/>
        <v>2.9608265180750597E-2</v>
      </c>
      <c r="BB24" s="22">
        <f t="shared" si="20"/>
        <v>12</v>
      </c>
      <c r="BC24" s="22">
        <f t="shared" ca="1" si="16"/>
        <v>132.62111111111113</v>
      </c>
      <c r="BE24" s="225">
        <f t="shared" ca="1" si="17"/>
        <v>1460</v>
      </c>
      <c r="BF24" s="21">
        <f t="shared" ca="1" si="18"/>
        <v>3.4446782316626318E-2</v>
      </c>
      <c r="BG24" s="22">
        <f t="shared" ca="1" si="21"/>
        <v>11</v>
      </c>
      <c r="BH24" s="22">
        <f t="shared" ca="1" si="19"/>
        <v>162.22222222222223</v>
      </c>
      <c r="BJ24" s="225">
        <f t="shared" ca="1" si="22"/>
        <v>266.40999999999997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445</v>
      </c>
      <c r="AO25" s="150">
        <f>SUM('10'!D120:F120)</f>
        <v>0</v>
      </c>
      <c r="AP25" s="151">
        <f t="shared" si="11"/>
        <v>4520.4799999999977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4925.4799999999977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5330.4799999999977</v>
      </c>
      <c r="AZ25" s="152">
        <f t="shared" si="14"/>
        <v>3010.4200000000005</v>
      </c>
      <c r="BA25" s="21">
        <f t="shared" si="15"/>
        <v>7.4676659209138158E-2</v>
      </c>
      <c r="BB25" s="22">
        <f t="shared" si="20"/>
        <v>5</v>
      </c>
      <c r="BC25" s="22">
        <f t="shared" ca="1" si="16"/>
        <v>334.49111111111119</v>
      </c>
      <c r="BE25" s="224">
        <f t="shared" ca="1" si="17"/>
        <v>3923.35</v>
      </c>
      <c r="BF25" s="21">
        <f t="shared" ca="1" si="18"/>
        <v>9.2566290001325935E-2</v>
      </c>
      <c r="BG25" s="22">
        <f t="shared" ca="1" si="21"/>
        <v>5</v>
      </c>
      <c r="BH25" s="22">
        <f t="shared" ca="1" si="19"/>
        <v>435.92777777777775</v>
      </c>
      <c r="BJ25" s="224">
        <f t="shared" ca="1" si="22"/>
        <v>912.92999999999938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7.99</v>
      </c>
      <c r="AL26" s="156">
        <f t="shared" si="10"/>
        <v>70.059999999999988</v>
      </c>
      <c r="AM26" s="143" t="s">
        <v>77</v>
      </c>
      <c r="AN26" s="155">
        <f>'10'!B140</f>
        <v>53</v>
      </c>
      <c r="AO26" s="155">
        <f>SUM('10'!D140:F140)</f>
        <v>0</v>
      </c>
      <c r="AP26" s="156">
        <f t="shared" si="11"/>
        <v>123.05999999999999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171.06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219.06</v>
      </c>
      <c r="AZ26" s="157">
        <f t="shared" si="14"/>
        <v>421.93000000000006</v>
      </c>
      <c r="BA26" s="21">
        <f t="shared" si="15"/>
        <v>1.046642090476135E-2</v>
      </c>
      <c r="BB26" s="22">
        <f t="shared" si="20"/>
        <v>17</v>
      </c>
      <c r="BC26" s="22">
        <f t="shared" ca="1" si="16"/>
        <v>46.881111111111117</v>
      </c>
      <c r="BE26" s="225">
        <f t="shared" ca="1" si="17"/>
        <v>472.45</v>
      </c>
      <c r="BF26" s="21">
        <f t="shared" ca="1" si="18"/>
        <v>1.1146837195541166E-2</v>
      </c>
      <c r="BG26" s="22">
        <f t="shared" ca="1" si="21"/>
        <v>17</v>
      </c>
      <c r="BH26" s="22">
        <f t="shared" ca="1" si="19"/>
        <v>52.49444444444444</v>
      </c>
      <c r="BJ26" s="225">
        <f t="shared" ca="1" si="22"/>
        <v>50.520000000000039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392.25000000000006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442.25000000000006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492.25000000000006</v>
      </c>
      <c r="AZ27" s="188">
        <f t="shared" si="14"/>
        <v>351.7</v>
      </c>
      <c r="BA27" s="21">
        <f t="shared" si="15"/>
        <v>8.7242913094697366E-3</v>
      </c>
      <c r="BB27" s="22">
        <f t="shared" si="20"/>
        <v>18</v>
      </c>
      <c r="BC27" s="22">
        <f t="shared" ca="1" si="16"/>
        <v>39.077777777777776</v>
      </c>
      <c r="BE27" s="224">
        <f t="shared" ca="1" si="17"/>
        <v>390</v>
      </c>
      <c r="BF27" s="21">
        <f t="shared" ca="1" si="18"/>
        <v>9.2015377421125095E-3</v>
      </c>
      <c r="BG27" s="22">
        <f t="shared" ca="1" si="21"/>
        <v>18</v>
      </c>
      <c r="BH27" s="22">
        <f t="shared" ca="1" si="19"/>
        <v>43.333333333333336</v>
      </c>
      <c r="BJ27" s="224">
        <f t="shared" ca="1" si="22"/>
        <v>38.300000000000011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8.4342836617614339E-2</v>
      </c>
      <c r="BB28" s="22">
        <f t="shared" si="20"/>
        <v>4</v>
      </c>
      <c r="BC28" s="22">
        <f t="shared" ca="1" si="16"/>
        <v>377.78777777777782</v>
      </c>
      <c r="BE28" s="223">
        <f t="shared" ca="1" si="17"/>
        <v>3480.04</v>
      </c>
      <c r="BF28" s="21">
        <f t="shared" ca="1" si="18"/>
        <v>8.2106972830926189E-2</v>
      </c>
      <c r="BG28" s="22">
        <f t="shared" ca="1" si="21"/>
        <v>6</v>
      </c>
      <c r="BH28" s="22">
        <f t="shared" ca="1" si="19"/>
        <v>386.67111111111109</v>
      </c>
      <c r="BJ28" s="223">
        <f t="shared" ca="1" si="22"/>
        <v>79.950000000000159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261.38</v>
      </c>
      <c r="AL29" s="160">
        <f t="shared" si="10"/>
        <v>-157.59999999999991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-87.599999999999909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-17.599999999999909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52.400000000000091</v>
      </c>
      <c r="AZ29" s="152">
        <f t="shared" si="23"/>
        <v>724.93000000000006</v>
      </c>
      <c r="BA29" s="21">
        <f t="shared" si="15"/>
        <v>1.7982657091196751E-2</v>
      </c>
      <c r="BB29" s="22">
        <f t="shared" si="20"/>
        <v>13</v>
      </c>
      <c r="BC29" s="22">
        <f t="shared" ca="1" si="16"/>
        <v>80.547777777777782</v>
      </c>
      <c r="BE29" s="224">
        <f t="shared" ca="1" si="17"/>
        <v>614</v>
      </c>
      <c r="BF29" s="21">
        <f t="shared" ca="1" si="18"/>
        <v>1.4486523522197642E-2</v>
      </c>
      <c r="BG29" s="22">
        <f t="shared" ca="1" si="21"/>
        <v>15</v>
      </c>
      <c r="BH29" s="22">
        <f t="shared" ca="1" si="19"/>
        <v>68.222222222222229</v>
      </c>
      <c r="BJ29" s="224">
        <f t="shared" ca="1" si="22"/>
        <v>-110.92999999999998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6.0216710701557546E-3</v>
      </c>
      <c r="BB30" s="22">
        <f t="shared" si="20"/>
        <v>19</v>
      </c>
      <c r="BC30" s="22">
        <f t="shared" ca="1" si="16"/>
        <v>26.972222222222221</v>
      </c>
      <c r="BE30" s="225">
        <f t="shared" ca="1" si="17"/>
        <v>355</v>
      </c>
      <c r="BF30" s="21">
        <f t="shared" ca="1" si="18"/>
        <v>8.3757587139742067E-3</v>
      </c>
      <c r="BG30" s="22">
        <f t="shared" ca="1" si="21"/>
        <v>19</v>
      </c>
      <c r="BH30" s="22">
        <f t="shared" ca="1" si="19"/>
        <v>39.444444444444443</v>
      </c>
      <c r="BJ30" s="225">
        <f t="shared" ca="1" si="22"/>
        <v>112.25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77.699999999999974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97.699999999999974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117.69999999999997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137.69999999999999</v>
      </c>
      <c r="AZ31" s="152">
        <f t="shared" si="23"/>
        <v>178.33999999999997</v>
      </c>
      <c r="BA31" s="21">
        <f t="shared" si="15"/>
        <v>4.4239127441877534E-3</v>
      </c>
      <c r="BB31" s="22">
        <f t="shared" si="20"/>
        <v>20</v>
      </c>
      <c r="BC31" s="22">
        <f t="shared" ca="1" si="16"/>
        <v>19.815555555555552</v>
      </c>
      <c r="BE31" s="224">
        <f t="shared" ca="1" si="17"/>
        <v>180</v>
      </c>
      <c r="BF31" s="21">
        <f t="shared" ca="1" si="18"/>
        <v>4.2468635732826965E-3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1.6599999999999682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95</v>
      </c>
      <c r="AK32" s="155">
        <f>SUM('09'!D260:F260)</f>
        <v>409.73</v>
      </c>
      <c r="AL32" s="161">
        <f t="shared" si="10"/>
        <v>316.38999999999987</v>
      </c>
      <c r="AM32" s="143" t="s">
        <v>77</v>
      </c>
      <c r="AN32" s="155">
        <f>'10'!B260</f>
        <v>95</v>
      </c>
      <c r="AO32" s="155">
        <f>SUM('10'!D260:F260)</f>
        <v>0</v>
      </c>
      <c r="AP32" s="161">
        <f t="shared" si="11"/>
        <v>411.38999999999987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461.38999999999987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511.38999999999987</v>
      </c>
      <c r="AZ32" s="157">
        <f t="shared" si="23"/>
        <v>1468.6100000000001</v>
      </c>
      <c r="BA32" s="21">
        <f t="shared" si="15"/>
        <v>3.6430427807791731E-2</v>
      </c>
      <c r="BB32" s="22">
        <f t="shared" si="20"/>
        <v>8</v>
      </c>
      <c r="BC32" s="22">
        <f t="shared" ca="1" si="16"/>
        <v>163.17888888888891</v>
      </c>
      <c r="BE32" s="225">
        <f t="shared" ca="1" si="17"/>
        <v>1799.25</v>
      </c>
      <c r="BF32" s="21">
        <f t="shared" ca="1" si="18"/>
        <v>4.2450940467938285E-2</v>
      </c>
      <c r="BG32" s="22">
        <f t="shared" ca="1" si="21"/>
        <v>8</v>
      </c>
      <c r="BH32" s="22">
        <f t="shared" ca="1" si="19"/>
        <v>199.91666666666666</v>
      </c>
      <c r="BJ32" s="225">
        <f t="shared" ca="1" si="22"/>
        <v>330.63999999999987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0</v>
      </c>
      <c r="AP33" s="160">
        <f t="shared" si="11"/>
        <v>530.09000000000026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580.09000000000026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630.09000000000026</v>
      </c>
      <c r="AZ33" s="152">
        <f t="shared" si="23"/>
        <v>4461.8500000000004</v>
      </c>
      <c r="BA33" s="21">
        <f t="shared" si="15"/>
        <v>0.11068091890576501</v>
      </c>
      <c r="BB33" s="22">
        <f t="shared" si="20"/>
        <v>3</v>
      </c>
      <c r="BC33" s="22">
        <f t="shared" ca="1" si="16"/>
        <v>495.76111111111118</v>
      </c>
      <c r="BE33" s="224">
        <f t="shared" ca="1" si="17"/>
        <v>4511.9400000000005</v>
      </c>
      <c r="BF33" s="21">
        <f t="shared" ca="1" si="18"/>
        <v>0.10645329794909518</v>
      </c>
      <c r="BG33" s="22">
        <f t="shared" ca="1" si="21"/>
        <v>3</v>
      </c>
      <c r="BH33" s="22">
        <f t="shared" ca="1" si="19"/>
        <v>501.32666666666671</v>
      </c>
      <c r="BJ33" s="224">
        <f t="shared" ca="1" si="22"/>
        <v>50.090000000000259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47</v>
      </c>
      <c r="AL34" s="161">
        <f t="shared" si="10"/>
        <v>108.35999999999981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198.35999999999981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288.35999999999979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378.35999999999979</v>
      </c>
      <c r="AZ34" s="152">
        <f t="shared" si="23"/>
        <v>1227.6500000000001</v>
      </c>
      <c r="BA34" s="21">
        <f t="shared" si="15"/>
        <v>3.0453159585073997E-2</v>
      </c>
      <c r="BB34" s="22">
        <f t="shared" si="20"/>
        <v>9</v>
      </c>
      <c r="BC34" s="22">
        <f t="shared" ca="1" si="16"/>
        <v>136.40555555555557</v>
      </c>
      <c r="BE34" s="225">
        <f t="shared" ca="1" si="17"/>
        <v>1234.4099999999999</v>
      </c>
      <c r="BF34" s="21">
        <f t="shared" ca="1" si="18"/>
        <v>2.9124282574977182E-2</v>
      </c>
      <c r="BG34" s="22">
        <f t="shared" ca="1" si="21"/>
        <v>13</v>
      </c>
      <c r="BH34" s="22">
        <f t="shared" ca="1" si="19"/>
        <v>137.15666666666664</v>
      </c>
      <c r="BJ34" s="225">
        <f t="shared" ca="1" si="22"/>
        <v>6.7599999999999056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136.51</v>
      </c>
      <c r="AL35" s="187">
        <f t="shared" si="10"/>
        <v>1810.2800000000004</v>
      </c>
      <c r="AM35" s="185" t="s">
        <v>77</v>
      </c>
      <c r="AN35" s="186">
        <f>'10'!B320</f>
        <v>130</v>
      </c>
      <c r="AO35" s="186">
        <f>SUM('10'!D320:F320)</f>
        <v>0</v>
      </c>
      <c r="AP35" s="187">
        <f t="shared" si="11"/>
        <v>1940.2800000000004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2055.2800000000007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2170.2800000000007</v>
      </c>
      <c r="AZ35" s="188">
        <f t="shared" si="23"/>
        <v>1218.75</v>
      </c>
      <c r="BA35" s="21">
        <f t="shared" si="15"/>
        <v>3.0232385650884964E-2</v>
      </c>
      <c r="BB35" s="22">
        <f t="shared" si="20"/>
        <v>10</v>
      </c>
      <c r="BC35" s="22">
        <f t="shared" ca="1" si="16"/>
        <v>135.41666666666666</v>
      </c>
      <c r="BE35" s="224">
        <f t="shared" ca="1" si="17"/>
        <v>1539.43</v>
      </c>
      <c r="BF35" s="21">
        <f t="shared" ca="1" si="18"/>
        <v>3.6320828836769896E-2</v>
      </c>
      <c r="BG35" s="22">
        <f t="shared" ca="1" si="21"/>
        <v>10</v>
      </c>
      <c r="BH35" s="22">
        <f t="shared" ca="1" si="19"/>
        <v>171.04777777777778</v>
      </c>
      <c r="BJ35" s="224">
        <f t="shared" ca="1" si="22"/>
        <v>320.68000000000006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190</v>
      </c>
      <c r="AK36" s="164">
        <f>SUM('09'!D340:F340)</f>
        <v>40.870000000000005</v>
      </c>
      <c r="AL36" s="156">
        <f t="shared" si="10"/>
        <v>206.50000000000011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296.50000000000011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386.50000000000011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476.50000000000011</v>
      </c>
      <c r="AZ36" s="182">
        <f t="shared" si="23"/>
        <v>1207.4899999999998</v>
      </c>
      <c r="BA36" s="21">
        <f t="shared" si="15"/>
        <v>2.9953069415045809E-2</v>
      </c>
      <c r="BB36" s="22">
        <f t="shared" si="20"/>
        <v>11</v>
      </c>
      <c r="BC36" s="22">
        <f t="shared" ca="1" si="16"/>
        <v>134.16555555555553</v>
      </c>
      <c r="BE36" s="223">
        <f t="shared" ca="1" si="17"/>
        <v>1313</v>
      </c>
      <c r="BF36" s="21">
        <f t="shared" ca="1" si="18"/>
        <v>3.0978510398445448E-2</v>
      </c>
      <c r="BG36" s="22">
        <f t="shared" ca="1" si="21"/>
        <v>12</v>
      </c>
      <c r="BH36" s="22">
        <f t="shared" ca="1" si="19"/>
        <v>145.88888888888889</v>
      </c>
      <c r="BJ36" s="223">
        <f t="shared" ca="1" si="22"/>
        <v>105.51000000000005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1.0714977626174163E-2</v>
      </c>
      <c r="BB37" s="22">
        <f t="shared" si="20"/>
        <v>16</v>
      </c>
      <c r="BC37" s="22">
        <f t="shared" ca="1" si="16"/>
        <v>47.99444444444444</v>
      </c>
      <c r="BE37" s="224">
        <f t="shared" ca="1" si="17"/>
        <v>479.3</v>
      </c>
      <c r="BF37" s="21">
        <f t="shared" ca="1" si="18"/>
        <v>1.1308453948191091E-2</v>
      </c>
      <c r="BG37" s="22">
        <f t="shared" ca="1" si="21"/>
        <v>16</v>
      </c>
      <c r="BH37" s="22">
        <f t="shared" ca="1" si="19"/>
        <v>53.25555555555556</v>
      </c>
      <c r="BJ37" s="224">
        <f t="shared" ca="1" si="22"/>
        <v>47.350000000000023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39.5</v>
      </c>
      <c r="AL38" s="156">
        <f t="shared" si="10"/>
        <v>122.23000000000008</v>
      </c>
      <c r="AM38" s="143" t="s">
        <v>77</v>
      </c>
      <c r="AN38" s="166">
        <f>'10'!B380</f>
        <v>65</v>
      </c>
      <c r="AO38" s="166">
        <f>SUM('10'!D380:F380)</f>
        <v>0</v>
      </c>
      <c r="AP38" s="156">
        <f t="shared" si="11"/>
        <v>187.23000000000008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257.23000000000008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327.23000000000008</v>
      </c>
      <c r="AZ38" s="157">
        <f t="shared" si="23"/>
        <v>571.97</v>
      </c>
      <c r="BA38" s="21">
        <f t="shared" si="15"/>
        <v>1.4188322150348041E-2</v>
      </c>
      <c r="BB38" s="22">
        <f t="shared" si="20"/>
        <v>14</v>
      </c>
      <c r="BC38" s="22">
        <f t="shared" ca="1" si="16"/>
        <v>63.552222222222227</v>
      </c>
      <c r="BE38" s="225">
        <f t="shared" ca="1" si="17"/>
        <v>655</v>
      </c>
      <c r="BF38" s="21">
        <f t="shared" ca="1" si="18"/>
        <v>1.5453864669445368E-2</v>
      </c>
      <c r="BG38" s="22">
        <f t="shared" ca="1" si="21"/>
        <v>14</v>
      </c>
      <c r="BH38" s="22">
        <f t="shared" ca="1" si="19"/>
        <v>72.777777777777771</v>
      </c>
      <c r="BJ38" s="225">
        <f t="shared" ca="1" si="22"/>
        <v>83.030000000000044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61.259999999999991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81.259999999999991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-2.7220979883550992E-2</v>
      </c>
      <c r="BG39" s="22">
        <f t="shared" ca="1" si="21"/>
        <v>25</v>
      </c>
      <c r="BH39" s="22">
        <f t="shared" ca="1" si="19"/>
        <v>-128.19333333333333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</v>
      </c>
      <c r="AO40" s="166">
        <f>SUM('10'!D420:F420)</f>
        <v>0</v>
      </c>
      <c r="AP40" s="156">
        <f t="shared" si="11"/>
        <v>124.74000000000061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144.74000000000061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164.74000000000061</v>
      </c>
      <c r="AZ40" s="157">
        <f t="shared" si="23"/>
        <v>167.32000000000002</v>
      </c>
      <c r="BA40" s="21">
        <f t="shared" si="15"/>
        <v>4.1505499627537013E-3</v>
      </c>
      <c r="BB40" s="22">
        <f t="shared" si="20"/>
        <v>21</v>
      </c>
      <c r="BC40" s="22">
        <f t="shared" ca="1" si="16"/>
        <v>18.591111111111115</v>
      </c>
      <c r="BE40" s="225">
        <f t="shared" ca="1" si="17"/>
        <v>-562.45000000000005</v>
      </c>
      <c r="BF40" s="21">
        <f t="shared" ca="1" si="18"/>
        <v>-1.3270268982182516E-2</v>
      </c>
      <c r="BG40" s="22">
        <f t="shared" ca="1" si="21"/>
        <v>24</v>
      </c>
      <c r="BH40" s="22">
        <f t="shared" ca="1" si="19"/>
        <v>-62.494444444444447</v>
      </c>
      <c r="BJ40" s="225">
        <f t="shared" ca="1" si="22"/>
        <v>-729.76999999999987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-1937.9800000000005</v>
      </c>
      <c r="AK41" s="165">
        <f>SUM('09'!D440:F440)</f>
        <v>0</v>
      </c>
      <c r="AL41" s="151">
        <f t="shared" si="10"/>
        <v>6226.8600000000015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2326.8600000000015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-1573.1399999999985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-5473.1399999999985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-2323.1399999999971</v>
      </c>
      <c r="BF41" s="21">
        <f t="shared" ca="1" si="18"/>
        <v>-5.481143689797751E-2</v>
      </c>
      <c r="BG41" s="22">
        <f t="shared" ca="1" si="21"/>
        <v>26</v>
      </c>
      <c r="BH41" s="22">
        <f t="shared" ca="1" si="19"/>
        <v>-258.12666666666632</v>
      </c>
      <c r="BJ41" s="224">
        <f t="shared" ca="1" si="22"/>
        <v>-2323.1399999999967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9.54657181375521E-2</v>
      </c>
      <c r="BG42" s="22">
        <f t="shared" ca="1" si="21"/>
        <v>4</v>
      </c>
      <c r="BH42" s="22">
        <f t="shared" ca="1" si="19"/>
        <v>449.58222222222224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65</v>
      </c>
      <c r="AO43" s="149">
        <f>SUM('10'!D480:F480)</f>
        <v>0</v>
      </c>
      <c r="AP43" s="151">
        <f t="shared" si="11"/>
        <v>288.63000000000011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338.63000000000011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388.63000000000011</v>
      </c>
      <c r="AZ43" s="152">
        <f t="shared" si="23"/>
        <v>500</v>
      </c>
      <c r="BA43" s="21">
        <f t="shared" si="15"/>
        <v>1.2403030010619473E-2</v>
      </c>
      <c r="BB43" s="22">
        <f t="shared" si="20"/>
        <v>15</v>
      </c>
      <c r="BC43" s="22">
        <f t="shared" ca="1" si="16"/>
        <v>55.555555555555557</v>
      </c>
      <c r="BE43" s="224">
        <f t="shared" ca="1" si="17"/>
        <v>-239.36999999999995</v>
      </c>
      <c r="BF43" s="21">
        <f t="shared" ca="1" si="18"/>
        <v>-5.6476207418704382E-3</v>
      </c>
      <c r="BG43" s="22">
        <f t="shared" ca="1" si="21"/>
        <v>23</v>
      </c>
      <c r="BH43" s="22">
        <f t="shared" ca="1" si="19"/>
        <v>-26.59666666666666</v>
      </c>
      <c r="BJ43" s="224">
        <f t="shared" ca="1" si="22"/>
        <v>-739.36999999999989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2.3072116425754343E-3</v>
      </c>
      <c r="BB45" s="22">
        <f t="shared" si="20"/>
        <v>22</v>
      </c>
      <c r="BC45" s="22">
        <f t="shared" ca="1" si="16"/>
        <v>10.334444444444443</v>
      </c>
      <c r="BE45" s="226">
        <f t="shared" ca="1" si="17"/>
        <v>20</v>
      </c>
      <c r="BF45" s="21">
        <f t="shared" ca="1" si="18"/>
        <v>4.7187373036474404E-4</v>
      </c>
      <c r="BG45" s="22">
        <f t="shared" ca="1" si="21"/>
        <v>21</v>
      </c>
      <c r="BH45" s="22">
        <f t="shared" ca="1" si="19"/>
        <v>2.2222222222222223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2188.2799999999997</v>
      </c>
      <c r="AK46" s="219">
        <f>SUM(AK20:AK45)</f>
        <v>2991.51</v>
      </c>
      <c r="AL46" s="220">
        <f>SUM(AL20:AL45)</f>
        <v>28455.030000000002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28455.03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28455.03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28455.03</v>
      </c>
      <c r="AZ46" s="227">
        <f>SUM(AZ20:AZ45)</f>
        <v>40312.730000000003</v>
      </c>
      <c r="BA46" s="1"/>
      <c r="BB46" s="1"/>
      <c r="BC46" s="124">
        <f ca="1">SUM(BC20:BC45)</f>
        <v>4479.1922222222229</v>
      </c>
      <c r="BE46" s="227">
        <f ca="1">SUM(BE20:BE45)</f>
        <v>42384.220000000016</v>
      </c>
      <c r="BF46" s="1"/>
      <c r="BG46" s="1"/>
      <c r="BH46" s="124">
        <f ca="1">SUM(BH20:BH45)</f>
        <v>4709.3577777777782</v>
      </c>
      <c r="BJ46" s="227">
        <f ca="1">SUM(BJ20:BJ45)</f>
        <v>2071.4900000000043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-803.23000000000047</v>
      </c>
      <c r="AL47" s="125"/>
      <c r="AM47" s="125">
        <f>AM5-AL46</f>
        <v>-10590.930000000004</v>
      </c>
      <c r="AN47" s="125">
        <f>AM17-AN46</f>
        <v>0</v>
      </c>
      <c r="AO47" s="125">
        <f>AM17-AO46</f>
        <v>0</v>
      </c>
      <c r="AP47" s="125"/>
      <c r="AQ47" s="125">
        <f>AQ5-AP46</f>
        <v>-13353.139999999998</v>
      </c>
      <c r="AR47" s="125">
        <f>AQ17-AR46</f>
        <v>0</v>
      </c>
      <c r="AS47" s="125">
        <f>AQ17-AS46</f>
        <v>0</v>
      </c>
      <c r="AT47" s="140"/>
      <c r="AU47" s="125">
        <f>AU5-AT46</f>
        <v>-13353.139999999998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53750.306666666671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218.77</v>
      </c>
      <c r="AL50" s="119" t="s">
        <v>610</v>
      </c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0" t="s">
        <v>257</v>
      </c>
      <c r="M54" s="371"/>
      <c r="N54" s="100">
        <v>70</v>
      </c>
      <c r="O54" s="95"/>
      <c r="P54" s="358"/>
      <c r="Q54" s="359"/>
      <c r="R54" s="102"/>
      <c r="S54" s="95">
        <v>43594</v>
      </c>
      <c r="T54" s="370" t="s">
        <v>243</v>
      </c>
      <c r="U54" s="371"/>
      <c r="V54" s="103"/>
      <c r="W54" s="95">
        <v>43624</v>
      </c>
      <c r="X54" s="370" t="s">
        <v>153</v>
      </c>
      <c r="Y54" s="371"/>
      <c r="Z54" s="104">
        <v>10</v>
      </c>
      <c r="AA54" s="95"/>
      <c r="AB54" s="366" t="s">
        <v>476</v>
      </c>
      <c r="AC54" s="367"/>
      <c r="AD54" s="239">
        <v>15</v>
      </c>
      <c r="AE54" s="95"/>
      <c r="AF54" s="366" t="s">
        <v>476</v>
      </c>
      <c r="AG54" s="367"/>
      <c r="AH54" s="239">
        <v>14</v>
      </c>
      <c r="AI54" s="95"/>
      <c r="AJ54" s="366" t="s">
        <v>476</v>
      </c>
      <c r="AK54" s="367"/>
      <c r="AL54" s="239">
        <v>14</v>
      </c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>
        <v>43711</v>
      </c>
      <c r="AJ55" s="343" t="s">
        <v>323</v>
      </c>
      <c r="AK55" s="344"/>
      <c r="AL55" s="100" t="s">
        <v>780</v>
      </c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6" t="s">
        <v>235</v>
      </c>
      <c r="Q56" s="367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43703</v>
      </c>
      <c r="AF56" s="343" t="s">
        <v>151</v>
      </c>
      <c r="AG56" s="344"/>
      <c r="AH56" s="100">
        <v>10</v>
      </c>
      <c r="AI56" s="96">
        <v>43498</v>
      </c>
      <c r="AJ56" s="364" t="s">
        <v>235</v>
      </c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2" t="s">
        <v>389</v>
      </c>
      <c r="Q57" s="373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2" t="s">
        <v>389</v>
      </c>
      <c r="M60" s="373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4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566</v>
      </c>
      <c r="U71" s="369"/>
      <c r="V71" s="101">
        <v>1872.17</v>
      </c>
      <c r="W71" s="97"/>
      <c r="X71" s="368" t="s">
        <v>564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51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18</v>
      </c>
      <c r="D75">
        <f>C75*D74</f>
        <v>60</v>
      </c>
      <c r="Z75" s="111"/>
    </row>
    <row r="76" spans="1:50">
      <c r="D76">
        <f>D75-D73</f>
        <v>9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abSelected="1" topLeftCell="A40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409.08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1032.5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64.820000000000007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328</v>
      </c>
      <c r="K30" s="407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800</v>
      </c>
      <c r="K35" s="407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790</v>
      </c>
      <c r="K45" s="407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03" t="str">
        <f>AÑO!A13</f>
        <v>Gubernamental</v>
      </c>
      <c r="J50" s="406" t="s">
        <v>798</v>
      </c>
      <c r="K50" s="407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218.77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799</v>
      </c>
      <c r="K60" s="407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'08'!A66+(B66-SUM(D66:F78))+B67</f>
        <v>58.480000000000054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105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163.48000000000005</v>
      </c>
      <c r="B80" s="233">
        <f>SUM(B66:B79)</f>
        <v>180</v>
      </c>
      <c r="C80" s="17" t="s">
        <v>53</v>
      </c>
      <c r="D80" s="135">
        <f>SUM(D66:D79)</f>
        <v>39.299999999999997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94.68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42.5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20.98</v>
      </c>
      <c r="E200" s="135">
        <f>SUM(E186:E199)</f>
        <v>240.39999999999998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-259.06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7" ht="15" customHeight="1">
      <c r="A247" s="112"/>
      <c r="B247" s="134"/>
      <c r="C247" s="16"/>
      <c r="D247" s="137">
        <v>203.92</v>
      </c>
      <c r="E247" s="138"/>
      <c r="F247" s="138"/>
      <c r="G247" s="16" t="s">
        <v>812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545.45000000000016</v>
      </c>
      <c r="B257" s="134">
        <v>40</v>
      </c>
      <c r="C257" s="16" t="s">
        <v>736</v>
      </c>
      <c r="D257" s="137"/>
      <c r="E257" s="138">
        <f>100.67</f>
        <v>100.67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326.39000000000016</v>
      </c>
      <c r="B260" s="135">
        <f>SUM(B246:B259)</f>
        <v>95</v>
      </c>
      <c r="C260" s="17" t="s">
        <v>53</v>
      </c>
      <c r="D260" s="135">
        <f>SUM(D246:D259)</f>
        <v>309.06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48.359999999999808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108.35999999999981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7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40.870000000000005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</f>
        <v>39.5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39.5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2188.2799999999997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-1937.9800000000005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-1937.9800000000005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" workbookViewId="0">
      <selection activeCell="K8" sqref="K8:L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O5" s="89">
        <f>M5-500</f>
        <v>-500</v>
      </c>
      <c r="R5" s="3"/>
    </row>
    <row r="6" spans="1:22" ht="15.75">
      <c r="A6" s="112">
        <f>'09'!A6+(B6-SUM(D6:F6))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f>0</f>
        <v>0</v>
      </c>
      <c r="L7" s="42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/>
      <c r="L9" s="427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'09'!A11+(B11-SUM(D11:F11))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17864.099999999999</v>
      </c>
      <c r="L19" s="442"/>
      <c r="M19" s="1"/>
      <c r="N19" s="1"/>
      <c r="R19" s="3"/>
    </row>
    <row r="20" spans="1:18" ht="16.5" thickBot="1">
      <c r="A20" s="112">
        <f>SUM(A6:A15)</f>
        <v>1576.5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'09'!A27+(B27-SUM(D27:F27))</f>
        <v>232.05999999999995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1512.0800000000002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787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'09'!A66+(B66-SUM(D66:F78))+B67</f>
        <v>233.48000000000005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110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343.48</v>
      </c>
      <c r="B80" s="233">
        <f>SUM(B66:B79)</f>
        <v>180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3357.7100000000014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72.5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8.0599999999999987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-209.06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'09'!A257+(B257-SUM(D257:F257))</f>
        <v>585.45000000000016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421.39000000000016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98.359999999999815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198.35999999999981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75.230000000000018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288.63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G15" sqref="G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'10'!A6+(B6-SUM(D6:F6))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'10'!A7+(B7-SUM(D7:F7))</f>
        <v>441.75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'10'!A11+(B11-SUM(D11:F11))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'10'!A13+(B13-SUM(D13:F13))</f>
        <v>57.5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2120.5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'10'!A27+(B27-SUM(D27:F27))</f>
        <v>402.05999999999995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'10'!A29+(B29-SUM(D29:F29))</f>
        <v>37.63000000000001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2640.08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142.20000000000005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3383.2400000000016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1342.24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95.230000000000018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218.4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338.63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'11'!A6+(B6-SUM(D6:F6))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'11'!A7+(B7-SUM(D7:F7))</f>
        <v>511.93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'11'!A11+(B11-SUM(D11:F11))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'11'!A13+(B13-SUM(D13:F13))</f>
        <v>64.5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2664.5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'11'!A27+(B27-SUM(D27:F27))</f>
        <v>572.05999999999995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'11'!A29+(B29-SUM(D29:F29))</f>
        <v>55.63000000000001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3768.08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213.20000000000005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3408.7700000000018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1721.71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115.23000000000002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223.4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388.63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J22" sqref="J22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5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5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5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5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5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5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5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5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5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5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</row>
    <row r="27" spans="2:5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</row>
    <row r="28" spans="2:5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</row>
    <row r="29" spans="2:5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</row>
    <row r="30" spans="2:5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</row>
    <row r="31" spans="2:5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</row>
    <row r="32" spans="2:5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</row>
    <row r="33" spans="2:4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</row>
    <row r="34" spans="2:4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</row>
    <row r="35" spans="2:4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</row>
    <row r="36" spans="2:4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</row>
    <row r="37" spans="2:4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</row>
    <row r="38" spans="2:4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</row>
    <row r="39" spans="2:4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</row>
    <row r="40" spans="2:4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</row>
    <row r="41" spans="2:4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</row>
    <row r="42" spans="2:4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</row>
    <row r="43" spans="2:4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</row>
    <row r="44" spans="2:4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</row>
    <row r="45" spans="2:4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</row>
    <row r="46" spans="2:4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</row>
    <row r="47" spans="2:4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</row>
    <row r="48" spans="2:4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topLeftCell="A10" workbookViewId="0">
      <selection activeCell="F23" sqref="F2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3" workbookViewId="0">
      <selection activeCell="J25" sqref="J2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v>0</v>
      </c>
      <c r="L25" s="127">
        <f t="shared" si="8"/>
        <v>-149357.61999999997</v>
      </c>
      <c r="M25" s="72">
        <f t="shared" si="10"/>
        <v>-22721.829999999973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-6493.8095652173897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6" workbookViewId="0">
      <selection activeCell="L29" sqref="L29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1522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43731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126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43731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/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577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43731</v>
      </c>
      <c r="L5" s="302">
        <v>30</v>
      </c>
      <c r="M5" s="264">
        <f>(H5*L5)</f>
        <v>5880</v>
      </c>
      <c r="N5" s="264">
        <f>-(IF((M5*0.0075)&lt;30,30,(M5*0.0075)) + (M5*0.0035))</f>
        <v>-64.680000000000007</v>
      </c>
      <c r="O5" s="272">
        <f>J5+N5</f>
        <v>-120.69288</v>
      </c>
      <c r="P5" s="273">
        <f>M5-E5+N5</f>
        <v>667.22711999999979</v>
      </c>
      <c r="Q5" s="274">
        <f>P5/E5</f>
        <v>0.12960665931108836</v>
      </c>
      <c r="R5" s="275" t="s">
        <v>535</v>
      </c>
      <c r="S5" s="341"/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781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3.7417018708509352E-2</v>
      </c>
      <c r="X13" s="119">
        <f ca="1">W13*E13</f>
        <v>150.38906149668074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3.3192516596258298E-2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8.4490042245021126E-3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0.52444176222088112</v>
      </c>
      <c r="X19" s="119">
        <f t="shared" ca="1" si="2"/>
        <v>2319.8156490525048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0.38141219070609533</v>
      </c>
      <c r="X20" s="119">
        <f t="shared" ca="1" si="2"/>
        <v>229.07616173808086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0.17380808690404345</v>
      </c>
      <c r="X25" s="119">
        <f t="shared" ca="1" si="2"/>
        <v>105.6689252190706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577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43731</v>
      </c>
      <c r="L28" s="302">
        <v>27.5</v>
      </c>
      <c r="M28" s="264">
        <f>(H28*L28)</f>
        <v>5390</v>
      </c>
      <c r="N28" s="264">
        <f>-(IF((M28*0.0075)&lt;30,30,(M28*0.0075)) + (M28*0.0035))</f>
        <v>-59.29</v>
      </c>
      <c r="O28" s="272">
        <f>J28+N28</f>
        <v>-115.30287999999999</v>
      </c>
      <c r="P28" s="273">
        <f ca="1">IF(K28=0,0,M28-E28+N28)</f>
        <v>182.61711999999986</v>
      </c>
      <c r="Q28" s="274">
        <f ca="1">P28/E28</f>
        <v>3.5472771035164358E-2</v>
      </c>
      <c r="R28" s="275" t="s">
        <v>517</v>
      </c>
      <c r="S28" s="59">
        <f ca="1">Q28+Q29+Q30+Q34</f>
        <v>5.987792512399269E-2</v>
      </c>
      <c r="T28" s="59">
        <f>(L28/L5)-1</f>
        <v>-8.333333333333337E-2</v>
      </c>
      <c r="W28" s="39">
        <f t="shared" ca="1" si="0"/>
        <v>0.34821967410983706</v>
      </c>
      <c r="X28" s="119">
        <f t="shared" ca="1" si="2"/>
        <v>1792.6672249607725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</f>
        <v>-22.04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1.3277006638503319E-2</v>
      </c>
      <c r="X33" s="119">
        <f t="shared" ca="1" si="2"/>
        <v>54.822435968617981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126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43731</v>
      </c>
      <c r="L35" s="302">
        <v>63</v>
      </c>
      <c r="M35" s="264">
        <f>(H35*L35)</f>
        <v>3906</v>
      </c>
      <c r="N35" s="264">
        <f>-(IF((M35*0.0075)&lt;30,30,(M35*0.0075)) + (M35*0.0035))</f>
        <v>-43.670999999999999</v>
      </c>
      <c r="O35" s="272">
        <f>J35+N35</f>
        <v>-88.157859999999999</v>
      </c>
      <c r="P35" s="273">
        <f ca="1">IF(K35=0,0,M35-E35+N35)</f>
        <v>-226.41786000000019</v>
      </c>
      <c r="Q35" s="274">
        <f ca="1">P35/E35</f>
        <v>-5.5375856650612058E-2</v>
      </c>
      <c r="R35" s="275" t="s">
        <v>412</v>
      </c>
      <c r="T35" s="59">
        <f>(L35/L4)-1</f>
        <v>-6.7081297201243895E-2</v>
      </c>
      <c r="W35" s="39">
        <f t="shared" ca="1" si="0"/>
        <v>7.6041038020519008E-2</v>
      </c>
      <c r="X35" s="119">
        <f t="shared" ca="1" si="2"/>
        <v>310.91255543753772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2645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-373.542259</v>
      </c>
      <c r="O42" s="315">
        <f>SUM(O13:O41)</f>
        <v>-559.74039699999992</v>
      </c>
      <c r="P42" s="315">
        <f ca="1">SUM(P13:P41)</f>
        <v>3604.8179830000004</v>
      </c>
      <c r="Q42" s="326">
        <f ca="1">SUM(Q13:Q41)</f>
        <v>3.9034626205456227</v>
      </c>
      <c r="R42" s="317"/>
      <c r="W42" s="327">
        <f ca="1">SUM(W13:W41)</f>
        <v>1.5962582981291491</v>
      </c>
      <c r="X42" s="328">
        <f ca="1">SUM(X13:X41)</f>
        <v>4963.3520138732656</v>
      </c>
      <c r="Y42" s="329">
        <f ca="1">P42/X42</f>
        <v>0.72628698768977662</v>
      </c>
      <c r="Z42" s="329">
        <f ca="1">Y42/(D$43/365)</f>
        <v>0.15998476192321573</v>
      </c>
    </row>
    <row r="43" spans="1:26">
      <c r="C43" s="119" t="s">
        <v>568</v>
      </c>
      <c r="D43" s="46">
        <f ca="1">_xlfn.DAYS(TODAY(),F13)</f>
        <v>1657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9" sqref="D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-69.659884993447548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-78.378987503276306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-61.58349018114567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-16.79549732213064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-226.41786000000019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40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2018</v>
      </c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4">
        <v>2901.68</v>
      </c>
      <c r="L5" s="42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6">
        <v>620.05999999999995</v>
      </c>
      <c r="L6" s="42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6">
        <v>8035.29</v>
      </c>
      <c r="L7" s="42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6">
        <v>659.39</v>
      </c>
      <c r="L9" s="42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6">
        <f>240+35</f>
        <v>275</v>
      </c>
      <c r="L11" s="42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2">
        <f>SUM(K5:K18)</f>
        <v>26383.54</v>
      </c>
      <c r="L19" s="433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3" t="str">
        <f>AÑO!A8</f>
        <v>Manolo Salario</v>
      </c>
      <c r="J25" s="406" t="s">
        <v>291</v>
      </c>
      <c r="K25" s="40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4"/>
      <c r="J26" s="408"/>
      <c r="K26" s="40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4"/>
      <c r="J27" s="408"/>
      <c r="K27" s="40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4"/>
      <c r="J28" s="408"/>
      <c r="K28" s="40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2"/>
      <c r="J29" s="413"/>
      <c r="K29" s="4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3" t="str">
        <f>AÑO!A9</f>
        <v>Rocío Salario</v>
      </c>
      <c r="J30" s="406" t="s">
        <v>238</v>
      </c>
      <c r="K30" s="40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4"/>
      <c r="J31" s="408" t="s">
        <v>256</v>
      </c>
      <c r="K31" s="40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4"/>
      <c r="J32" s="415" t="s">
        <v>267</v>
      </c>
      <c r="K32" s="40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3" t="s">
        <v>218</v>
      </c>
      <c r="J35" s="406" t="s">
        <v>306</v>
      </c>
      <c r="K35" s="40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3" t="str">
        <f>AÑO!A11</f>
        <v>Finanazas</v>
      </c>
      <c r="J40" s="406" t="s">
        <v>239</v>
      </c>
      <c r="K40" s="40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4"/>
      <c r="J41" s="408" t="s">
        <v>240</v>
      </c>
      <c r="K41" s="409"/>
      <c r="L41" s="229">
        <v>1.87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12"/>
      <c r="I42" s="404"/>
      <c r="J42" s="408" t="s">
        <v>269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3" t="str">
        <f>AÑO!A12</f>
        <v>Regalos</v>
      </c>
      <c r="J45" s="406" t="s">
        <v>299</v>
      </c>
      <c r="K45" s="40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2"/>
      <c r="J49" s="413"/>
      <c r="K49" s="41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3" t="str">
        <f>AÑO!A13</f>
        <v>Gubernamental</v>
      </c>
      <c r="J50" s="406" t="s">
        <v>259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2"/>
      <c r="J54" s="413"/>
      <c r="K54" s="41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2"/>
      <c r="J59" s="413"/>
      <c r="K59" s="41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3" t="str">
        <f>AÑO!A16</f>
        <v>Otros</v>
      </c>
      <c r="J65" s="406" t="s">
        <v>296</v>
      </c>
      <c r="K65" s="40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4"/>
      <c r="J66" s="408"/>
      <c r="K66" s="40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4"/>
      <c r="J67" s="408"/>
      <c r="K67" s="40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4"/>
      <c r="J68" s="408"/>
      <c r="K68" s="40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5"/>
      <c r="J69" s="410"/>
      <c r="K69" s="4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2:8" ht="15" customHeight="1" thickBot="1">
      <c r="B243" s="419"/>
      <c r="C243" s="420"/>
      <c r="D243" s="420"/>
      <c r="E243" s="420"/>
      <c r="F243" s="420"/>
      <c r="G243" s="421"/>
      <c r="H243" s="112"/>
    </row>
    <row r="244" spans="2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2:8" ht="15" customHeight="1" thickBot="1">
      <c r="B263" s="419"/>
      <c r="C263" s="420"/>
      <c r="D263" s="420"/>
      <c r="E263" s="420"/>
      <c r="F263" s="420"/>
      <c r="G263" s="421"/>
      <c r="H263" s="112"/>
    </row>
    <row r="264" spans="2:8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2:8" ht="15" customHeight="1" thickBot="1">
      <c r="B283" s="419"/>
      <c r="C283" s="420"/>
      <c r="D283" s="420"/>
      <c r="E283" s="420"/>
      <c r="F283" s="420"/>
      <c r="G283" s="421"/>
      <c r="H283" s="112"/>
    </row>
    <row r="284" spans="2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2:8" ht="15" customHeight="1" thickBot="1">
      <c r="B303" s="419"/>
      <c r="C303" s="420"/>
      <c r="D303" s="420"/>
      <c r="E303" s="420"/>
      <c r="F303" s="420"/>
      <c r="G303" s="421"/>
      <c r="H303" s="112"/>
    </row>
    <row r="304" spans="2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Impuestos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Cartama Finanazas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2397.48-4.45</f>
        <v>2393.0300000000002</v>
      </c>
      <c r="L5" s="42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>
        <f>7340.23-4.45</f>
        <v>7335.78</v>
      </c>
      <c r="L7" s="42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7001.87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669.52</v>
      </c>
      <c r="L9" s="42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160+155</f>
        <v>315</v>
      </c>
      <c r="L11" s="42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25229.379999999997</v>
      </c>
      <c r="L19" s="433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314</v>
      </c>
      <c r="K30" s="40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319</v>
      </c>
      <c r="K31" s="40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 t="s">
        <v>314</v>
      </c>
      <c r="K33" s="40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3" t="str">
        <f>AÑO!A15</f>
        <v>Alquiler Cartama</v>
      </c>
      <c r="J60" s="406" t="s">
        <v>315</v>
      </c>
      <c r="K60" s="40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4"/>
      <c r="J66" s="408"/>
      <c r="K66" s="40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4"/>
      <c r="J67" s="408"/>
      <c r="K67" s="40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5"/>
      <c r="J69" s="410"/>
      <c r="K69" s="4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238</v>
      </c>
      <c r="K31" s="40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379</v>
      </c>
      <c r="K45" s="40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4"/>
      <c r="J46" s="408" t="s">
        <v>160</v>
      </c>
      <c r="K46" s="40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4"/>
      <c r="J51" s="408" t="s">
        <v>417</v>
      </c>
      <c r="K51" s="40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3" t="str">
        <f>AÑO!A14</f>
        <v>Mutualite/DKV</v>
      </c>
      <c r="J55" s="439" t="str">
        <f>G306</f>
        <v>12/03 Chirec</v>
      </c>
      <c r="K55" s="40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366</v>
      </c>
      <c r="K60" s="40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424</v>
      </c>
      <c r="K40" s="40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444</v>
      </c>
      <c r="K41" s="409"/>
      <c r="L41" s="229">
        <v>352.82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 t="s">
        <v>60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3" t="str">
        <f>AÑO!A13</f>
        <v>Gubernamental</v>
      </c>
      <c r="J50" s="406" t="s">
        <v>433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39" t="str">
        <f>'03'!G307</f>
        <v>22/03 Chirec</v>
      </c>
      <c r="K55" s="40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0" t="str">
        <f>'03'!G309</f>
        <v>26/03 Ginecologa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448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362</v>
      </c>
      <c r="K31" s="409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472</v>
      </c>
      <c r="K40" s="407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3" t="str">
        <f>AÑO!A13</f>
        <v>Gubernamental</v>
      </c>
      <c r="J50" s="406" t="s">
        <v>483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3" t="str">
        <f>AÑO!A14</f>
        <v>Mutualite/DKV</v>
      </c>
      <c r="J55" s="406" t="s">
        <v>477</v>
      </c>
      <c r="K55" s="407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M5+2156.93</f>
        <v>1614.1099999999997</v>
      </c>
      <c r="L5" s="425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626</v>
      </c>
      <c r="K30" s="407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627</v>
      </c>
      <c r="K60" s="407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34"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626</v>
      </c>
      <c r="K31" s="409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688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675</v>
      </c>
      <c r="K40" s="407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60</v>
      </c>
      <c r="K41" s="409"/>
      <c r="L41" s="229">
        <v>0.02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 t="s">
        <v>689</v>
      </c>
      <c r="K55" s="407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 t="s">
        <v>689</v>
      </c>
      <c r="K56" s="409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689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704</v>
      </c>
      <c r="K60" s="407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90" sqref="G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328</v>
      </c>
      <c r="K30" s="407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397</v>
      </c>
      <c r="K35" s="407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776</v>
      </c>
      <c r="K45" s="407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4"/>
      <c r="J46" s="408" t="s">
        <v>777</v>
      </c>
      <c r="K46" s="409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4"/>
      <c r="J48" s="408"/>
      <c r="K48" s="409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3" t="str">
        <f>AÑO!A13</f>
        <v>Gubernamental</v>
      </c>
      <c r="J50" s="406" t="s">
        <v>639</v>
      </c>
      <c r="K50" s="407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43">
        <v>43692</v>
      </c>
      <c r="K55" s="407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4">
        <v>43696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39</v>
      </c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2019-09-23T15:51:27Z</dcterms:modified>
</cp:coreProperties>
</file>