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filterPrivacy="1" defaultThemeVersion="124226"/>
  <xr:revisionPtr revIDLastSave="0" documentId="13_ncr:1_{2C926512-77E8-48ED-85E7-C331431DCAC2}" xr6:coauthVersionLast="41" xr6:coauthVersionMax="41" xr10:uidLastSave="{00000000-0000-0000-0000-000000000000}"/>
  <bookViews>
    <workbookView xWindow="-108" yWindow="12852" windowWidth="22224" windowHeight="13176" activeTab="7" xr2:uid="{00000000-000D-0000-FFFF-FFFF00000000}"/>
  </bookViews>
  <sheets>
    <sheet name="AÑO" sheetId="1" r:id="rId1"/>
    <sheet name="01" sheetId="2" r:id="rId2"/>
    <sheet name="02" sheetId="3" r:id="rId3"/>
    <sheet name="03" sheetId="4" r:id="rId4"/>
    <sheet name="04" sheetId="5" r:id="rId5"/>
    <sheet name="05" sheetId="6" r:id="rId6"/>
    <sheet name="06" sheetId="7" r:id="rId7"/>
    <sheet name="07" sheetId="8" r:id="rId8"/>
    <sheet name="08" sheetId="9" r:id="rId9"/>
    <sheet name="09" sheetId="10" r:id="rId10"/>
    <sheet name="10" sheetId="11" r:id="rId11"/>
    <sheet name="11" sheetId="12" r:id="rId12"/>
    <sheet name="12" sheetId="13" r:id="rId13"/>
    <sheet name="Hipoteca" sheetId="14" r:id="rId14"/>
    <sheet name="Coche" sheetId="17" r:id="rId15"/>
    <sheet name="Historico" sheetId="15" r:id="rId16"/>
    <sheet name="Bolsa1" sheetId="18" r:id="rId17"/>
    <sheet name="Bolsa2" sheetId="19" r:id="rId18"/>
    <sheet name="NOTAS" sheetId="16" r:id="rId1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66" i="8" l="1"/>
  <c r="A358" i="9"/>
  <c r="A346" i="9"/>
  <c r="A346" i="7"/>
  <c r="A346" i="8" s="1"/>
  <c r="A358" i="8"/>
  <c r="A358" i="7"/>
  <c r="A360" i="9" l="1"/>
  <c r="A360" i="8"/>
  <c r="A360" i="7"/>
  <c r="A246" i="8" l="1"/>
  <c r="A246" i="9" s="1"/>
  <c r="H257" i="9"/>
  <c r="H257" i="8"/>
  <c r="B258" i="8"/>
  <c r="B49" i="8"/>
  <c r="A257" i="9"/>
  <c r="A256" i="9"/>
  <c r="A129" i="9"/>
  <c r="A127" i="9"/>
  <c r="A126" i="9"/>
  <c r="B308" i="8"/>
  <c r="D308" i="8"/>
  <c r="B8" i="8"/>
  <c r="D207" i="8"/>
  <c r="A140" i="9" l="1"/>
  <c r="L55" i="8"/>
  <c r="D47" i="8" l="1"/>
  <c r="D206" i="8" l="1"/>
  <c r="P32" i="18"/>
  <c r="F520" i="9" l="1"/>
  <c r="E520" i="9"/>
  <c r="D520" i="9"/>
  <c r="B520" i="9"/>
  <c r="B502" i="9"/>
  <c r="F500" i="9"/>
  <c r="E500" i="9"/>
  <c r="D500" i="9"/>
  <c r="B500" i="9"/>
  <c r="B482" i="9"/>
  <c r="F480" i="9"/>
  <c r="E480" i="9"/>
  <c r="D480" i="9"/>
  <c r="B468" i="9"/>
  <c r="B480" i="9" s="1"/>
  <c r="B462" i="9"/>
  <c r="F460" i="9"/>
  <c r="E460" i="9"/>
  <c r="D460" i="9"/>
  <c r="B460" i="9"/>
  <c r="B442" i="9"/>
  <c r="F440" i="9"/>
  <c r="E440" i="9"/>
  <c r="D440" i="9"/>
  <c r="B422" i="9"/>
  <c r="F420" i="9"/>
  <c r="E420" i="9"/>
  <c r="D420" i="9"/>
  <c r="B420" i="9"/>
  <c r="B402" i="9"/>
  <c r="F400" i="9"/>
  <c r="E400" i="9"/>
  <c r="D400" i="9"/>
  <c r="B400" i="9"/>
  <c r="B382" i="9"/>
  <c r="F380" i="9"/>
  <c r="E380" i="9"/>
  <c r="D380" i="9"/>
  <c r="B380" i="9"/>
  <c r="B362" i="9"/>
  <c r="F360" i="9"/>
  <c r="E360" i="9"/>
  <c r="D360" i="9"/>
  <c r="B360" i="9"/>
  <c r="B342" i="9"/>
  <c r="F340" i="9"/>
  <c r="E340" i="9"/>
  <c r="D340" i="9"/>
  <c r="B340" i="9"/>
  <c r="B322" i="9"/>
  <c r="F320" i="9"/>
  <c r="E320" i="9"/>
  <c r="D320" i="9"/>
  <c r="B320" i="9"/>
  <c r="B302" i="9"/>
  <c r="F300" i="9"/>
  <c r="E300" i="9"/>
  <c r="D300" i="9"/>
  <c r="B300" i="9"/>
  <c r="B282" i="9"/>
  <c r="F280" i="9"/>
  <c r="E280" i="9"/>
  <c r="D280" i="9"/>
  <c r="B280" i="9"/>
  <c r="B262" i="9"/>
  <c r="F260" i="9"/>
  <c r="E260" i="9"/>
  <c r="D260" i="9"/>
  <c r="B260" i="9"/>
  <c r="B242" i="9"/>
  <c r="F240" i="9"/>
  <c r="E240" i="9"/>
  <c r="D240" i="9"/>
  <c r="B240" i="9"/>
  <c r="B222" i="9"/>
  <c r="F220" i="9"/>
  <c r="E220" i="9"/>
  <c r="D220" i="9"/>
  <c r="B220" i="9"/>
  <c r="B202" i="9"/>
  <c r="F200" i="9"/>
  <c r="E200" i="9"/>
  <c r="D200" i="9"/>
  <c r="B200" i="9"/>
  <c r="B182" i="9"/>
  <c r="F180" i="9"/>
  <c r="E180" i="9"/>
  <c r="D180" i="9"/>
  <c r="B180" i="9"/>
  <c r="B162" i="9"/>
  <c r="F160" i="9"/>
  <c r="E160" i="9"/>
  <c r="D160" i="9"/>
  <c r="B160" i="9"/>
  <c r="B142" i="9"/>
  <c r="F140" i="9"/>
  <c r="E140" i="9"/>
  <c r="D140" i="9"/>
  <c r="B140" i="9"/>
  <c r="B122" i="9"/>
  <c r="F120" i="9"/>
  <c r="E120" i="9"/>
  <c r="D120" i="9"/>
  <c r="B120" i="9"/>
  <c r="B102" i="9"/>
  <c r="F100" i="9"/>
  <c r="E100" i="9"/>
  <c r="D100" i="9"/>
  <c r="B100" i="9"/>
  <c r="B82" i="9"/>
  <c r="F80" i="9"/>
  <c r="E80" i="9"/>
  <c r="D80" i="9"/>
  <c r="B80" i="9"/>
  <c r="I65" i="9"/>
  <c r="B62" i="9"/>
  <c r="I60" i="9"/>
  <c r="F60" i="9"/>
  <c r="E60" i="9"/>
  <c r="D60" i="9"/>
  <c r="B60" i="9"/>
  <c r="I55" i="9"/>
  <c r="I50" i="9"/>
  <c r="I45" i="9"/>
  <c r="B42" i="9"/>
  <c r="I40" i="9"/>
  <c r="F40" i="9"/>
  <c r="E40" i="9"/>
  <c r="D40" i="9"/>
  <c r="B40" i="9"/>
  <c r="I30" i="9"/>
  <c r="I25" i="9"/>
  <c r="B22" i="9"/>
  <c r="F20" i="9"/>
  <c r="E20" i="9"/>
  <c r="D20" i="9"/>
  <c r="B20" i="9"/>
  <c r="K12" i="9"/>
  <c r="K19" i="9" s="1"/>
  <c r="L20" i="9" s="1"/>
  <c r="K5" i="9"/>
  <c r="B2" i="9"/>
  <c r="BC17" i="1"/>
  <c r="B247" i="7"/>
  <c r="W10" i="1"/>
  <c r="K5" i="8"/>
  <c r="F366" i="7" l="1"/>
  <c r="Z79" i="1"/>
  <c r="Z80" i="1"/>
  <c r="Z81" i="1"/>
  <c r="Z78" i="1"/>
  <c r="E268" i="7"/>
  <c r="D248" i="7"/>
  <c r="D368" i="7"/>
  <c r="F267" i="7" l="1"/>
  <c r="D51" i="7" l="1"/>
  <c r="D367" i="7"/>
  <c r="D366" i="7"/>
  <c r="D89" i="7"/>
  <c r="E287" i="7" l="1"/>
  <c r="E257" i="6" l="1"/>
  <c r="D87" i="7"/>
  <c r="F520" i="8"/>
  <c r="E520" i="8"/>
  <c r="D520" i="8"/>
  <c r="B520" i="8"/>
  <c r="B502" i="8"/>
  <c r="F500" i="8"/>
  <c r="E500" i="8"/>
  <c r="D500" i="8"/>
  <c r="B500" i="8"/>
  <c r="B482" i="8"/>
  <c r="F480" i="8"/>
  <c r="E480" i="8"/>
  <c r="D480" i="8"/>
  <c r="B468" i="8"/>
  <c r="B480" i="8" s="1"/>
  <c r="B462" i="8"/>
  <c r="F460" i="8"/>
  <c r="E460" i="8"/>
  <c r="D460" i="8"/>
  <c r="B460" i="8"/>
  <c r="B442" i="8"/>
  <c r="F440" i="8"/>
  <c r="E440" i="8"/>
  <c r="D440" i="8"/>
  <c r="B422" i="8"/>
  <c r="F420" i="8"/>
  <c r="E420" i="8"/>
  <c r="D420" i="8"/>
  <c r="B420" i="8"/>
  <c r="B402" i="8"/>
  <c r="F400" i="8"/>
  <c r="E400" i="8"/>
  <c r="D400" i="8"/>
  <c r="B400" i="8"/>
  <c r="B382" i="8"/>
  <c r="F380" i="8"/>
  <c r="E380" i="8"/>
  <c r="D380" i="8"/>
  <c r="B380" i="8"/>
  <c r="B362" i="8"/>
  <c r="F360" i="8"/>
  <c r="E360" i="8"/>
  <c r="D360" i="8"/>
  <c r="B360" i="8"/>
  <c r="B342" i="8"/>
  <c r="F340" i="8"/>
  <c r="E340" i="8"/>
  <c r="D340" i="8"/>
  <c r="B340" i="8"/>
  <c r="B322" i="8"/>
  <c r="F320" i="8"/>
  <c r="E320" i="8"/>
  <c r="D320" i="8"/>
  <c r="B320" i="8"/>
  <c r="B302" i="8"/>
  <c r="F300" i="8"/>
  <c r="E300" i="8"/>
  <c r="D300" i="8"/>
  <c r="B300" i="8"/>
  <c r="B282" i="8"/>
  <c r="F280" i="8"/>
  <c r="E280" i="8"/>
  <c r="D280" i="8"/>
  <c r="B280" i="8"/>
  <c r="B262" i="8"/>
  <c r="F260" i="8"/>
  <c r="E260" i="8"/>
  <c r="D260" i="8"/>
  <c r="B260" i="8"/>
  <c r="B242" i="8"/>
  <c r="F240" i="8"/>
  <c r="E240" i="8"/>
  <c r="D240" i="8"/>
  <c r="B240" i="8"/>
  <c r="B222" i="8"/>
  <c r="F220" i="8"/>
  <c r="E220" i="8"/>
  <c r="D220" i="8"/>
  <c r="B220" i="8"/>
  <c r="B202" i="8"/>
  <c r="F200" i="8"/>
  <c r="E200" i="8"/>
  <c r="D200" i="8"/>
  <c r="B200" i="8"/>
  <c r="B182" i="8"/>
  <c r="F180" i="8"/>
  <c r="E180" i="8"/>
  <c r="D180" i="8"/>
  <c r="B180" i="8"/>
  <c r="B162" i="8"/>
  <c r="F160" i="8"/>
  <c r="E160" i="8"/>
  <c r="D160" i="8"/>
  <c r="B160" i="8"/>
  <c r="B142" i="8"/>
  <c r="F140" i="8"/>
  <c r="E140" i="8"/>
  <c r="D140" i="8"/>
  <c r="B140" i="8"/>
  <c r="B122" i="8"/>
  <c r="F120" i="8"/>
  <c r="E120" i="8"/>
  <c r="D120" i="8"/>
  <c r="B120" i="8"/>
  <c r="B102" i="8"/>
  <c r="F100" i="8"/>
  <c r="E100" i="8"/>
  <c r="D100" i="8"/>
  <c r="B100" i="8"/>
  <c r="B82" i="8"/>
  <c r="F80" i="8"/>
  <c r="E80" i="8"/>
  <c r="D80" i="8"/>
  <c r="B80" i="8"/>
  <c r="B62" i="8"/>
  <c r="F60" i="8"/>
  <c r="E60" i="8"/>
  <c r="D60" i="8"/>
  <c r="B60" i="8"/>
  <c r="B42" i="8"/>
  <c r="F40" i="8"/>
  <c r="E40" i="8"/>
  <c r="D40" i="8"/>
  <c r="B40" i="8"/>
  <c r="B22" i="8"/>
  <c r="F20" i="8"/>
  <c r="E20" i="8"/>
  <c r="D20" i="8"/>
  <c r="B20" i="8"/>
  <c r="B2" i="8"/>
  <c r="K7" i="7" l="1"/>
  <c r="F366" i="6"/>
  <c r="I65" i="8"/>
  <c r="I60" i="8"/>
  <c r="I55" i="8"/>
  <c r="I50" i="8"/>
  <c r="I45" i="8"/>
  <c r="I40" i="8"/>
  <c r="I30" i="8"/>
  <c r="I25" i="8"/>
  <c r="K12" i="8"/>
  <c r="K19" i="8"/>
  <c r="L20" i="8" s="1"/>
  <c r="B409" i="6"/>
  <c r="B109" i="6"/>
  <c r="A430" i="6"/>
  <c r="K12" i="7"/>
  <c r="D226" i="6"/>
  <c r="M5" i="7"/>
  <c r="H289" i="7" s="1"/>
  <c r="K5" i="7" l="1"/>
  <c r="D308" i="6"/>
  <c r="B3" i="19" l="1"/>
  <c r="B7" i="19" s="1"/>
  <c r="B12" i="19" l="1"/>
  <c r="C4" i="19"/>
  <c r="C5" i="19"/>
  <c r="C6" i="19"/>
  <c r="C3" i="19"/>
  <c r="C7" i="19" l="1"/>
  <c r="E366" i="6" l="1"/>
  <c r="D22" i="18"/>
  <c r="D23" i="18"/>
  <c r="D24" i="18"/>
  <c r="D25" i="18"/>
  <c r="D26" i="18"/>
  <c r="D27" i="18"/>
  <c r="D29" i="18"/>
  <c r="D30" i="18"/>
  <c r="D31" i="18"/>
  <c r="D32" i="18"/>
  <c r="D33" i="18"/>
  <c r="D34" i="18"/>
  <c r="D14" i="18"/>
  <c r="D15" i="18"/>
  <c r="D16" i="18"/>
  <c r="D17" i="18"/>
  <c r="D18" i="18"/>
  <c r="D19" i="18"/>
  <c r="D20" i="18"/>
  <c r="D21" i="18"/>
  <c r="D13" i="18"/>
  <c r="D43" i="18"/>
  <c r="W36" i="18" l="1"/>
  <c r="X36" i="18" s="1"/>
  <c r="W27" i="18"/>
  <c r="X27" i="18" s="1"/>
  <c r="W19" i="18"/>
  <c r="W39" i="18"/>
  <c r="X39" i="18" s="1"/>
  <c r="W31" i="18"/>
  <c r="X31" i="18" s="1"/>
  <c r="W23" i="18"/>
  <c r="X23" i="18" s="1"/>
  <c r="W15" i="18"/>
  <c r="X15" i="18" s="1"/>
  <c r="W38" i="18"/>
  <c r="X38" i="18" s="1"/>
  <c r="W30" i="18"/>
  <c r="X30" i="18" s="1"/>
  <c r="W22" i="18"/>
  <c r="X22" i="18" s="1"/>
  <c r="W14" i="18"/>
  <c r="X14" i="18" s="1"/>
  <c r="W37" i="18"/>
  <c r="X37" i="18" s="1"/>
  <c r="W29" i="18"/>
  <c r="X29" i="18" s="1"/>
  <c r="W21" i="18"/>
  <c r="X21" i="18" s="1"/>
  <c r="W20" i="18"/>
  <c r="W34" i="18"/>
  <c r="X34" i="18" s="1"/>
  <c r="W26" i="18"/>
  <c r="X26" i="18" s="1"/>
  <c r="W18" i="18"/>
  <c r="X18" i="18" s="1"/>
  <c r="W41" i="18"/>
  <c r="X41" i="18" s="1"/>
  <c r="W33" i="18"/>
  <c r="W25" i="18"/>
  <c r="W17" i="18"/>
  <c r="X17" i="18" s="1"/>
  <c r="W40" i="18"/>
  <c r="X40" i="18" s="1"/>
  <c r="W32" i="18"/>
  <c r="X32" i="18" s="1"/>
  <c r="W24" i="18"/>
  <c r="X24" i="18" s="1"/>
  <c r="W16" i="18"/>
  <c r="X16" i="18" s="1"/>
  <c r="W13" i="18"/>
  <c r="H431" i="6"/>
  <c r="S8" i="1"/>
  <c r="B467" i="6"/>
  <c r="B468" i="6"/>
  <c r="A426" i="6"/>
  <c r="B257" i="6"/>
  <c r="K5" i="18"/>
  <c r="D5" i="18" s="1"/>
  <c r="K4" i="18"/>
  <c r="D4" i="18" s="1"/>
  <c r="K3" i="18"/>
  <c r="D3" i="18" s="1"/>
  <c r="H20" i="18"/>
  <c r="I20" i="18" s="1"/>
  <c r="M20" i="18" l="1"/>
  <c r="O20" i="18" l="1"/>
  <c r="E20" i="18"/>
  <c r="X20" i="18" s="1"/>
  <c r="T71" i="18"/>
  <c r="T68" i="18"/>
  <c r="T69" i="18" s="1"/>
  <c r="T70" i="18" s="1"/>
  <c r="T60" i="18"/>
  <c r="T61" i="18" s="1"/>
  <c r="H59" i="18"/>
  <c r="H58" i="18"/>
  <c r="H57" i="18"/>
  <c r="H56" i="18"/>
  <c r="K35" i="18"/>
  <c r="H35" i="18"/>
  <c r="M35" i="18" s="1"/>
  <c r="N35" i="18" s="1"/>
  <c r="P34" i="18"/>
  <c r="Q34" i="18" s="1"/>
  <c r="H33" i="18"/>
  <c r="M33" i="18" s="1"/>
  <c r="P30" i="18"/>
  <c r="Q30" i="18" s="1"/>
  <c r="P29" i="18"/>
  <c r="Q29" i="18" s="1"/>
  <c r="K28" i="18"/>
  <c r="H28" i="18"/>
  <c r="M28" i="18" s="1"/>
  <c r="H25" i="18"/>
  <c r="M25" i="18" s="1"/>
  <c r="N25" i="18" s="1"/>
  <c r="Q24" i="18"/>
  <c r="Q21" i="18"/>
  <c r="H19" i="18"/>
  <c r="M19" i="18" s="1"/>
  <c r="N19" i="18" s="1"/>
  <c r="Q14" i="18"/>
  <c r="S13" i="18" s="1"/>
  <c r="H13" i="18"/>
  <c r="I13" i="18" s="1"/>
  <c r="J13" i="18" s="1"/>
  <c r="H5" i="18"/>
  <c r="M5" i="18" s="1"/>
  <c r="H4" i="18"/>
  <c r="M4" i="18" s="1"/>
  <c r="H3" i="18"/>
  <c r="I3" i="18" s="1"/>
  <c r="J3" i="18" s="1"/>
  <c r="S19" i="18" l="1"/>
  <c r="I4" i="18"/>
  <c r="J4" i="18" s="1"/>
  <c r="I25" i="18"/>
  <c r="J25" i="18" s="1"/>
  <c r="M3" i="18"/>
  <c r="N3" i="18" s="1"/>
  <c r="O3" i="18" s="1"/>
  <c r="P20" i="18"/>
  <c r="Q20" i="18" s="1"/>
  <c r="D35" i="18"/>
  <c r="W35" i="18" s="1"/>
  <c r="D28" i="18"/>
  <c r="W28" i="18" s="1"/>
  <c r="M13" i="18"/>
  <c r="N13" i="18" s="1"/>
  <c r="I33" i="18"/>
  <c r="I19" i="18"/>
  <c r="J19" i="18" s="1"/>
  <c r="O19" i="18" s="1"/>
  <c r="I28" i="18"/>
  <c r="J28" i="18" s="1"/>
  <c r="I35" i="18"/>
  <c r="J35" i="18" s="1"/>
  <c r="O35" i="18" s="1"/>
  <c r="N28" i="18"/>
  <c r="N5" i="18"/>
  <c r="O25" i="18"/>
  <c r="N33" i="18"/>
  <c r="N4" i="18"/>
  <c r="I5" i="18"/>
  <c r="E13" i="18"/>
  <c r="X13" i="18" s="1"/>
  <c r="P3" i="18"/>
  <c r="E3" i="18"/>
  <c r="E25" i="18"/>
  <c r="X25" i="18" s="1"/>
  <c r="B46" i="7"/>
  <c r="P25" i="18" l="1"/>
  <c r="Q25" i="18" s="1"/>
  <c r="J33" i="18"/>
  <c r="O33" i="18" s="1"/>
  <c r="Q3" i="18"/>
  <c r="O28" i="18"/>
  <c r="O42" i="18" s="1"/>
  <c r="W42" i="18"/>
  <c r="D42" i="18"/>
  <c r="N42" i="18"/>
  <c r="E35" i="18"/>
  <c r="P35" i="18" s="1"/>
  <c r="E19" i="18"/>
  <c r="X19" i="18" s="1"/>
  <c r="O4" i="18"/>
  <c r="E4" i="18"/>
  <c r="E28" i="18"/>
  <c r="X28" i="18" s="1"/>
  <c r="J5" i="18"/>
  <c r="O5" i="18" s="1"/>
  <c r="D51" i="6"/>
  <c r="X35" i="18" l="1"/>
  <c r="E33" i="18"/>
  <c r="J42" i="18"/>
  <c r="Q35" i="18"/>
  <c r="D7" i="19"/>
  <c r="E42" i="18"/>
  <c r="P4" i="18"/>
  <c r="Q4" i="18" s="1"/>
  <c r="E5" i="18"/>
  <c r="P28" i="18"/>
  <c r="A429" i="6"/>
  <c r="X33" i="18" l="1"/>
  <c r="X42" i="18" s="1"/>
  <c r="P33" i="18"/>
  <c r="Q33" i="18" s="1"/>
  <c r="D6" i="19"/>
  <c r="D5" i="19"/>
  <c r="D4" i="19"/>
  <c r="D3" i="19"/>
  <c r="Q28" i="18"/>
  <c r="S28" i="18" s="1"/>
  <c r="P42" i="18"/>
  <c r="P5" i="18"/>
  <c r="Q5" i="18" s="1"/>
  <c r="Q42" i="18" l="1"/>
  <c r="Y42" i="18"/>
  <c r="Z42" i="18" s="1"/>
  <c r="G20" i="17"/>
  <c r="G21" i="17" s="1"/>
  <c r="G22" i="17" s="1"/>
  <c r="G23" i="17" s="1"/>
  <c r="G24" i="17" s="1"/>
  <c r="G25" i="17" s="1"/>
  <c r="G26" i="17" s="1"/>
  <c r="G27" i="17" s="1"/>
  <c r="G28" i="17" s="1"/>
  <c r="G29" i="17" s="1"/>
  <c r="G30" i="17" s="1"/>
  <c r="G31" i="17" s="1"/>
  <c r="G32" i="17" s="1"/>
  <c r="G33" i="17" s="1"/>
  <c r="G34" i="17" s="1"/>
  <c r="G35" i="17" s="1"/>
  <c r="G36" i="17" s="1"/>
  <c r="G37" i="17" s="1"/>
  <c r="G38" i="17" s="1"/>
  <c r="G39" i="17" s="1"/>
  <c r="G40" i="17" s="1"/>
  <c r="G41" i="17" s="1"/>
  <c r="G42" i="17" s="1"/>
  <c r="G43" i="17" s="1"/>
  <c r="G44" i="17" s="1"/>
  <c r="G45" i="17" s="1"/>
  <c r="G46" i="17" s="1"/>
  <c r="G47" i="17" s="1"/>
  <c r="G48" i="17" s="1"/>
  <c r="G49" i="17" s="1"/>
  <c r="G50" i="17" s="1"/>
  <c r="G51" i="17" s="1"/>
  <c r="G52" i="17" s="1"/>
  <c r="G53" i="17" s="1"/>
  <c r="G54" i="17" s="1"/>
  <c r="G55" i="17" s="1"/>
  <c r="G56" i="17" s="1"/>
  <c r="G57" i="17" s="1"/>
  <c r="G58" i="17" s="1"/>
  <c r="G59" i="17" s="1"/>
  <c r="G60" i="17" s="1"/>
  <c r="G61" i="17" s="1"/>
  <c r="G62" i="17" s="1"/>
  <c r="G63" i="17" s="1"/>
  <c r="D146" i="6"/>
  <c r="D47" i="6" s="1"/>
  <c r="B257" i="5" l="1"/>
  <c r="B468" i="5"/>
  <c r="K11" i="6"/>
  <c r="B308" i="5" l="1"/>
  <c r="A430" i="5" s="1"/>
  <c r="F520" i="7" l="1"/>
  <c r="E520" i="7"/>
  <c r="D520" i="7"/>
  <c r="B520" i="7"/>
  <c r="B502" i="7"/>
  <c r="F500" i="7"/>
  <c r="E500" i="7"/>
  <c r="D500" i="7"/>
  <c r="B500" i="7"/>
  <c r="B482" i="7"/>
  <c r="F480" i="7"/>
  <c r="E480" i="7"/>
  <c r="D480" i="7"/>
  <c r="B468" i="7"/>
  <c r="B480" i="7" s="1"/>
  <c r="B462" i="7"/>
  <c r="F460" i="7"/>
  <c r="E460" i="7"/>
  <c r="D460" i="7"/>
  <c r="B460" i="7"/>
  <c r="B442" i="7"/>
  <c r="F440" i="7"/>
  <c r="E440" i="7"/>
  <c r="D440" i="7"/>
  <c r="B422" i="7"/>
  <c r="F420" i="7"/>
  <c r="E420" i="7"/>
  <c r="D420" i="7"/>
  <c r="B420" i="7"/>
  <c r="B402" i="7"/>
  <c r="F400" i="7"/>
  <c r="E400" i="7"/>
  <c r="D400" i="7"/>
  <c r="B400" i="7"/>
  <c r="B382" i="7"/>
  <c r="F380" i="7"/>
  <c r="E380" i="7"/>
  <c r="D380" i="7"/>
  <c r="B380" i="7"/>
  <c r="B362" i="7"/>
  <c r="F360" i="7"/>
  <c r="E360" i="7"/>
  <c r="D360" i="7"/>
  <c r="B360" i="7"/>
  <c r="B342" i="7"/>
  <c r="F340" i="7"/>
  <c r="E340" i="7"/>
  <c r="D340" i="7"/>
  <c r="B340" i="7"/>
  <c r="B322" i="7"/>
  <c r="F320" i="7"/>
  <c r="E320" i="7"/>
  <c r="D320" i="7"/>
  <c r="B320" i="7"/>
  <c r="B302" i="7"/>
  <c r="F300" i="7"/>
  <c r="E300" i="7"/>
  <c r="D300" i="7"/>
  <c r="B300" i="7"/>
  <c r="B282" i="7"/>
  <c r="F280" i="7"/>
  <c r="E280" i="7"/>
  <c r="D280" i="7"/>
  <c r="B280" i="7"/>
  <c r="B262" i="7"/>
  <c r="F260" i="7"/>
  <c r="E260" i="7"/>
  <c r="D260" i="7"/>
  <c r="B260" i="7"/>
  <c r="B242" i="7"/>
  <c r="F240" i="7"/>
  <c r="E240" i="7"/>
  <c r="D240" i="7"/>
  <c r="B240" i="7"/>
  <c r="B222" i="7"/>
  <c r="F220" i="7"/>
  <c r="E220" i="7"/>
  <c r="D220" i="7"/>
  <c r="B220" i="7"/>
  <c r="B202" i="7"/>
  <c r="F200" i="7"/>
  <c r="E200" i="7"/>
  <c r="D200" i="7"/>
  <c r="B200" i="7"/>
  <c r="B182" i="7"/>
  <c r="F180" i="7"/>
  <c r="E180" i="7"/>
  <c r="D180" i="7"/>
  <c r="B180" i="7"/>
  <c r="B162" i="7"/>
  <c r="F160" i="7"/>
  <c r="E160" i="7"/>
  <c r="D160" i="7"/>
  <c r="B160" i="7"/>
  <c r="B142" i="7"/>
  <c r="F140" i="7"/>
  <c r="E140" i="7"/>
  <c r="D140" i="7"/>
  <c r="B140" i="7"/>
  <c r="B122" i="7"/>
  <c r="F120" i="7"/>
  <c r="E120" i="7"/>
  <c r="D120" i="7"/>
  <c r="B120" i="7"/>
  <c r="B102" i="7"/>
  <c r="F100" i="7"/>
  <c r="E100" i="7"/>
  <c r="D100" i="7"/>
  <c r="B100" i="7"/>
  <c r="B82" i="7"/>
  <c r="F80" i="7"/>
  <c r="E80" i="7"/>
  <c r="D80" i="7"/>
  <c r="B80" i="7"/>
  <c r="I65" i="7"/>
  <c r="B62" i="7"/>
  <c r="I60" i="7"/>
  <c r="F60" i="7"/>
  <c r="E60" i="7"/>
  <c r="D60" i="7"/>
  <c r="B60" i="7"/>
  <c r="I55" i="7"/>
  <c r="I50" i="7"/>
  <c r="I45" i="7"/>
  <c r="B42" i="7"/>
  <c r="I40" i="7"/>
  <c r="F40" i="7"/>
  <c r="E40" i="7"/>
  <c r="D40" i="7"/>
  <c r="B40" i="7"/>
  <c r="I30" i="7"/>
  <c r="I25" i="7"/>
  <c r="B22" i="7"/>
  <c r="F20" i="7"/>
  <c r="E20" i="7"/>
  <c r="D20" i="7"/>
  <c r="B20" i="7"/>
  <c r="K19" i="7"/>
  <c r="L20" i="7" s="1"/>
  <c r="B2" i="7"/>
  <c r="F366" i="5" l="1"/>
  <c r="M25" i="5" l="1"/>
  <c r="E407" i="5" l="1"/>
  <c r="D167" i="5" l="1"/>
  <c r="D186" i="5"/>
  <c r="D306" i="5"/>
  <c r="J56" i="5" l="1"/>
  <c r="J55" i="5"/>
  <c r="B109" i="4" l="1"/>
  <c r="K10" i="1"/>
  <c r="D226" i="4"/>
  <c r="K12" i="5"/>
  <c r="F366" i="4"/>
  <c r="D126" i="4" l="1"/>
  <c r="B467" i="4" l="1"/>
  <c r="B468" i="4"/>
  <c r="A257" i="4"/>
  <c r="A258" i="4"/>
  <c r="A259" i="4"/>
  <c r="A256" i="4"/>
  <c r="A246" i="4"/>
  <c r="B127" i="4"/>
  <c r="B126" i="4"/>
  <c r="M46" i="4"/>
  <c r="F520" i="6" l="1"/>
  <c r="E520" i="6"/>
  <c r="D520" i="6"/>
  <c r="B520" i="6"/>
  <c r="B502" i="6"/>
  <c r="F500" i="6"/>
  <c r="E500" i="6"/>
  <c r="D500" i="6"/>
  <c r="B500" i="6"/>
  <c r="B482" i="6"/>
  <c r="F480" i="6"/>
  <c r="E480" i="6"/>
  <c r="D480" i="6"/>
  <c r="B480" i="6"/>
  <c r="B462" i="6"/>
  <c r="F460" i="6"/>
  <c r="E460" i="6"/>
  <c r="D460" i="6"/>
  <c r="B460" i="6"/>
  <c r="B442" i="6"/>
  <c r="F440" i="6"/>
  <c r="E440" i="6"/>
  <c r="D440" i="6"/>
  <c r="B422" i="6"/>
  <c r="F420" i="6"/>
  <c r="E420" i="6"/>
  <c r="D420" i="6"/>
  <c r="B420" i="6"/>
  <c r="B402" i="6"/>
  <c r="F400" i="6"/>
  <c r="E400" i="6"/>
  <c r="D400" i="6"/>
  <c r="B400" i="6"/>
  <c r="B382" i="6"/>
  <c r="F380" i="6"/>
  <c r="E380" i="6"/>
  <c r="D380" i="6"/>
  <c r="B380" i="6"/>
  <c r="B362" i="6"/>
  <c r="F360" i="6"/>
  <c r="E360" i="6"/>
  <c r="D360" i="6"/>
  <c r="B360" i="6"/>
  <c r="B342" i="6"/>
  <c r="F340" i="6"/>
  <c r="E340" i="6"/>
  <c r="D340" i="6"/>
  <c r="B340" i="6"/>
  <c r="B322" i="6"/>
  <c r="F320" i="6"/>
  <c r="E320" i="6"/>
  <c r="D320" i="6"/>
  <c r="B320" i="6"/>
  <c r="B302" i="6"/>
  <c r="F300" i="6"/>
  <c r="E300" i="6"/>
  <c r="D300" i="6"/>
  <c r="B300" i="6"/>
  <c r="B282" i="6"/>
  <c r="F280" i="6"/>
  <c r="E280" i="6"/>
  <c r="D280" i="6"/>
  <c r="B280" i="6"/>
  <c r="B262" i="6"/>
  <c r="F260" i="6"/>
  <c r="E260" i="6"/>
  <c r="D260" i="6"/>
  <c r="B260" i="6"/>
  <c r="B242" i="6"/>
  <c r="F240" i="6"/>
  <c r="E240" i="6"/>
  <c r="D240" i="6"/>
  <c r="B240" i="6"/>
  <c r="B222" i="6"/>
  <c r="F220" i="6"/>
  <c r="E220" i="6"/>
  <c r="D220" i="6"/>
  <c r="B220" i="6"/>
  <c r="B202" i="6"/>
  <c r="F200" i="6"/>
  <c r="E200" i="6"/>
  <c r="D200" i="6"/>
  <c r="B200" i="6"/>
  <c r="B182" i="6"/>
  <c r="F180" i="6"/>
  <c r="E180" i="6"/>
  <c r="D180" i="6"/>
  <c r="B180" i="6"/>
  <c r="B162" i="6"/>
  <c r="F160" i="6"/>
  <c r="E160" i="6"/>
  <c r="D160" i="6"/>
  <c r="B160" i="6"/>
  <c r="B142" i="6"/>
  <c r="F140" i="6"/>
  <c r="E140" i="6"/>
  <c r="D140" i="6"/>
  <c r="B140" i="6"/>
  <c r="B122" i="6"/>
  <c r="F120" i="6"/>
  <c r="E120" i="6"/>
  <c r="D120" i="6"/>
  <c r="B120" i="6"/>
  <c r="B102" i="6"/>
  <c r="F100" i="6"/>
  <c r="E100" i="6"/>
  <c r="D100" i="6"/>
  <c r="B100" i="6"/>
  <c r="B82" i="6"/>
  <c r="F80" i="6"/>
  <c r="E80" i="6"/>
  <c r="D80" i="6"/>
  <c r="B80" i="6"/>
  <c r="I65" i="6"/>
  <c r="B62" i="6"/>
  <c r="I60" i="6"/>
  <c r="F60" i="6"/>
  <c r="E60" i="6"/>
  <c r="D60" i="6"/>
  <c r="B60" i="6"/>
  <c r="I55" i="6"/>
  <c r="I50" i="6"/>
  <c r="I45" i="6"/>
  <c r="B42" i="6"/>
  <c r="I40" i="6"/>
  <c r="F40" i="6"/>
  <c r="E40" i="6"/>
  <c r="D40" i="6"/>
  <c r="B40" i="6"/>
  <c r="I30" i="6"/>
  <c r="I25" i="6"/>
  <c r="B22" i="6"/>
  <c r="F20" i="6"/>
  <c r="E20" i="6"/>
  <c r="D20" i="6"/>
  <c r="B20" i="6"/>
  <c r="K19" i="6"/>
  <c r="L20" i="6" s="1"/>
  <c r="B2" i="6"/>
  <c r="A127" i="5"/>
  <c r="A127" i="6" s="1"/>
  <c r="A127" i="7" s="1"/>
  <c r="A127" i="8" s="1"/>
  <c r="A129" i="5"/>
  <c r="A129" i="6" s="1"/>
  <c r="A129" i="7" s="1"/>
  <c r="A129" i="8" s="1"/>
  <c r="A126" i="5"/>
  <c r="A126" i="6" s="1"/>
  <c r="A126" i="7" s="1"/>
  <c r="A126" i="8" s="1"/>
  <c r="A140" i="8" s="1"/>
  <c r="A140" i="7" l="1"/>
  <c r="A140" i="6"/>
  <c r="A140" i="5"/>
  <c r="B308" i="4" l="1"/>
  <c r="J55" i="4"/>
  <c r="E7" i="4"/>
  <c r="B502" i="5" l="1"/>
  <c r="F500" i="5"/>
  <c r="E500" i="5"/>
  <c r="D500" i="5"/>
  <c r="B500" i="5"/>
  <c r="B482" i="5"/>
  <c r="B462" i="5"/>
  <c r="F460" i="5"/>
  <c r="E460" i="5"/>
  <c r="D460" i="5"/>
  <c r="B460" i="5"/>
  <c r="B442" i="5"/>
  <c r="B422" i="5"/>
  <c r="B402" i="5"/>
  <c r="B382" i="5"/>
  <c r="B362" i="5"/>
  <c r="B342" i="5"/>
  <c r="B322" i="5"/>
  <c r="B302" i="5"/>
  <c r="B282" i="5"/>
  <c r="B262" i="5"/>
  <c r="B242" i="5"/>
  <c r="B222" i="5"/>
  <c r="B202" i="5"/>
  <c r="B182" i="5"/>
  <c r="B162" i="5"/>
  <c r="B142" i="5"/>
  <c r="D52" i="4"/>
  <c r="B122" i="5"/>
  <c r="B102" i="5"/>
  <c r="B82" i="5"/>
  <c r="B62" i="5"/>
  <c r="B42" i="5"/>
  <c r="B22" i="5"/>
  <c r="B2" i="5"/>
  <c r="B27" i="4"/>
  <c r="D53" i="4"/>
  <c r="K19" i="5" l="1"/>
  <c r="L20" i="5" s="1"/>
  <c r="B20" i="5"/>
  <c r="D20" i="5"/>
  <c r="E20" i="5"/>
  <c r="F20" i="5"/>
  <c r="I25" i="5"/>
  <c r="I30" i="5"/>
  <c r="B40" i="5"/>
  <c r="D40" i="5"/>
  <c r="E40" i="5"/>
  <c r="F40" i="5"/>
  <c r="I40" i="5"/>
  <c r="I45" i="5"/>
  <c r="I50" i="5"/>
  <c r="I55" i="5"/>
  <c r="B60" i="5"/>
  <c r="D60" i="5"/>
  <c r="E60" i="5"/>
  <c r="F60" i="5"/>
  <c r="I60" i="5"/>
  <c r="I65" i="5"/>
  <c r="B80" i="5"/>
  <c r="D80" i="5"/>
  <c r="E80" i="5"/>
  <c r="F80" i="5"/>
  <c r="B100" i="5"/>
  <c r="D100" i="5"/>
  <c r="E100" i="5"/>
  <c r="F100" i="5"/>
  <c r="B120" i="5"/>
  <c r="D120" i="5"/>
  <c r="E120" i="5"/>
  <c r="F120" i="5"/>
  <c r="B140" i="5"/>
  <c r="D140" i="5"/>
  <c r="E140" i="5"/>
  <c r="F140" i="5"/>
  <c r="B160" i="5"/>
  <c r="D160" i="5"/>
  <c r="E160" i="5"/>
  <c r="F160" i="5"/>
  <c r="B180" i="5"/>
  <c r="D180" i="5"/>
  <c r="E180" i="5"/>
  <c r="F180" i="5"/>
  <c r="B200" i="5"/>
  <c r="D200" i="5"/>
  <c r="E200" i="5"/>
  <c r="F200" i="5"/>
  <c r="B220" i="5"/>
  <c r="D220" i="5"/>
  <c r="E220" i="5"/>
  <c r="F220" i="5"/>
  <c r="B240" i="5"/>
  <c r="D240" i="5"/>
  <c r="E240" i="5"/>
  <c r="F240" i="5"/>
  <c r="B260" i="5"/>
  <c r="D260" i="5"/>
  <c r="E260" i="5"/>
  <c r="F260" i="5"/>
  <c r="B280" i="5"/>
  <c r="D280" i="5"/>
  <c r="E280" i="5"/>
  <c r="F280" i="5"/>
  <c r="B300" i="5"/>
  <c r="D300" i="5"/>
  <c r="E300" i="5"/>
  <c r="F300" i="5"/>
  <c r="B320" i="5"/>
  <c r="D320" i="5"/>
  <c r="E320" i="5"/>
  <c r="F320" i="5"/>
  <c r="B340" i="5"/>
  <c r="D340" i="5"/>
  <c r="E340" i="5"/>
  <c r="F340" i="5"/>
  <c r="B360" i="5"/>
  <c r="D360" i="5"/>
  <c r="E360" i="5"/>
  <c r="F360" i="5"/>
  <c r="B380" i="5"/>
  <c r="D380" i="5"/>
  <c r="E380" i="5"/>
  <c r="F380" i="5"/>
  <c r="B400" i="5"/>
  <c r="D400" i="5"/>
  <c r="E400" i="5"/>
  <c r="F400" i="5"/>
  <c r="B420" i="5"/>
  <c r="D420" i="5"/>
  <c r="E420" i="5"/>
  <c r="F420" i="5"/>
  <c r="D440" i="5"/>
  <c r="E440" i="5"/>
  <c r="F440" i="5"/>
  <c r="B480" i="5"/>
  <c r="D480" i="5"/>
  <c r="E480" i="5"/>
  <c r="F480" i="5"/>
  <c r="B520" i="5"/>
  <c r="D520" i="5"/>
  <c r="E520" i="5"/>
  <c r="F520" i="5"/>
  <c r="N59" i="1" l="1"/>
  <c r="D51" i="4" l="1"/>
  <c r="D247" i="4"/>
  <c r="F68" i="4"/>
  <c r="D49" i="4"/>
  <c r="D67" i="4"/>
  <c r="A173" i="2" l="1"/>
  <c r="A166" i="2"/>
  <c r="D74" i="1"/>
  <c r="A78" i="4" l="1"/>
  <c r="B25" i="15" l="1"/>
  <c r="B467" i="3" l="1"/>
  <c r="A428" i="3"/>
  <c r="F366" i="3"/>
  <c r="D70" i="3"/>
  <c r="D55" i="3" l="1"/>
  <c r="D54" i="3"/>
  <c r="D53" i="3" l="1"/>
  <c r="F520" i="4"/>
  <c r="E520" i="4"/>
  <c r="D520" i="4"/>
  <c r="B520" i="4"/>
  <c r="B502" i="4"/>
  <c r="F500" i="4"/>
  <c r="E500" i="4"/>
  <c r="D500" i="4"/>
  <c r="B500" i="4"/>
  <c r="B482" i="4"/>
  <c r="F480" i="4"/>
  <c r="E480" i="4"/>
  <c r="D480" i="4"/>
  <c r="B480" i="4"/>
  <c r="B462" i="4"/>
  <c r="F460" i="4"/>
  <c r="E460" i="4"/>
  <c r="D460" i="4"/>
  <c r="B460" i="4"/>
  <c r="B442" i="4"/>
  <c r="F440" i="4"/>
  <c r="E440" i="4"/>
  <c r="D440" i="4"/>
  <c r="B422" i="4"/>
  <c r="F420" i="4"/>
  <c r="E420" i="4"/>
  <c r="D420" i="4"/>
  <c r="B420" i="4"/>
  <c r="B402" i="4"/>
  <c r="F400" i="4"/>
  <c r="E400" i="4"/>
  <c r="D400" i="4"/>
  <c r="B400" i="4"/>
  <c r="B382" i="4"/>
  <c r="E380" i="4"/>
  <c r="B380" i="4"/>
  <c r="D380" i="4"/>
  <c r="F380" i="4"/>
  <c r="B362" i="4"/>
  <c r="F360" i="4"/>
  <c r="E360" i="4"/>
  <c r="D360" i="4"/>
  <c r="B360" i="4"/>
  <c r="B342" i="4"/>
  <c r="F340" i="4"/>
  <c r="E340" i="4"/>
  <c r="D340" i="4"/>
  <c r="B340" i="4"/>
  <c r="B322" i="4"/>
  <c r="F320" i="4"/>
  <c r="E320" i="4"/>
  <c r="D320" i="4"/>
  <c r="B320" i="4"/>
  <c r="B302" i="4"/>
  <c r="F300" i="4"/>
  <c r="E300" i="4"/>
  <c r="D300" i="4"/>
  <c r="B300" i="4"/>
  <c r="B282" i="4"/>
  <c r="F280" i="4"/>
  <c r="E280" i="4"/>
  <c r="D280" i="4"/>
  <c r="B280" i="4"/>
  <c r="B262" i="4"/>
  <c r="F260" i="4"/>
  <c r="E260" i="4"/>
  <c r="D260" i="4"/>
  <c r="B260" i="4"/>
  <c r="B242" i="4"/>
  <c r="F240" i="4"/>
  <c r="E240" i="4"/>
  <c r="D240" i="4"/>
  <c r="B240" i="4"/>
  <c r="B222" i="4"/>
  <c r="F220" i="4"/>
  <c r="E220" i="4"/>
  <c r="D220" i="4"/>
  <c r="B220" i="4"/>
  <c r="B202" i="4"/>
  <c r="F200" i="4"/>
  <c r="E200" i="4"/>
  <c r="D200" i="4"/>
  <c r="B200" i="4"/>
  <c r="B182" i="4"/>
  <c r="F180" i="4"/>
  <c r="E180" i="4"/>
  <c r="D180" i="4"/>
  <c r="B180" i="4"/>
  <c r="B162" i="4"/>
  <c r="F160" i="4"/>
  <c r="E160" i="4"/>
  <c r="B160" i="4"/>
  <c r="D160" i="4"/>
  <c r="B142" i="4"/>
  <c r="F140" i="4"/>
  <c r="E140" i="4"/>
  <c r="D140" i="4"/>
  <c r="B140" i="4"/>
  <c r="B122" i="4"/>
  <c r="F120" i="4"/>
  <c r="E120" i="4"/>
  <c r="D120" i="4"/>
  <c r="B120" i="4"/>
  <c r="B102" i="4"/>
  <c r="F100" i="4"/>
  <c r="E100" i="4"/>
  <c r="D100" i="4"/>
  <c r="B100" i="4"/>
  <c r="B82" i="4"/>
  <c r="F80" i="4"/>
  <c r="E80" i="4"/>
  <c r="B80" i="4"/>
  <c r="D80" i="4"/>
  <c r="B62" i="4"/>
  <c r="F60" i="4"/>
  <c r="E60" i="4"/>
  <c r="B60" i="4"/>
  <c r="D60" i="4"/>
  <c r="B42" i="4"/>
  <c r="F40" i="4"/>
  <c r="E40" i="4"/>
  <c r="D40" i="4"/>
  <c r="B40" i="4"/>
  <c r="B22" i="4"/>
  <c r="F20" i="4"/>
  <c r="E20" i="4"/>
  <c r="D20" i="4"/>
  <c r="B20" i="4"/>
  <c r="B2" i="4"/>
  <c r="D366" i="3" l="1"/>
  <c r="D69" i="3"/>
  <c r="D326" i="3" l="1"/>
  <c r="D187" i="3" s="1"/>
  <c r="D367" i="3" l="1"/>
  <c r="B468" i="3" l="1"/>
  <c r="D146" i="3" l="1"/>
  <c r="D47" i="3" s="1"/>
  <c r="K7" i="3" l="1"/>
  <c r="K5" i="3"/>
  <c r="K11" i="3"/>
  <c r="D366" i="2"/>
  <c r="F366" i="2"/>
  <c r="A426" i="2" l="1"/>
  <c r="M45" i="2" l="1"/>
  <c r="A66" i="2" l="1"/>
  <c r="A66" i="3" s="1"/>
  <c r="A66" i="4" l="1"/>
  <c r="A66" i="5" s="1"/>
  <c r="A66" i="6" s="1"/>
  <c r="D57" i="2"/>
  <c r="A66" i="7" l="1"/>
  <c r="D58" i="2"/>
  <c r="A66" i="8" l="1"/>
  <c r="D56" i="2"/>
  <c r="D55" i="2"/>
  <c r="D54" i="2"/>
  <c r="A66" i="9" l="1"/>
  <c r="B467" i="2"/>
  <c r="A79" i="2" l="1"/>
  <c r="A79" i="3" s="1"/>
  <c r="A79" i="4" s="1"/>
  <c r="A79" i="5" s="1"/>
  <c r="A80" i="5" l="1"/>
  <c r="A79" i="6"/>
  <c r="A80" i="2"/>
  <c r="D53" i="2"/>
  <c r="D306" i="2"/>
  <c r="F72" i="1"/>
  <c r="F73" i="1" s="1"/>
  <c r="D75" i="1"/>
  <c r="D76" i="1" s="1"/>
  <c r="A79" i="7" l="1"/>
  <c r="A80" i="6"/>
  <c r="K11" i="2"/>
  <c r="A79" i="8" l="1"/>
  <c r="A80" i="7"/>
  <c r="A80" i="3"/>
  <c r="A80" i="4"/>
  <c r="AZ18" i="1"/>
  <c r="A79" i="9" l="1"/>
  <c r="A80" i="9" s="1"/>
  <c r="A80" i="8"/>
  <c r="K16" i="1"/>
  <c r="A108" i="2"/>
  <c r="A28" i="2"/>
  <c r="A13" i="2"/>
  <c r="A12" i="2"/>
  <c r="A9" i="2"/>
  <c r="A8" i="2"/>
  <c r="A7" i="2"/>
  <c r="A6" i="2"/>
  <c r="A10" i="2"/>
  <c r="A11" i="2"/>
  <c r="A27" i="2"/>
  <c r="A29" i="2"/>
  <c r="A30" i="2"/>
  <c r="A106" i="2"/>
  <c r="A107" i="2"/>
  <c r="A109" i="2"/>
  <c r="A466" i="2"/>
  <c r="A467" i="2"/>
  <c r="F520" i="13"/>
  <c r="E520" i="13"/>
  <c r="D520" i="13"/>
  <c r="B520" i="13"/>
  <c r="B502" i="13"/>
  <c r="F500" i="13"/>
  <c r="E500" i="13"/>
  <c r="D500" i="13"/>
  <c r="B500" i="13"/>
  <c r="B482" i="13"/>
  <c r="F480" i="13"/>
  <c r="E480" i="13"/>
  <c r="D480" i="13"/>
  <c r="B480" i="13"/>
  <c r="B462" i="13"/>
  <c r="F460" i="13"/>
  <c r="E460" i="13"/>
  <c r="D460" i="13"/>
  <c r="B460" i="13"/>
  <c r="B442" i="13"/>
  <c r="F440" i="13"/>
  <c r="E440" i="13"/>
  <c r="D440" i="13"/>
  <c r="B422" i="13"/>
  <c r="F420" i="13"/>
  <c r="E420" i="13"/>
  <c r="D420" i="13"/>
  <c r="B420" i="13"/>
  <c r="B402" i="13"/>
  <c r="F400" i="13"/>
  <c r="E400" i="13"/>
  <c r="D400" i="13"/>
  <c r="B400" i="13"/>
  <c r="B382" i="13"/>
  <c r="F380" i="13"/>
  <c r="E380" i="13"/>
  <c r="D380" i="13"/>
  <c r="B380" i="13"/>
  <c r="B362" i="13"/>
  <c r="F360" i="13"/>
  <c r="E360" i="13"/>
  <c r="D360" i="13"/>
  <c r="B360" i="13"/>
  <c r="B342" i="13"/>
  <c r="F340" i="13"/>
  <c r="E340" i="13"/>
  <c r="D340" i="13"/>
  <c r="B340" i="13"/>
  <c r="B322" i="13"/>
  <c r="F320" i="13"/>
  <c r="E320" i="13"/>
  <c r="D320" i="13"/>
  <c r="B320" i="13"/>
  <c r="B302" i="13"/>
  <c r="F300" i="13"/>
  <c r="E300" i="13"/>
  <c r="D300" i="13"/>
  <c r="B300" i="13"/>
  <c r="B282" i="13"/>
  <c r="F280" i="13"/>
  <c r="E280" i="13"/>
  <c r="D280" i="13"/>
  <c r="B280" i="13"/>
  <c r="B262" i="13"/>
  <c r="F260" i="13"/>
  <c r="E260" i="13"/>
  <c r="D260" i="13"/>
  <c r="B260" i="13"/>
  <c r="B242" i="13"/>
  <c r="F240" i="13"/>
  <c r="E240" i="13"/>
  <c r="D240" i="13"/>
  <c r="B240" i="13"/>
  <c r="B222" i="13"/>
  <c r="F220" i="13"/>
  <c r="E220" i="13"/>
  <c r="D220" i="13"/>
  <c r="B220" i="13"/>
  <c r="B202" i="13"/>
  <c r="F200" i="13"/>
  <c r="E200" i="13"/>
  <c r="D200" i="13"/>
  <c r="B200" i="13"/>
  <c r="B182" i="13"/>
  <c r="F180" i="13"/>
  <c r="E180" i="13"/>
  <c r="D180" i="13"/>
  <c r="B180" i="13"/>
  <c r="B162" i="13"/>
  <c r="F160" i="13"/>
  <c r="E160" i="13"/>
  <c r="D160" i="13"/>
  <c r="B160" i="13"/>
  <c r="B142" i="13"/>
  <c r="F140" i="13"/>
  <c r="E140" i="13"/>
  <c r="D140" i="13"/>
  <c r="B140" i="13"/>
  <c r="B122" i="13"/>
  <c r="F120" i="13"/>
  <c r="E120" i="13"/>
  <c r="D120" i="13"/>
  <c r="B120" i="13"/>
  <c r="B102" i="13"/>
  <c r="F100" i="13"/>
  <c r="E100" i="13"/>
  <c r="D100" i="13"/>
  <c r="B100" i="13"/>
  <c r="B82" i="13"/>
  <c r="F80" i="13"/>
  <c r="E80" i="13"/>
  <c r="D80" i="13"/>
  <c r="B80" i="13"/>
  <c r="I65" i="13"/>
  <c r="B62" i="13"/>
  <c r="I60" i="13"/>
  <c r="F60" i="13"/>
  <c r="E60" i="13"/>
  <c r="D60" i="13"/>
  <c r="B60" i="13"/>
  <c r="I55" i="13"/>
  <c r="I50" i="13"/>
  <c r="I45" i="13"/>
  <c r="B42" i="13"/>
  <c r="I40" i="13"/>
  <c r="F40" i="13"/>
  <c r="E40" i="13"/>
  <c r="D40" i="13"/>
  <c r="B40" i="13"/>
  <c r="I30" i="13"/>
  <c r="I25" i="13"/>
  <c r="B22" i="13"/>
  <c r="F20" i="13"/>
  <c r="E20" i="13"/>
  <c r="D20" i="13"/>
  <c r="B20" i="13"/>
  <c r="K19" i="13"/>
  <c r="L20" i="13" s="1"/>
  <c r="B2" i="13"/>
  <c r="F520" i="12"/>
  <c r="E520" i="12"/>
  <c r="D520" i="12"/>
  <c r="B520" i="12"/>
  <c r="B502" i="12"/>
  <c r="F500" i="12"/>
  <c r="E500" i="12"/>
  <c r="D500" i="12"/>
  <c r="B500" i="12"/>
  <c r="B482" i="12"/>
  <c r="F480" i="12"/>
  <c r="E480" i="12"/>
  <c r="D480" i="12"/>
  <c r="B480" i="12"/>
  <c r="B462" i="12"/>
  <c r="F460" i="12"/>
  <c r="E460" i="12"/>
  <c r="D460" i="12"/>
  <c r="B460" i="12"/>
  <c r="B442" i="12"/>
  <c r="F440" i="12"/>
  <c r="E440" i="12"/>
  <c r="D440" i="12"/>
  <c r="B422" i="12"/>
  <c r="F420" i="12"/>
  <c r="E420" i="12"/>
  <c r="D420" i="12"/>
  <c r="B420" i="12"/>
  <c r="B402" i="12"/>
  <c r="F400" i="12"/>
  <c r="E400" i="12"/>
  <c r="D400" i="12"/>
  <c r="B400" i="12"/>
  <c r="B382" i="12"/>
  <c r="F380" i="12"/>
  <c r="E380" i="12"/>
  <c r="D380" i="12"/>
  <c r="B380" i="12"/>
  <c r="B362" i="12"/>
  <c r="F360" i="12"/>
  <c r="E360" i="12"/>
  <c r="D360" i="12"/>
  <c r="B360" i="12"/>
  <c r="B342" i="12"/>
  <c r="F340" i="12"/>
  <c r="E340" i="12"/>
  <c r="D340" i="12"/>
  <c r="B340" i="12"/>
  <c r="B322" i="12"/>
  <c r="F320" i="12"/>
  <c r="E320" i="12"/>
  <c r="D320" i="12"/>
  <c r="B320" i="12"/>
  <c r="B302" i="12"/>
  <c r="F300" i="12"/>
  <c r="E300" i="12"/>
  <c r="D300" i="12"/>
  <c r="B300" i="12"/>
  <c r="B282" i="12"/>
  <c r="F280" i="12"/>
  <c r="E280" i="12"/>
  <c r="D280" i="12"/>
  <c r="B280" i="12"/>
  <c r="B262" i="12"/>
  <c r="F260" i="12"/>
  <c r="E260" i="12"/>
  <c r="D260" i="12"/>
  <c r="B260" i="12"/>
  <c r="B242" i="12"/>
  <c r="F240" i="12"/>
  <c r="E240" i="12"/>
  <c r="D240" i="12"/>
  <c r="B240" i="12"/>
  <c r="B222" i="12"/>
  <c r="F220" i="12"/>
  <c r="E220" i="12"/>
  <c r="D220" i="12"/>
  <c r="B220" i="12"/>
  <c r="B202" i="12"/>
  <c r="F200" i="12"/>
  <c r="E200" i="12"/>
  <c r="D200" i="12"/>
  <c r="B200" i="12"/>
  <c r="B182" i="12"/>
  <c r="F180" i="12"/>
  <c r="E180" i="12"/>
  <c r="D180" i="12"/>
  <c r="B180" i="12"/>
  <c r="B162" i="12"/>
  <c r="F160" i="12"/>
  <c r="E160" i="12"/>
  <c r="D160" i="12"/>
  <c r="B160" i="12"/>
  <c r="B142" i="12"/>
  <c r="F140" i="12"/>
  <c r="E140" i="12"/>
  <c r="D140" i="12"/>
  <c r="B140" i="12"/>
  <c r="B122" i="12"/>
  <c r="F120" i="12"/>
  <c r="E120" i="12"/>
  <c r="D120" i="12"/>
  <c r="B120" i="12"/>
  <c r="B102" i="12"/>
  <c r="F100" i="12"/>
  <c r="E100" i="12"/>
  <c r="D100" i="12"/>
  <c r="B100" i="12"/>
  <c r="B82" i="12"/>
  <c r="F80" i="12"/>
  <c r="E80" i="12"/>
  <c r="D80" i="12"/>
  <c r="B80" i="12"/>
  <c r="I65" i="12"/>
  <c r="B62" i="12"/>
  <c r="I60" i="12"/>
  <c r="F60" i="12"/>
  <c r="E60" i="12"/>
  <c r="D60" i="12"/>
  <c r="B60" i="12"/>
  <c r="I55" i="12"/>
  <c r="I50" i="12"/>
  <c r="I45" i="12"/>
  <c r="B42" i="12"/>
  <c r="I40" i="12"/>
  <c r="F40" i="12"/>
  <c r="E40" i="12"/>
  <c r="D40" i="12"/>
  <c r="B40" i="12"/>
  <c r="I30" i="12"/>
  <c r="I25" i="12"/>
  <c r="B22" i="12"/>
  <c r="L20" i="12"/>
  <c r="F20" i="12"/>
  <c r="E20" i="12"/>
  <c r="D20" i="12"/>
  <c r="B20" i="12"/>
  <c r="K19" i="12"/>
  <c r="B2" i="12"/>
  <c r="F520" i="11"/>
  <c r="E520" i="11"/>
  <c r="D520" i="11"/>
  <c r="B520" i="11"/>
  <c r="B502" i="11"/>
  <c r="F500" i="11"/>
  <c r="E500" i="11"/>
  <c r="D500" i="11"/>
  <c r="B500" i="11"/>
  <c r="B482" i="11"/>
  <c r="F480" i="11"/>
  <c r="E480" i="11"/>
  <c r="D480" i="11"/>
  <c r="B480" i="11"/>
  <c r="B462" i="11"/>
  <c r="F460" i="11"/>
  <c r="E460" i="11"/>
  <c r="D460" i="11"/>
  <c r="B460" i="11"/>
  <c r="B442" i="11"/>
  <c r="F440" i="11"/>
  <c r="E440" i="11"/>
  <c r="D440" i="11"/>
  <c r="B422" i="11"/>
  <c r="F420" i="11"/>
  <c r="E420" i="11"/>
  <c r="D420" i="11"/>
  <c r="B420" i="11"/>
  <c r="B402" i="11"/>
  <c r="F400" i="11"/>
  <c r="E400" i="11"/>
  <c r="D400" i="11"/>
  <c r="B400" i="11"/>
  <c r="B382" i="11"/>
  <c r="F380" i="11"/>
  <c r="E380" i="11"/>
  <c r="D380" i="11"/>
  <c r="B380" i="11"/>
  <c r="B362" i="11"/>
  <c r="F360" i="11"/>
  <c r="E360" i="11"/>
  <c r="D360" i="11"/>
  <c r="B360" i="11"/>
  <c r="B342" i="11"/>
  <c r="F340" i="11"/>
  <c r="E340" i="11"/>
  <c r="D340" i="11"/>
  <c r="B340" i="11"/>
  <c r="B322" i="11"/>
  <c r="F320" i="11"/>
  <c r="E320" i="11"/>
  <c r="D320" i="11"/>
  <c r="B320" i="11"/>
  <c r="B302" i="11"/>
  <c r="F300" i="11"/>
  <c r="E300" i="11"/>
  <c r="D300" i="11"/>
  <c r="B300" i="11"/>
  <c r="B282" i="11"/>
  <c r="F280" i="11"/>
  <c r="E280" i="11"/>
  <c r="D280" i="11"/>
  <c r="B280" i="11"/>
  <c r="B262" i="11"/>
  <c r="F260" i="11"/>
  <c r="E260" i="11"/>
  <c r="D260" i="11"/>
  <c r="B260" i="11"/>
  <c r="B242" i="11"/>
  <c r="F240" i="11"/>
  <c r="E240" i="11"/>
  <c r="D240" i="11"/>
  <c r="B240" i="11"/>
  <c r="B222" i="11"/>
  <c r="F220" i="11"/>
  <c r="E220" i="11"/>
  <c r="D220" i="11"/>
  <c r="B220" i="11"/>
  <c r="B202" i="11"/>
  <c r="F200" i="11"/>
  <c r="E200" i="11"/>
  <c r="D200" i="11"/>
  <c r="B200" i="11"/>
  <c r="B182" i="11"/>
  <c r="F180" i="11"/>
  <c r="E180" i="11"/>
  <c r="D180" i="11"/>
  <c r="B180" i="11"/>
  <c r="B162" i="11"/>
  <c r="F160" i="11"/>
  <c r="E160" i="11"/>
  <c r="D160" i="11"/>
  <c r="B160" i="11"/>
  <c r="B142" i="11"/>
  <c r="F140" i="11"/>
  <c r="E140" i="11"/>
  <c r="D140" i="11"/>
  <c r="B140" i="11"/>
  <c r="B122" i="11"/>
  <c r="F120" i="11"/>
  <c r="E120" i="11"/>
  <c r="D120" i="11"/>
  <c r="B120" i="11"/>
  <c r="B102" i="11"/>
  <c r="F100" i="11"/>
  <c r="E100" i="11"/>
  <c r="D100" i="11"/>
  <c r="B100" i="11"/>
  <c r="B82" i="11"/>
  <c r="F80" i="11"/>
  <c r="E80" i="11"/>
  <c r="D80" i="11"/>
  <c r="B80" i="11"/>
  <c r="I65" i="11"/>
  <c r="B62" i="11"/>
  <c r="I60" i="11"/>
  <c r="F60" i="11"/>
  <c r="E60" i="11"/>
  <c r="D60" i="11"/>
  <c r="B60" i="11"/>
  <c r="I55" i="11"/>
  <c r="I50" i="11"/>
  <c r="I45" i="11"/>
  <c r="B42" i="11"/>
  <c r="I40" i="11"/>
  <c r="F40" i="11"/>
  <c r="E40" i="11"/>
  <c r="D40" i="11"/>
  <c r="B40" i="11"/>
  <c r="I30" i="11"/>
  <c r="I25" i="11"/>
  <c r="B22" i="11"/>
  <c r="F20" i="11"/>
  <c r="E20" i="11"/>
  <c r="D20" i="11"/>
  <c r="B20" i="11"/>
  <c r="K19" i="11"/>
  <c r="L20" i="11" s="1"/>
  <c r="B2" i="11"/>
  <c r="F520" i="10"/>
  <c r="E520" i="10"/>
  <c r="D520" i="10"/>
  <c r="B520" i="10"/>
  <c r="B502" i="10"/>
  <c r="F500" i="10"/>
  <c r="E500" i="10"/>
  <c r="D500" i="10"/>
  <c r="B500" i="10"/>
  <c r="B482" i="10"/>
  <c r="F480" i="10"/>
  <c r="E480" i="10"/>
  <c r="D480" i="10"/>
  <c r="B480" i="10"/>
  <c r="B462" i="10"/>
  <c r="F460" i="10"/>
  <c r="E460" i="10"/>
  <c r="D460" i="10"/>
  <c r="B460" i="10"/>
  <c r="B442" i="10"/>
  <c r="F440" i="10"/>
  <c r="E440" i="10"/>
  <c r="D440" i="10"/>
  <c r="B422" i="10"/>
  <c r="F420" i="10"/>
  <c r="E420" i="10"/>
  <c r="D420" i="10"/>
  <c r="B420" i="10"/>
  <c r="B402" i="10"/>
  <c r="F400" i="10"/>
  <c r="E400" i="10"/>
  <c r="D400" i="10"/>
  <c r="B400" i="10"/>
  <c r="B382" i="10"/>
  <c r="F380" i="10"/>
  <c r="E380" i="10"/>
  <c r="D380" i="10"/>
  <c r="B380" i="10"/>
  <c r="B362" i="10"/>
  <c r="F360" i="10"/>
  <c r="E360" i="10"/>
  <c r="D360" i="10"/>
  <c r="B360" i="10"/>
  <c r="B342" i="10"/>
  <c r="F340" i="10"/>
  <c r="E340" i="10"/>
  <c r="D340" i="10"/>
  <c r="B340" i="10"/>
  <c r="B322" i="10"/>
  <c r="F320" i="10"/>
  <c r="E320" i="10"/>
  <c r="D320" i="10"/>
  <c r="B320" i="10"/>
  <c r="B302" i="10"/>
  <c r="F300" i="10"/>
  <c r="E300" i="10"/>
  <c r="D300" i="10"/>
  <c r="B300" i="10"/>
  <c r="B282" i="10"/>
  <c r="F280" i="10"/>
  <c r="E280" i="10"/>
  <c r="D280" i="10"/>
  <c r="B280" i="10"/>
  <c r="B262" i="10"/>
  <c r="F260" i="10"/>
  <c r="E260" i="10"/>
  <c r="D260" i="10"/>
  <c r="B260" i="10"/>
  <c r="B242" i="10"/>
  <c r="F240" i="10"/>
  <c r="E240" i="10"/>
  <c r="D240" i="10"/>
  <c r="B240" i="10"/>
  <c r="B222" i="10"/>
  <c r="F220" i="10"/>
  <c r="E220" i="10"/>
  <c r="D220" i="10"/>
  <c r="B220" i="10"/>
  <c r="B202" i="10"/>
  <c r="F200" i="10"/>
  <c r="E200" i="10"/>
  <c r="D200" i="10"/>
  <c r="B200" i="10"/>
  <c r="B182" i="10"/>
  <c r="F180" i="10"/>
  <c r="E180" i="10"/>
  <c r="D180" i="10"/>
  <c r="B180" i="10"/>
  <c r="B162" i="10"/>
  <c r="F160" i="10"/>
  <c r="E160" i="10"/>
  <c r="D160" i="10"/>
  <c r="B160" i="10"/>
  <c r="B142" i="10"/>
  <c r="F140" i="10"/>
  <c r="E140" i="10"/>
  <c r="D140" i="10"/>
  <c r="B140" i="10"/>
  <c r="B122" i="10"/>
  <c r="F120" i="10"/>
  <c r="E120" i="10"/>
  <c r="D120" i="10"/>
  <c r="B120" i="10"/>
  <c r="B102" i="10"/>
  <c r="F100" i="10"/>
  <c r="E100" i="10"/>
  <c r="D100" i="10"/>
  <c r="B100" i="10"/>
  <c r="B82" i="10"/>
  <c r="F80" i="10"/>
  <c r="E80" i="10"/>
  <c r="D80" i="10"/>
  <c r="B80" i="10"/>
  <c r="I65" i="10"/>
  <c r="B62" i="10"/>
  <c r="I60" i="10"/>
  <c r="F60" i="10"/>
  <c r="E60" i="10"/>
  <c r="D60" i="10"/>
  <c r="B60" i="10"/>
  <c r="I55" i="10"/>
  <c r="I50" i="10"/>
  <c r="I45" i="10"/>
  <c r="B42" i="10"/>
  <c r="I40" i="10"/>
  <c r="F40" i="10"/>
  <c r="E40" i="10"/>
  <c r="D40" i="10"/>
  <c r="B40" i="10"/>
  <c r="I30" i="10"/>
  <c r="I25" i="10"/>
  <c r="B22" i="10"/>
  <c r="F20" i="10"/>
  <c r="E20" i="10"/>
  <c r="D20" i="10"/>
  <c r="B20" i="10"/>
  <c r="K19" i="10"/>
  <c r="L20" i="10" s="1"/>
  <c r="B2" i="10"/>
  <c r="I65" i="4"/>
  <c r="I60" i="4"/>
  <c r="I55" i="4"/>
  <c r="I50" i="4"/>
  <c r="I45" i="4"/>
  <c r="I40" i="4"/>
  <c r="L21" i="1"/>
  <c r="I30" i="4"/>
  <c r="I25" i="4"/>
  <c r="K19" i="4"/>
  <c r="L20" i="4" s="1"/>
  <c r="F520" i="3"/>
  <c r="E520" i="3"/>
  <c r="D520" i="3"/>
  <c r="B520" i="3"/>
  <c r="B502" i="3"/>
  <c r="F500" i="3"/>
  <c r="E500" i="3"/>
  <c r="D500" i="3"/>
  <c r="B500" i="3"/>
  <c r="B482" i="3"/>
  <c r="F480" i="3"/>
  <c r="E480" i="3"/>
  <c r="D480" i="3"/>
  <c r="B480" i="3"/>
  <c r="B462" i="3"/>
  <c r="F460" i="3"/>
  <c r="E460" i="3"/>
  <c r="D460" i="3"/>
  <c r="B460" i="3"/>
  <c r="B442" i="3"/>
  <c r="F440" i="3"/>
  <c r="E440" i="3"/>
  <c r="D440" i="3"/>
  <c r="B422" i="3"/>
  <c r="F420" i="3"/>
  <c r="E420" i="3"/>
  <c r="D420" i="3"/>
  <c r="B420" i="3"/>
  <c r="B402" i="3"/>
  <c r="F400" i="3"/>
  <c r="E400" i="3"/>
  <c r="D400" i="3"/>
  <c r="B400" i="3"/>
  <c r="B382" i="3"/>
  <c r="F380" i="3"/>
  <c r="E380" i="3"/>
  <c r="D380" i="3"/>
  <c r="B380" i="3"/>
  <c r="B362" i="3"/>
  <c r="F360" i="3"/>
  <c r="E360" i="3"/>
  <c r="D360" i="3"/>
  <c r="B360" i="3"/>
  <c r="B342" i="3"/>
  <c r="F340" i="3"/>
  <c r="E340" i="3"/>
  <c r="D340" i="3"/>
  <c r="B340" i="3"/>
  <c r="B322" i="3"/>
  <c r="F320" i="3"/>
  <c r="E320" i="3"/>
  <c r="D320" i="3"/>
  <c r="B320" i="3"/>
  <c r="B302" i="3"/>
  <c r="F300" i="3"/>
  <c r="E300" i="3"/>
  <c r="D300" i="3"/>
  <c r="B300" i="3"/>
  <c r="B282" i="3"/>
  <c r="F280" i="3"/>
  <c r="E280" i="3"/>
  <c r="D280" i="3"/>
  <c r="B280" i="3"/>
  <c r="B262" i="3"/>
  <c r="F260" i="3"/>
  <c r="E260" i="3"/>
  <c r="D260" i="3"/>
  <c r="B260" i="3"/>
  <c r="B242" i="3"/>
  <c r="F240" i="3"/>
  <c r="E240" i="3"/>
  <c r="D240" i="3"/>
  <c r="B240" i="3"/>
  <c r="B222" i="3"/>
  <c r="F220" i="3"/>
  <c r="E220" i="3"/>
  <c r="D220" i="3"/>
  <c r="B220" i="3"/>
  <c r="B202" i="3"/>
  <c r="F200" i="3"/>
  <c r="E200" i="3"/>
  <c r="D200" i="3"/>
  <c r="B200" i="3"/>
  <c r="B182" i="3"/>
  <c r="F180" i="3"/>
  <c r="E180" i="3"/>
  <c r="D180" i="3"/>
  <c r="B180" i="3"/>
  <c r="B162" i="3"/>
  <c r="F160" i="3"/>
  <c r="E160" i="3"/>
  <c r="D160" i="3"/>
  <c r="B160" i="3"/>
  <c r="B142" i="3"/>
  <c r="F140" i="3"/>
  <c r="E140" i="3"/>
  <c r="D140" i="3"/>
  <c r="B140" i="3"/>
  <c r="B122" i="3"/>
  <c r="F120" i="3"/>
  <c r="E120" i="3"/>
  <c r="D120" i="3"/>
  <c r="B120" i="3"/>
  <c r="B102" i="3"/>
  <c r="F100" i="3"/>
  <c r="E100" i="3"/>
  <c r="D100" i="3"/>
  <c r="B100" i="3"/>
  <c r="B82" i="3"/>
  <c r="F80" i="3"/>
  <c r="E80" i="3"/>
  <c r="D80" i="3"/>
  <c r="B80" i="3"/>
  <c r="I65" i="3"/>
  <c r="B62" i="3"/>
  <c r="I60" i="3"/>
  <c r="F60" i="3"/>
  <c r="E60" i="3"/>
  <c r="D60" i="3"/>
  <c r="B60" i="3"/>
  <c r="I55" i="3"/>
  <c r="I50" i="3"/>
  <c r="I45" i="3"/>
  <c r="B42" i="3"/>
  <c r="I40" i="3"/>
  <c r="F40" i="3"/>
  <c r="E40" i="3"/>
  <c r="D40" i="3"/>
  <c r="B40" i="3"/>
  <c r="I30" i="3"/>
  <c r="I25" i="3"/>
  <c r="B22" i="3"/>
  <c r="F20" i="3"/>
  <c r="E20" i="3"/>
  <c r="D20" i="3"/>
  <c r="B20" i="3"/>
  <c r="K19" i="3"/>
  <c r="L20" i="3" s="1"/>
  <c r="B2" i="3"/>
  <c r="A120" i="2" l="1"/>
  <c r="A20" i="2"/>
  <c r="A26" i="2"/>
  <c r="A40" i="2" s="1"/>
  <c r="A468" i="2"/>
  <c r="A480" i="2" s="1"/>
  <c r="AZ48" i="1"/>
  <c r="A467" i="3" l="1"/>
  <c r="A467" i="4" s="1"/>
  <c r="A467" i="5" s="1"/>
  <c r="A467" i="6" s="1"/>
  <c r="A467" i="7" s="1"/>
  <c r="A467" i="8" s="1"/>
  <c r="A467" i="9" s="1"/>
  <c r="A467" i="10" s="1"/>
  <c r="A467" i="11" s="1"/>
  <c r="A467" i="12" s="1"/>
  <c r="A467" i="13" s="1"/>
  <c r="A468" i="3"/>
  <c r="A468" i="4" s="1"/>
  <c r="A466" i="3"/>
  <c r="A466" i="4" s="1"/>
  <c r="A107" i="3"/>
  <c r="A107" i="4" s="1"/>
  <c r="A107" i="5" s="1"/>
  <c r="A107" i="6" s="1"/>
  <c r="A107" i="7" s="1"/>
  <c r="A107" i="8" s="1"/>
  <c r="A107" i="9" s="1"/>
  <c r="A107" i="10" s="1"/>
  <c r="A107" i="11" s="1"/>
  <c r="A107" i="12" s="1"/>
  <c r="A107" i="13" s="1"/>
  <c r="A108" i="3"/>
  <c r="A108" i="4" s="1"/>
  <c r="A109" i="3"/>
  <c r="A109" i="4" s="1"/>
  <c r="A106" i="3"/>
  <c r="A27" i="3"/>
  <c r="A27" i="4" s="1"/>
  <c r="A27" i="5" s="1"/>
  <c r="A27" i="6" s="1"/>
  <c r="A27" i="7" s="1"/>
  <c r="A27" i="8" s="1"/>
  <c r="A27" i="9" s="1"/>
  <c r="A27" i="10" s="1"/>
  <c r="A27" i="11" s="1"/>
  <c r="A27" i="12" s="1"/>
  <c r="A27" i="13" s="1"/>
  <c r="A28" i="3"/>
  <c r="A28" i="4" s="1"/>
  <c r="A28" i="5" s="1"/>
  <c r="A28" i="6" s="1"/>
  <c r="A28" i="7" s="1"/>
  <c r="A28" i="8" s="1"/>
  <c r="A28" i="9" s="1"/>
  <c r="A28" i="10" s="1"/>
  <c r="A28" i="11" s="1"/>
  <c r="A28" i="12" s="1"/>
  <c r="A28" i="13" s="1"/>
  <c r="A29" i="3"/>
  <c r="A29" i="4" s="1"/>
  <c r="A29" i="5" s="1"/>
  <c r="A29" i="6" s="1"/>
  <c r="A29" i="7" s="1"/>
  <c r="A29" i="8" s="1"/>
  <c r="A29" i="9" s="1"/>
  <c r="A29" i="10" s="1"/>
  <c r="A29" i="11" s="1"/>
  <c r="A29" i="12" s="1"/>
  <c r="A29" i="13" s="1"/>
  <c r="A30" i="3"/>
  <c r="A26" i="3"/>
  <c r="A26" i="4" s="1"/>
  <c r="A26" i="5" s="1"/>
  <c r="A26" i="6" s="1"/>
  <c r="A8" i="3"/>
  <c r="A8" i="4" s="1"/>
  <c r="A8" i="5" s="1"/>
  <c r="A8" i="6" s="1"/>
  <c r="A8" i="7" s="1"/>
  <c r="A8" i="8" s="1"/>
  <c r="A8" i="9" s="1"/>
  <c r="A8" i="10" s="1"/>
  <c r="A8" i="11" s="1"/>
  <c r="A8" i="12" s="1"/>
  <c r="A8" i="13" s="1"/>
  <c r="A9" i="3"/>
  <c r="A9" i="4" s="1"/>
  <c r="A9" i="5" s="1"/>
  <c r="A9" i="6" s="1"/>
  <c r="A9" i="7" s="1"/>
  <c r="A9" i="8" s="1"/>
  <c r="A9" i="9" s="1"/>
  <c r="A9" i="10" s="1"/>
  <c r="A9" i="11" s="1"/>
  <c r="A9" i="12" s="1"/>
  <c r="A9" i="13" s="1"/>
  <c r="A10" i="3"/>
  <c r="A10" i="4" s="1"/>
  <c r="A10" i="5" s="1"/>
  <c r="A10" i="6" s="1"/>
  <c r="A10" i="7" s="1"/>
  <c r="A10" i="8" s="1"/>
  <c r="A10" i="9" s="1"/>
  <c r="A10" i="10" s="1"/>
  <c r="A10" i="11" s="1"/>
  <c r="A10" i="12" s="1"/>
  <c r="A10" i="13" s="1"/>
  <c r="A11" i="3"/>
  <c r="A11" i="4" s="1"/>
  <c r="A11" i="5" s="1"/>
  <c r="A11" i="6" s="1"/>
  <c r="A11" i="7" s="1"/>
  <c r="A11" i="8" s="1"/>
  <c r="A11" i="9" s="1"/>
  <c r="A11" i="10" s="1"/>
  <c r="A11" i="11" s="1"/>
  <c r="A11" i="12" s="1"/>
  <c r="A11" i="13" s="1"/>
  <c r="A12" i="3"/>
  <c r="A12" i="4" s="1"/>
  <c r="A12" i="5" s="1"/>
  <c r="A12" i="6" s="1"/>
  <c r="A12" i="7" s="1"/>
  <c r="A12" i="8" s="1"/>
  <c r="A12" i="9" s="1"/>
  <c r="A12" i="10" s="1"/>
  <c r="A12" i="11" s="1"/>
  <c r="A12" i="12" s="1"/>
  <c r="A12" i="13" s="1"/>
  <c r="A13" i="3"/>
  <c r="A13" i="4" s="1"/>
  <c r="A13" i="5" s="1"/>
  <c r="A13" i="6" s="1"/>
  <c r="A13" i="7" s="1"/>
  <c r="A13" i="8" s="1"/>
  <c r="A13" i="9" s="1"/>
  <c r="A13" i="10" s="1"/>
  <c r="A13" i="11" s="1"/>
  <c r="A13" i="12" s="1"/>
  <c r="A13" i="13" s="1"/>
  <c r="A7" i="3"/>
  <c r="A7" i="4" s="1"/>
  <c r="A7" i="5" s="1"/>
  <c r="A7" i="6" s="1"/>
  <c r="A7" i="7" s="1"/>
  <c r="A7" i="8" s="1"/>
  <c r="A7" i="9" s="1"/>
  <c r="A7" i="10" s="1"/>
  <c r="A7" i="11" s="1"/>
  <c r="A7" i="12" s="1"/>
  <c r="A7" i="13" s="1"/>
  <c r="A6" i="3"/>
  <c r="A6" i="4" s="1"/>
  <c r="A6" i="5" s="1"/>
  <c r="A6" i="6" s="1"/>
  <c r="F520" i="2"/>
  <c r="E520" i="2"/>
  <c r="D520" i="2"/>
  <c r="B520" i="2"/>
  <c r="B502" i="2"/>
  <c r="F500" i="2"/>
  <c r="E500" i="2"/>
  <c r="D500" i="2"/>
  <c r="B500" i="2"/>
  <c r="B482" i="2"/>
  <c r="F480" i="2"/>
  <c r="E480" i="2"/>
  <c r="D480" i="2"/>
  <c r="B480" i="2"/>
  <c r="B462" i="2"/>
  <c r="F460" i="2"/>
  <c r="E460" i="2"/>
  <c r="D460" i="2"/>
  <c r="B460" i="2"/>
  <c r="B442" i="2"/>
  <c r="F440" i="2"/>
  <c r="E440" i="2"/>
  <c r="D440" i="2"/>
  <c r="B422" i="2"/>
  <c r="F420" i="2"/>
  <c r="E420" i="2"/>
  <c r="D420" i="2"/>
  <c r="B420" i="2"/>
  <c r="B402" i="2"/>
  <c r="F400" i="2"/>
  <c r="E400" i="2"/>
  <c r="D400" i="2"/>
  <c r="B400" i="2"/>
  <c r="B382" i="2"/>
  <c r="F380" i="2"/>
  <c r="E380" i="2"/>
  <c r="D380" i="2"/>
  <c r="B380" i="2"/>
  <c r="B362" i="2"/>
  <c r="F360" i="2"/>
  <c r="E360" i="2"/>
  <c r="D360" i="2"/>
  <c r="B360" i="2"/>
  <c r="B342" i="2"/>
  <c r="F340" i="2"/>
  <c r="E340" i="2"/>
  <c r="D340" i="2"/>
  <c r="B340" i="2"/>
  <c r="B322" i="2"/>
  <c r="F320" i="2"/>
  <c r="E320" i="2"/>
  <c r="D320" i="2"/>
  <c r="B320" i="2"/>
  <c r="B302" i="2"/>
  <c r="F300" i="2"/>
  <c r="E300" i="2"/>
  <c r="D300" i="2"/>
  <c r="B300" i="2"/>
  <c r="B282" i="2"/>
  <c r="F280" i="2"/>
  <c r="E280" i="2"/>
  <c r="D280" i="2"/>
  <c r="B280" i="2"/>
  <c r="B262" i="2"/>
  <c r="F260" i="2"/>
  <c r="E260" i="2"/>
  <c r="D260" i="2"/>
  <c r="B260" i="2"/>
  <c r="B242" i="2"/>
  <c r="F240" i="2"/>
  <c r="E240" i="2"/>
  <c r="D240" i="2"/>
  <c r="B240" i="2"/>
  <c r="B222" i="2"/>
  <c r="F220" i="2"/>
  <c r="E220" i="2"/>
  <c r="D220" i="2"/>
  <c r="B220" i="2"/>
  <c r="B202" i="2"/>
  <c r="F200" i="2"/>
  <c r="E200" i="2"/>
  <c r="D200" i="2"/>
  <c r="B200" i="2"/>
  <c r="B182" i="2"/>
  <c r="F180" i="2"/>
  <c r="E180" i="2"/>
  <c r="D180" i="2"/>
  <c r="B180" i="2"/>
  <c r="B162" i="2"/>
  <c r="F160" i="2"/>
  <c r="E160" i="2"/>
  <c r="D160" i="2"/>
  <c r="B160" i="2"/>
  <c r="B142" i="2"/>
  <c r="F140" i="2"/>
  <c r="E140" i="2"/>
  <c r="D140" i="2"/>
  <c r="B140" i="2"/>
  <c r="B122" i="2"/>
  <c r="F120" i="2"/>
  <c r="E120" i="2"/>
  <c r="D120" i="2"/>
  <c r="B120" i="2"/>
  <c r="B102" i="2"/>
  <c r="F100" i="2"/>
  <c r="E100" i="2"/>
  <c r="D100" i="2"/>
  <c r="B100" i="2"/>
  <c r="B82" i="2"/>
  <c r="F80" i="2"/>
  <c r="E80" i="2"/>
  <c r="D80" i="2"/>
  <c r="B80" i="2"/>
  <c r="B62" i="2"/>
  <c r="F60" i="2"/>
  <c r="E60" i="2"/>
  <c r="D60" i="2"/>
  <c r="B60" i="2"/>
  <c r="B42" i="2"/>
  <c r="F40" i="2"/>
  <c r="E40" i="2"/>
  <c r="D40" i="2"/>
  <c r="B40" i="2"/>
  <c r="B22" i="2"/>
  <c r="F20" i="2"/>
  <c r="E20" i="2"/>
  <c r="D20" i="2"/>
  <c r="B20" i="2"/>
  <c r="B2" i="2"/>
  <c r="O8" i="1"/>
  <c r="V72" i="1" s="1"/>
  <c r="O9" i="1"/>
  <c r="O10" i="1"/>
  <c r="O11" i="1"/>
  <c r="A109" i="5" l="1"/>
  <c r="A109" i="6" s="1"/>
  <c r="A109" i="7" s="1"/>
  <c r="A109" i="8" s="1"/>
  <c r="A109" i="9" s="1"/>
  <c r="A109" i="10" s="1"/>
  <c r="A109" i="11" s="1"/>
  <c r="A109" i="12" s="1"/>
  <c r="A109" i="13" s="1"/>
  <c r="A108" i="5"/>
  <c r="A108" i="6" s="1"/>
  <c r="A108" i="7" s="1"/>
  <c r="A108" i="8" s="1"/>
  <c r="A108" i="9" s="1"/>
  <c r="A108" i="10" s="1"/>
  <c r="A108" i="11" s="1"/>
  <c r="A108" i="12" s="1"/>
  <c r="A108" i="13" s="1"/>
  <c r="A466" i="6"/>
  <c r="A466" i="7" s="1"/>
  <c r="A466" i="5"/>
  <c r="A480" i="5" s="1"/>
  <c r="A468" i="5"/>
  <c r="A468" i="6" s="1"/>
  <c r="A120" i="3"/>
  <c r="A480" i="3"/>
  <c r="A106" i="4"/>
  <c r="A40" i="3"/>
  <c r="A30" i="4"/>
  <c r="A30" i="5" s="1"/>
  <c r="A30" i="6" s="1"/>
  <c r="A30" i="7" s="1"/>
  <c r="A30" i="8" s="1"/>
  <c r="A30" i="9" s="1"/>
  <c r="A30" i="10" s="1"/>
  <c r="A30" i="11" s="1"/>
  <c r="A30" i="12" s="1"/>
  <c r="A30" i="13" s="1"/>
  <c r="A26" i="7"/>
  <c r="A20" i="6"/>
  <c r="A6" i="7"/>
  <c r="A20" i="5"/>
  <c r="A480" i="4"/>
  <c r="A20" i="4"/>
  <c r="A20" i="3"/>
  <c r="AU8" i="1"/>
  <c r="AU9" i="1"/>
  <c r="AU10" i="1"/>
  <c r="AU11" i="1"/>
  <c r="AU12" i="1"/>
  <c r="AU13" i="1"/>
  <c r="AU14" i="1"/>
  <c r="AU15" i="1"/>
  <c r="AU16" i="1"/>
  <c r="AQ8" i="1"/>
  <c r="AQ9" i="1"/>
  <c r="AQ10" i="1"/>
  <c r="AQ11" i="1"/>
  <c r="AQ12" i="1"/>
  <c r="AQ13" i="1"/>
  <c r="AQ14" i="1"/>
  <c r="AQ15" i="1"/>
  <c r="AQ16" i="1"/>
  <c r="AM8" i="1"/>
  <c r="AM9" i="1"/>
  <c r="AM10" i="1"/>
  <c r="AM11" i="1"/>
  <c r="AM12" i="1"/>
  <c r="AM13" i="1"/>
  <c r="AM14" i="1"/>
  <c r="AM15" i="1"/>
  <c r="AM16" i="1"/>
  <c r="AI8" i="1"/>
  <c r="AI9" i="1"/>
  <c r="AI10" i="1"/>
  <c r="AI11" i="1"/>
  <c r="AI12" i="1"/>
  <c r="AI13" i="1"/>
  <c r="AI14" i="1"/>
  <c r="AI15" i="1"/>
  <c r="AI16" i="1"/>
  <c r="AE8" i="1"/>
  <c r="AE9" i="1"/>
  <c r="AE10" i="1"/>
  <c r="AE11" i="1"/>
  <c r="AE12" i="1"/>
  <c r="AE13" i="1"/>
  <c r="AE14" i="1"/>
  <c r="AE15" i="1"/>
  <c r="AE16" i="1"/>
  <c r="AA8" i="1"/>
  <c r="AA9" i="1"/>
  <c r="AA10" i="1"/>
  <c r="AA11" i="1"/>
  <c r="AA12" i="1"/>
  <c r="AA13" i="1"/>
  <c r="AA14" i="1"/>
  <c r="AA15" i="1"/>
  <c r="AA16" i="1"/>
  <c r="W8" i="1"/>
  <c r="W9" i="1"/>
  <c r="W11" i="1"/>
  <c r="W12" i="1"/>
  <c r="W13" i="1"/>
  <c r="W14" i="1"/>
  <c r="W15" i="1"/>
  <c r="W16" i="1"/>
  <c r="S9" i="1"/>
  <c r="S10" i="1"/>
  <c r="S11" i="1"/>
  <c r="S12" i="1"/>
  <c r="S13" i="1"/>
  <c r="S14" i="1"/>
  <c r="S15" i="1"/>
  <c r="S16" i="1"/>
  <c r="O12" i="1"/>
  <c r="O13" i="1"/>
  <c r="O14" i="1"/>
  <c r="O15" i="1"/>
  <c r="O16" i="1"/>
  <c r="K8" i="1"/>
  <c r="K9" i="1"/>
  <c r="K11" i="1"/>
  <c r="K12" i="1"/>
  <c r="K13" i="1"/>
  <c r="K14" i="1"/>
  <c r="K15" i="1"/>
  <c r="K19" i="2"/>
  <c r="G8" i="1"/>
  <c r="G9" i="1"/>
  <c r="G10" i="1"/>
  <c r="G11" i="1"/>
  <c r="G12" i="1"/>
  <c r="G13" i="1"/>
  <c r="G14" i="1"/>
  <c r="G15" i="1"/>
  <c r="G16" i="1"/>
  <c r="C8" i="1"/>
  <c r="C9" i="1"/>
  <c r="C10" i="1"/>
  <c r="C11" i="1"/>
  <c r="C12" i="1"/>
  <c r="C13" i="1"/>
  <c r="C14" i="1"/>
  <c r="C15" i="1"/>
  <c r="C16" i="1"/>
  <c r="I30" i="2"/>
  <c r="I40" i="2"/>
  <c r="I65" i="2"/>
  <c r="I60" i="2"/>
  <c r="I55" i="2"/>
  <c r="I50" i="2"/>
  <c r="I45" i="2"/>
  <c r="I25" i="2"/>
  <c r="A468" i="7" l="1"/>
  <c r="A468" i="8" s="1"/>
  <c r="A468" i="9" s="1"/>
  <c r="A468" i="10" s="1"/>
  <c r="A468" i="11" s="1"/>
  <c r="A468" i="12" s="1"/>
  <c r="A468" i="13" s="1"/>
  <c r="A480" i="6"/>
  <c r="L20" i="2"/>
  <c r="N22" i="2"/>
  <c r="A40" i="4"/>
  <c r="A40" i="5"/>
  <c r="A40" i="6"/>
  <c r="A466" i="8"/>
  <c r="A480" i="7"/>
  <c r="A120" i="4"/>
  <c r="A106" i="5"/>
  <c r="A26" i="8"/>
  <c r="A26" i="9" s="1"/>
  <c r="A40" i="7"/>
  <c r="A6" i="8"/>
  <c r="A20" i="7"/>
  <c r="T20" i="1"/>
  <c r="U20" i="1"/>
  <c r="T21" i="1"/>
  <c r="U21" i="1"/>
  <c r="T22" i="1"/>
  <c r="U22" i="1"/>
  <c r="U50" i="1" s="1"/>
  <c r="A466" i="9" l="1"/>
  <c r="A480" i="8"/>
  <c r="A106" i="6"/>
  <c r="A120" i="5"/>
  <c r="A40" i="8"/>
  <c r="A6" i="9"/>
  <c r="A20" i="8"/>
  <c r="A466" i="10" l="1"/>
  <c r="A480" i="9"/>
  <c r="A106" i="7"/>
  <c r="A120" i="6"/>
  <c r="A6" i="10"/>
  <c r="A20" i="9"/>
  <c r="A466" i="11" l="1"/>
  <c r="A480" i="10"/>
  <c r="A106" i="8"/>
  <c r="A120" i="7"/>
  <c r="A6" i="11"/>
  <c r="A20" i="10"/>
  <c r="A466" i="12" l="1"/>
  <c r="A480" i="11"/>
  <c r="A106" i="9"/>
  <c r="A120" i="8"/>
  <c r="A6" i="12"/>
  <c r="A20" i="11"/>
  <c r="O5" i="11"/>
  <c r="A466" i="13" l="1"/>
  <c r="A480" i="13" s="1"/>
  <c r="A480" i="12"/>
  <c r="A106" i="10"/>
  <c r="A120" i="9"/>
  <c r="A6" i="13"/>
  <c r="A20" i="13" s="1"/>
  <c r="A20" i="12"/>
  <c r="A106" i="11" l="1"/>
  <c r="A120" i="10"/>
  <c r="G41" i="14"/>
  <c r="G42" i="14"/>
  <c r="G43" i="14"/>
  <c r="A106" i="12" l="1"/>
  <c r="A120" i="11"/>
  <c r="Z70" i="1"/>
  <c r="Z71" i="1" s="1"/>
  <c r="Z72" i="1" s="1"/>
  <c r="A106" i="13" l="1"/>
  <c r="A120" i="13" s="1"/>
  <c r="A120" i="12"/>
  <c r="H45" i="1" l="1"/>
  <c r="L45" i="1"/>
  <c r="P45" i="1"/>
  <c r="AZ16" i="1" l="1"/>
  <c r="AZ8" i="1"/>
  <c r="AZ15" i="1"/>
  <c r="AZ14" i="1"/>
  <c r="AZ13" i="1"/>
  <c r="AZ12" i="1"/>
  <c r="AZ11" i="1"/>
  <c r="AZ10" i="1"/>
  <c r="AZ9" i="1"/>
  <c r="B17" i="1"/>
  <c r="AZ17" i="1" l="1"/>
  <c r="AU5" i="1" l="1"/>
  <c r="AQ5" i="1"/>
  <c r="AM5" i="1"/>
  <c r="AI5" i="1"/>
  <c r="AE5" i="1"/>
  <c r="AA5" i="1"/>
  <c r="W5" i="1"/>
  <c r="S5" i="1"/>
  <c r="O5" i="1"/>
  <c r="K5" i="1"/>
  <c r="G5" i="1" l="1"/>
  <c r="BA17" i="1" l="1"/>
  <c r="BA18" i="1" s="1"/>
  <c r="BA10" i="1"/>
  <c r="BA11" i="1"/>
  <c r="BA12" i="1"/>
  <c r="BA13" i="1"/>
  <c r="BA14" i="1"/>
  <c r="BA15" i="1"/>
  <c r="BA8" i="1"/>
  <c r="BA16" i="1"/>
  <c r="BA9" i="1"/>
  <c r="B4" i="17" l="1"/>
  <c r="B5" i="17" s="1"/>
  <c r="B6" i="17" s="1"/>
  <c r="B7" i="17" s="1"/>
  <c r="B8" i="17" s="1"/>
  <c r="B9" i="17" s="1"/>
  <c r="B10" i="17" s="1"/>
  <c r="B11" i="17" s="1"/>
  <c r="B12" i="17" s="1"/>
  <c r="B13" i="17" s="1"/>
  <c r="B14" i="17" s="1"/>
  <c r="B15" i="17" s="1"/>
  <c r="B16" i="17" s="1"/>
  <c r="B17" i="17" s="1"/>
  <c r="B18" i="17" s="1"/>
  <c r="B19" i="17" s="1"/>
  <c r="B20" i="17" s="1"/>
  <c r="B21" i="17" s="1"/>
  <c r="B22" i="17" s="1"/>
  <c r="B23" i="17" s="1"/>
  <c r="B24" i="17" s="1"/>
  <c r="B25" i="17" s="1"/>
  <c r="B26" i="17" s="1"/>
  <c r="B27" i="17" s="1"/>
  <c r="B28" i="17" s="1"/>
  <c r="B29" i="17" s="1"/>
  <c r="B30" i="17" s="1"/>
  <c r="B31" i="17" s="1"/>
  <c r="B32" i="17" s="1"/>
  <c r="B33" i="17" s="1"/>
  <c r="B34" i="17" s="1"/>
  <c r="B35" i="17" s="1"/>
  <c r="B36" i="17" s="1"/>
  <c r="B37" i="17" s="1"/>
  <c r="B38" i="17" s="1"/>
  <c r="B39" i="17" s="1"/>
  <c r="B40" i="17" s="1"/>
  <c r="B41" i="17" s="1"/>
  <c r="B42" i="17" s="1"/>
  <c r="B43" i="17" s="1"/>
  <c r="B44" i="17" s="1"/>
  <c r="B45" i="17" s="1"/>
  <c r="B46" i="17" s="1"/>
  <c r="B47" i="17" s="1"/>
  <c r="B48" i="17" s="1"/>
  <c r="B49" i="17" s="1"/>
  <c r="B50" i="17" s="1"/>
  <c r="B51" i="17" s="1"/>
  <c r="B52" i="17" s="1"/>
  <c r="B53" i="17" s="1"/>
  <c r="B54" i="17" s="1"/>
  <c r="B55" i="17" s="1"/>
  <c r="B56" i="17" s="1"/>
  <c r="B57" i="17" s="1"/>
  <c r="B58" i="17" s="1"/>
  <c r="B59" i="17" s="1"/>
  <c r="B60" i="17" s="1"/>
  <c r="B61" i="17" s="1"/>
  <c r="B62" i="17" s="1"/>
  <c r="B63" i="17" s="1"/>
  <c r="D4" i="17"/>
  <c r="D5" i="17" s="1"/>
  <c r="D6" i="17" s="1"/>
  <c r="J22" i="15" s="1"/>
  <c r="C4" i="17"/>
  <c r="C5" i="17" s="1"/>
  <c r="C6" i="17" s="1"/>
  <c r="C7" i="17" s="1"/>
  <c r="C8" i="17" s="1"/>
  <c r="C9" i="17" s="1"/>
  <c r="C10" i="17" s="1"/>
  <c r="C11" i="17" s="1"/>
  <c r="C12" i="17" s="1"/>
  <c r="C13" i="17" s="1"/>
  <c r="C14" i="17" s="1"/>
  <c r="C15" i="17" s="1"/>
  <c r="C16" i="17" s="1"/>
  <c r="C17" i="17" s="1"/>
  <c r="C18" i="17" s="1"/>
  <c r="C19" i="17" s="1"/>
  <c r="C20" i="17" s="1"/>
  <c r="C21" i="17" s="1"/>
  <c r="C22" i="17" s="1"/>
  <c r="C23" i="17" s="1"/>
  <c r="C24" i="17" s="1"/>
  <c r="C25" i="17" s="1"/>
  <c r="C26" i="17" s="1"/>
  <c r="C27" i="17" s="1"/>
  <c r="C28" i="17" s="1"/>
  <c r="C29" i="17" s="1"/>
  <c r="C30" i="17" s="1"/>
  <c r="C31" i="17" s="1"/>
  <c r="C32" i="17" s="1"/>
  <c r="C33" i="17" s="1"/>
  <c r="C34" i="17" s="1"/>
  <c r="C35" i="17" s="1"/>
  <c r="C36" i="17" s="1"/>
  <c r="C37" i="17" s="1"/>
  <c r="C38" i="17" s="1"/>
  <c r="C39" i="17" s="1"/>
  <c r="C40" i="17" s="1"/>
  <c r="C41" i="17" s="1"/>
  <c r="C42" i="17" s="1"/>
  <c r="C43" i="17" s="1"/>
  <c r="C44" i="17" s="1"/>
  <c r="C45" i="17" s="1"/>
  <c r="C46" i="17" s="1"/>
  <c r="C47" i="17" s="1"/>
  <c r="C48" i="17" s="1"/>
  <c r="C49" i="17" s="1"/>
  <c r="C50" i="17" s="1"/>
  <c r="C51" i="17" s="1"/>
  <c r="C52" i="17" s="1"/>
  <c r="C53" i="17" s="1"/>
  <c r="C54" i="17" s="1"/>
  <c r="C55" i="17" s="1"/>
  <c r="C56" i="17" s="1"/>
  <c r="C57" i="17" s="1"/>
  <c r="C58" i="17" s="1"/>
  <c r="C59" i="17" s="1"/>
  <c r="C60" i="17" s="1"/>
  <c r="C61" i="17" s="1"/>
  <c r="C62" i="17" s="1"/>
  <c r="C63" i="17" s="1"/>
  <c r="D7" i="17" l="1"/>
  <c r="D8" i="17" s="1"/>
  <c r="D9" i="17" s="1"/>
  <c r="D10" i="17" s="1"/>
  <c r="D11" i="17" s="1"/>
  <c r="D12" i="17" s="1"/>
  <c r="J23" i="15" s="1"/>
  <c r="L22" i="15"/>
  <c r="H13" i="16"/>
  <c r="F13" i="16"/>
  <c r="C5" i="16"/>
  <c r="E5" i="16" s="1"/>
  <c r="G5" i="16" s="1"/>
  <c r="E3" i="16"/>
  <c r="G3" i="16" s="1"/>
  <c r="E2" i="16"/>
  <c r="F2" i="16" s="1"/>
  <c r="G104" i="15"/>
  <c r="G105" i="15" s="1"/>
  <c r="K21" i="15"/>
  <c r="J21" i="15"/>
  <c r="G21" i="15"/>
  <c r="E21" i="15"/>
  <c r="K20" i="15"/>
  <c r="J20" i="15"/>
  <c r="G20" i="15"/>
  <c r="E20" i="15"/>
  <c r="C20" i="15"/>
  <c r="K19" i="15"/>
  <c r="J19" i="15"/>
  <c r="G19" i="15"/>
  <c r="E19" i="15"/>
  <c r="C19" i="15"/>
  <c r="K18" i="15"/>
  <c r="J18" i="15"/>
  <c r="G18" i="15"/>
  <c r="C18" i="15"/>
  <c r="J17" i="15"/>
  <c r="L17" i="15" s="1"/>
  <c r="G17" i="15"/>
  <c r="J16" i="15"/>
  <c r="L16" i="15" s="1"/>
  <c r="D16" i="15"/>
  <c r="C16" i="15"/>
  <c r="L15" i="15"/>
  <c r="J15" i="15"/>
  <c r="D15" i="15"/>
  <c r="G15" i="15" s="1"/>
  <c r="C15" i="15"/>
  <c r="A15" i="15"/>
  <c r="A16" i="15" s="1"/>
  <c r="L14" i="15"/>
  <c r="M14" i="15" s="1"/>
  <c r="I14" i="15"/>
  <c r="D14" i="15"/>
  <c r="G14" i="15" s="1"/>
  <c r="C14" i="15"/>
  <c r="G13" i="15"/>
  <c r="C13" i="15"/>
  <c r="G12" i="15"/>
  <c r="C12" i="15"/>
  <c r="M11" i="15"/>
  <c r="D11" i="15"/>
  <c r="G11" i="15" s="1"/>
  <c r="C11" i="15"/>
  <c r="M10" i="15"/>
  <c r="G10" i="15"/>
  <c r="E10" i="15"/>
  <c r="M9" i="15"/>
  <c r="G9" i="15"/>
  <c r="E9" i="15"/>
  <c r="M8" i="15"/>
  <c r="G8" i="15"/>
  <c r="E8" i="15"/>
  <c r="M7" i="15"/>
  <c r="G7" i="15"/>
  <c r="E7" i="15"/>
  <c r="M6" i="15"/>
  <c r="G6" i="15"/>
  <c r="E6" i="15"/>
  <c r="M5" i="15"/>
  <c r="G5" i="15"/>
  <c r="M4" i="15"/>
  <c r="D4" i="15"/>
  <c r="E4" i="15" s="1"/>
  <c r="M3" i="15"/>
  <c r="G3" i="15"/>
  <c r="D2" i="15"/>
  <c r="G2" i="15" s="1"/>
  <c r="G40" i="14"/>
  <c r="C23" i="14"/>
  <c r="E20" i="14"/>
  <c r="M17" i="15" l="1"/>
  <c r="M16" i="15"/>
  <c r="E4" i="16"/>
  <c r="F4" i="16" s="1"/>
  <c r="E5" i="15"/>
  <c r="I15" i="15"/>
  <c r="L19" i="15"/>
  <c r="L20" i="15"/>
  <c r="G4" i="15"/>
  <c r="F14" i="16"/>
  <c r="G15" i="16" s="1"/>
  <c r="L21" i="15"/>
  <c r="M15" i="15"/>
  <c r="L18" i="15"/>
  <c r="D13" i="17"/>
  <c r="D14" i="17" s="1"/>
  <c r="D15" i="17" s="1"/>
  <c r="D16" i="17" s="1"/>
  <c r="D17" i="17" s="1"/>
  <c r="D18" i="17" s="1"/>
  <c r="L23" i="15"/>
  <c r="M23" i="15" s="1"/>
  <c r="F6" i="16"/>
  <c r="E16" i="15"/>
  <c r="G16" i="15"/>
  <c r="G45" i="14"/>
  <c r="E19" i="14" s="1"/>
  <c r="B6" i="14" s="1"/>
  <c r="C25" i="15" s="1"/>
  <c r="F15" i="16"/>
  <c r="G6" i="16"/>
  <c r="I16" i="15"/>
  <c r="A17" i="15"/>
  <c r="E3" i="15"/>
  <c r="E11" i="15"/>
  <c r="E14" i="15"/>
  <c r="E15" i="15"/>
  <c r="E17" i="15"/>
  <c r="D19" i="17" l="1"/>
  <c r="D20" i="17" s="1"/>
  <c r="D21" i="17" s="1"/>
  <c r="D22" i="17" s="1"/>
  <c r="D23" i="17" s="1"/>
  <c r="D24" i="17" s="1"/>
  <c r="D25" i="17" s="1"/>
  <c r="D26" i="17" s="1"/>
  <c r="D27" i="17" s="1"/>
  <c r="D28" i="17" s="1"/>
  <c r="D29" i="17" s="1"/>
  <c r="D30" i="17" s="1"/>
  <c r="D31" i="17" s="1"/>
  <c r="D32" i="17" s="1"/>
  <c r="D33" i="17" s="1"/>
  <c r="D34" i="17" s="1"/>
  <c r="D35" i="17" s="1"/>
  <c r="D36" i="17" s="1"/>
  <c r="D37" i="17" s="1"/>
  <c r="D38" i="17" s="1"/>
  <c r="D39" i="17" s="1"/>
  <c r="D40" i="17" s="1"/>
  <c r="D41" i="17" s="1"/>
  <c r="D42" i="17" s="1"/>
  <c r="D43" i="17" s="1"/>
  <c r="D44" i="17" s="1"/>
  <c r="D45" i="17" s="1"/>
  <c r="D46" i="17" s="1"/>
  <c r="D47" i="17" s="1"/>
  <c r="D48" i="17" s="1"/>
  <c r="D49" i="17" s="1"/>
  <c r="D50" i="17" s="1"/>
  <c r="D51" i="17" s="1"/>
  <c r="D52" i="17" s="1"/>
  <c r="D53" i="17" s="1"/>
  <c r="D54" i="17" s="1"/>
  <c r="D55" i="17" s="1"/>
  <c r="D56" i="17" s="1"/>
  <c r="D57" i="17" s="1"/>
  <c r="D58" i="17" s="1"/>
  <c r="D59" i="17" s="1"/>
  <c r="D60" i="17" s="1"/>
  <c r="D61" i="17" s="1"/>
  <c r="D62" i="17" s="1"/>
  <c r="J24" i="15"/>
  <c r="L24" i="15" s="1"/>
  <c r="M24" i="15" s="1"/>
  <c r="M21" i="15"/>
  <c r="M20" i="15"/>
  <c r="M19" i="15"/>
  <c r="M18" i="15"/>
  <c r="M22" i="15"/>
  <c r="M83" i="15"/>
  <c r="E8" i="14"/>
  <c r="C83" i="15"/>
  <c r="I17" i="15"/>
  <c r="A18" i="15"/>
  <c r="D63" i="17" l="1"/>
  <c r="C5" i="1"/>
  <c r="B14" i="14"/>
  <c r="L6" i="14"/>
  <c r="E9" i="14"/>
  <c r="I18" i="15"/>
  <c r="A19" i="15"/>
  <c r="G23" i="15" l="1"/>
  <c r="E23" i="15"/>
  <c r="G22" i="15"/>
  <c r="A20" i="15"/>
  <c r="I19" i="15"/>
  <c r="E22" i="15" l="1"/>
  <c r="I20" i="15"/>
  <c r="A21" i="15"/>
  <c r="I21" i="15" l="1"/>
  <c r="A22" i="15"/>
  <c r="A23" i="15" l="1"/>
  <c r="A24" i="15" s="1"/>
  <c r="A25" i="15" s="1"/>
  <c r="A26" i="15" s="1"/>
  <c r="A27" i="15" s="1"/>
  <c r="A28" i="15" s="1"/>
  <c r="A29" i="15" s="1"/>
  <c r="A30" i="15" s="1"/>
  <c r="A31" i="15" s="1"/>
  <c r="A32" i="15" s="1"/>
  <c r="A33" i="15" s="1"/>
  <c r="A34" i="15" s="1"/>
  <c r="A35" i="15" s="1"/>
  <c r="A36" i="15" s="1"/>
  <c r="A37" i="15" s="1"/>
  <c r="A38" i="15" s="1"/>
  <c r="A39" i="15" s="1"/>
  <c r="A40" i="15" s="1"/>
  <c r="A41" i="15" s="1"/>
  <c r="A42" i="15" s="1"/>
  <c r="A43" i="15" s="1"/>
  <c r="A44" i="15" s="1"/>
  <c r="A45" i="15" s="1"/>
  <c r="A46" i="15" s="1"/>
  <c r="A47" i="15" s="1"/>
  <c r="A48" i="15" s="1"/>
  <c r="A49" i="15" s="1"/>
  <c r="A50" i="15" s="1"/>
  <c r="A51" i="15" s="1"/>
  <c r="A52" i="15" s="1"/>
  <c r="A53" i="15" s="1"/>
  <c r="A54" i="15" s="1"/>
  <c r="A55" i="15" s="1"/>
  <c r="A56" i="15" s="1"/>
  <c r="A57" i="15" s="1"/>
  <c r="A58" i="15" s="1"/>
  <c r="A59" i="15" s="1"/>
  <c r="A60" i="15" s="1"/>
  <c r="A61" i="15" s="1"/>
  <c r="A62" i="15" s="1"/>
  <c r="A63" i="15" s="1"/>
  <c r="A64" i="15" s="1"/>
  <c r="A65" i="15" s="1"/>
  <c r="A66" i="15" s="1"/>
  <c r="A67" i="15" s="1"/>
  <c r="A68" i="15" s="1"/>
  <c r="A69" i="15" s="1"/>
  <c r="A70" i="15" s="1"/>
  <c r="A71" i="15" s="1"/>
  <c r="A72" i="15" s="1"/>
  <c r="A73" i="15" s="1"/>
  <c r="A74" i="15" s="1"/>
  <c r="A75" i="15" s="1"/>
  <c r="A76" i="15" s="1"/>
  <c r="A77" i="15" s="1"/>
  <c r="A78" i="15" s="1"/>
  <c r="A79" i="15" s="1"/>
  <c r="A80" i="15" s="1"/>
  <c r="A81" i="15" s="1"/>
  <c r="A82" i="15" s="1"/>
  <c r="I82" i="15" s="1"/>
  <c r="I22" i="15"/>
  <c r="I23" i="15" l="1"/>
  <c r="I24" i="15" l="1"/>
  <c r="I25" i="15" l="1"/>
  <c r="B3" i="14" s="1"/>
  <c r="B5" i="14" s="1"/>
  <c r="I26" i="15" l="1"/>
  <c r="I27" i="15" l="1"/>
  <c r="AV22" i="1"/>
  <c r="I28" i="15" l="1"/>
  <c r="I29" i="15" l="1"/>
  <c r="I30" i="15" l="1"/>
  <c r="I31" i="15" l="1"/>
  <c r="I32" i="15" l="1"/>
  <c r="I33" i="15" l="1"/>
  <c r="I34" i="15" l="1"/>
  <c r="I35" i="15" l="1"/>
  <c r="I36" i="15" l="1"/>
  <c r="I37" i="15" l="1"/>
  <c r="I38" i="15" l="1"/>
  <c r="I39" i="15" l="1"/>
  <c r="AW42" i="1"/>
  <c r="AV40" i="1"/>
  <c r="AV39" i="1"/>
  <c r="AW37" i="1"/>
  <c r="AV36" i="1"/>
  <c r="AW35" i="1"/>
  <c r="AV35" i="1"/>
  <c r="AV33" i="1"/>
  <c r="AV32" i="1"/>
  <c r="AW31" i="1"/>
  <c r="AW28" i="1"/>
  <c r="AV28" i="1"/>
  <c r="AV26" i="1"/>
  <c r="AW25" i="1"/>
  <c r="AV25" i="1"/>
  <c r="AV21" i="1"/>
  <c r="AW20" i="1"/>
  <c r="AV20" i="1"/>
  <c r="AV23" i="1"/>
  <c r="AV24" i="1"/>
  <c r="AW24" i="1"/>
  <c r="AV27" i="1"/>
  <c r="AW27" i="1"/>
  <c r="AV29" i="1"/>
  <c r="AW29" i="1"/>
  <c r="AV30" i="1"/>
  <c r="AW30" i="1"/>
  <c r="AV31" i="1"/>
  <c r="AW32" i="1"/>
  <c r="AW33" i="1"/>
  <c r="AV34" i="1"/>
  <c r="AW36" i="1"/>
  <c r="AV37" i="1"/>
  <c r="AV38" i="1"/>
  <c r="AW38" i="1"/>
  <c r="AW39" i="1"/>
  <c r="AW41" i="1"/>
  <c r="AV42" i="1"/>
  <c r="AV43" i="1"/>
  <c r="AV44" i="1"/>
  <c r="AW44" i="1"/>
  <c r="AV45" i="1"/>
  <c r="AW45" i="1"/>
  <c r="AU17" i="1"/>
  <c r="A425" i="13" s="1"/>
  <c r="B426" i="13" s="1"/>
  <c r="B440" i="13" s="1"/>
  <c r="I40" i="15" l="1"/>
  <c r="AW21" i="1"/>
  <c r="AW40" i="1"/>
  <c r="AW26" i="1"/>
  <c r="AW34" i="1"/>
  <c r="AW43" i="1"/>
  <c r="AW22" i="1"/>
  <c r="AW50" i="1" s="1"/>
  <c r="AW23" i="1"/>
  <c r="AW46" i="1" l="1"/>
  <c r="AW47" i="1" s="1"/>
  <c r="I41" i="15"/>
  <c r="I42" i="15" l="1"/>
  <c r="I43" i="15" l="1"/>
  <c r="I44" i="15" l="1"/>
  <c r="I45" i="15" l="1"/>
  <c r="I46" i="15" l="1"/>
  <c r="I47" i="15" l="1"/>
  <c r="I48" i="15" l="1"/>
  <c r="I49" i="15" l="1"/>
  <c r="AS43" i="1"/>
  <c r="AS42" i="1"/>
  <c r="AR42" i="1"/>
  <c r="AS40" i="1"/>
  <c r="AS38" i="1"/>
  <c r="AR38" i="1"/>
  <c r="AR36" i="1"/>
  <c r="AR35" i="1"/>
  <c r="AS35" i="1"/>
  <c r="AR32" i="1"/>
  <c r="AR30" i="1"/>
  <c r="AS30" i="1"/>
  <c r="AS28" i="1"/>
  <c r="AR27" i="1"/>
  <c r="AS27" i="1"/>
  <c r="AS26" i="1"/>
  <c r="AR26" i="1"/>
  <c r="AS25" i="1"/>
  <c r="AR25" i="1"/>
  <c r="AR23" i="1"/>
  <c r="AR22" i="1"/>
  <c r="AR21" i="1"/>
  <c r="AS20" i="1"/>
  <c r="AR20" i="1"/>
  <c r="AR24" i="1"/>
  <c r="AR28" i="1"/>
  <c r="AR29" i="1"/>
  <c r="AS29" i="1"/>
  <c r="AR31" i="1"/>
  <c r="AS32" i="1"/>
  <c r="AR33" i="1"/>
  <c r="AS33" i="1"/>
  <c r="AR34" i="1"/>
  <c r="AS36" i="1"/>
  <c r="AR37" i="1"/>
  <c r="AS37" i="1"/>
  <c r="AR39" i="1"/>
  <c r="AS39" i="1"/>
  <c r="AR40" i="1"/>
  <c r="AS41" i="1"/>
  <c r="AR43" i="1"/>
  <c r="AR44" i="1"/>
  <c r="AS44" i="1"/>
  <c r="AR45" i="1"/>
  <c r="AS45" i="1"/>
  <c r="I50" i="15" l="1"/>
  <c r="AS24" i="1"/>
  <c r="AS22" i="1"/>
  <c r="AS50" i="1" s="1"/>
  <c r="AS31" i="1"/>
  <c r="AS34" i="1"/>
  <c r="AS23" i="1"/>
  <c r="AS21" i="1"/>
  <c r="AS46" i="1" l="1"/>
  <c r="I51" i="15"/>
  <c r="I52" i="15" l="1"/>
  <c r="I53" i="15" l="1"/>
  <c r="I54" i="15" l="1"/>
  <c r="I55" i="15" l="1"/>
  <c r="I56" i="15" l="1"/>
  <c r="I57" i="15" l="1"/>
  <c r="I58" i="15" l="1"/>
  <c r="I59" i="15" l="1"/>
  <c r="I60" i="15" l="1"/>
  <c r="I61" i="15" l="1"/>
  <c r="I62" i="15" l="1"/>
  <c r="AN24" i="1"/>
  <c r="AN26" i="1"/>
  <c r="AN27" i="1"/>
  <c r="AN28" i="1"/>
  <c r="AO28" i="1"/>
  <c r="AN30" i="1"/>
  <c r="AN31" i="1"/>
  <c r="AN33" i="1"/>
  <c r="AO33" i="1"/>
  <c r="AO34" i="1"/>
  <c r="AN36" i="1"/>
  <c r="AN37" i="1"/>
  <c r="AO39" i="1"/>
  <c r="AN40" i="1"/>
  <c r="AO41" i="1"/>
  <c r="AN44" i="1"/>
  <c r="AO44" i="1"/>
  <c r="AN45" i="1"/>
  <c r="AO45" i="1"/>
  <c r="I63" i="15" l="1"/>
  <c r="AO43" i="1"/>
  <c r="AN43" i="1"/>
  <c r="AN42" i="1"/>
  <c r="AO40" i="1"/>
  <c r="AN39" i="1"/>
  <c r="AO38" i="1"/>
  <c r="AN38" i="1"/>
  <c r="AO37" i="1"/>
  <c r="AO36" i="1"/>
  <c r="AO35" i="1"/>
  <c r="AN35" i="1"/>
  <c r="AN34" i="1"/>
  <c r="AO32" i="1"/>
  <c r="AN32" i="1"/>
  <c r="AO31" i="1"/>
  <c r="AO30" i="1"/>
  <c r="AO29" i="1"/>
  <c r="AN29" i="1"/>
  <c r="AO27" i="1"/>
  <c r="AO26" i="1"/>
  <c r="AO25" i="1"/>
  <c r="AN25" i="1"/>
  <c r="AO24" i="1"/>
  <c r="AN23" i="1"/>
  <c r="AN22" i="1"/>
  <c r="AN21" i="1"/>
  <c r="AO20" i="1"/>
  <c r="AN20" i="1"/>
  <c r="S17" i="1"/>
  <c r="A425" i="6" s="1"/>
  <c r="B426" i="6" s="1"/>
  <c r="B440" i="6" s="1"/>
  <c r="W17" i="1"/>
  <c r="A425" i="7" s="1"/>
  <c r="B426" i="7" s="1"/>
  <c r="B440" i="7" s="1"/>
  <c r="AA17" i="1"/>
  <c r="A425" i="8" s="1"/>
  <c r="B426" i="8" s="1"/>
  <c r="B440" i="8" s="1"/>
  <c r="AE17" i="1"/>
  <c r="A425" i="9" s="1"/>
  <c r="B426" i="9" s="1"/>
  <c r="B440" i="9" s="1"/>
  <c r="AI17" i="1"/>
  <c r="A425" i="10" s="1"/>
  <c r="B426" i="10" s="1"/>
  <c r="B440" i="10" s="1"/>
  <c r="AM17" i="1"/>
  <c r="A425" i="11" s="1"/>
  <c r="B426" i="11" s="1"/>
  <c r="B440" i="11" s="1"/>
  <c r="AQ17" i="1"/>
  <c r="A425" i="12" s="1"/>
  <c r="B426" i="12" s="1"/>
  <c r="B440" i="12" s="1"/>
  <c r="O17" i="1"/>
  <c r="A425" i="5" s="1"/>
  <c r="B426" i="5" s="1"/>
  <c r="B440" i="5" s="1"/>
  <c r="K17" i="1"/>
  <c r="A425" i="4" s="1"/>
  <c r="B426" i="4" s="1"/>
  <c r="B440" i="4" s="1"/>
  <c r="G17" i="1"/>
  <c r="A425" i="3" s="1"/>
  <c r="C17" i="1"/>
  <c r="B426" i="2" s="1"/>
  <c r="B440" i="2" s="1"/>
  <c r="B426" i="3" l="1"/>
  <c r="B440" i="3" s="1"/>
  <c r="I64" i="15"/>
  <c r="AF41" i="1"/>
  <c r="AO21" i="1"/>
  <c r="AO22" i="1"/>
  <c r="AO50" i="1" s="1"/>
  <c r="AO42" i="1"/>
  <c r="AO23" i="1"/>
  <c r="AO46" i="1" l="1"/>
  <c r="I65" i="15"/>
  <c r="AJ43" i="1"/>
  <c r="AJ42" i="1"/>
  <c r="AJ41" i="1"/>
  <c r="AK40" i="1"/>
  <c r="AJ39" i="1"/>
  <c r="AK38" i="1"/>
  <c r="AK37" i="1"/>
  <c r="AJ36" i="1"/>
  <c r="AJ35" i="1"/>
  <c r="AK33" i="1"/>
  <c r="AJ32" i="1"/>
  <c r="AK30" i="1"/>
  <c r="AK29" i="1"/>
  <c r="AK28" i="1"/>
  <c r="AK26" i="1"/>
  <c r="AJ26" i="1"/>
  <c r="AK25" i="1"/>
  <c r="AK24" i="1"/>
  <c r="AJ23" i="1"/>
  <c r="AK23" i="1"/>
  <c r="AK22" i="1"/>
  <c r="AK50" i="1" s="1"/>
  <c r="AJ22" i="1"/>
  <c r="AJ21" i="1"/>
  <c r="AK20" i="1"/>
  <c r="AJ20" i="1"/>
  <c r="AJ24" i="1"/>
  <c r="AJ25" i="1"/>
  <c r="AJ27" i="1"/>
  <c r="AJ28" i="1"/>
  <c r="AJ29" i="1"/>
  <c r="AJ30" i="1"/>
  <c r="AJ31" i="1"/>
  <c r="AK32" i="1"/>
  <c r="AJ33" i="1"/>
  <c r="AJ34" i="1"/>
  <c r="AK35" i="1"/>
  <c r="AK36" i="1"/>
  <c r="AJ37" i="1"/>
  <c r="AJ38" i="1"/>
  <c r="AK39" i="1"/>
  <c r="AJ40" i="1"/>
  <c r="AK41" i="1"/>
  <c r="AJ44" i="1"/>
  <c r="AK44" i="1"/>
  <c r="AJ45" i="1"/>
  <c r="AK45" i="1"/>
  <c r="I66" i="15" l="1"/>
  <c r="AK31" i="1"/>
  <c r="AK34" i="1"/>
  <c r="AK42" i="1"/>
  <c r="AK43" i="1"/>
  <c r="AK27" i="1"/>
  <c r="AK21" i="1"/>
  <c r="I67" i="15" l="1"/>
  <c r="AK46" i="1"/>
  <c r="AK47" i="1" s="1"/>
  <c r="I68" i="15" l="1"/>
  <c r="AF25" i="1"/>
  <c r="AF26" i="1"/>
  <c r="AF34" i="1"/>
  <c r="AG36" i="1"/>
  <c r="AF37" i="1"/>
  <c r="AG37" i="1"/>
  <c r="AG39" i="1"/>
  <c r="AF40" i="1"/>
  <c r="AG40" i="1"/>
  <c r="AF43" i="1"/>
  <c r="AF44" i="1"/>
  <c r="AG44" i="1"/>
  <c r="AF45" i="1"/>
  <c r="AG45" i="1"/>
  <c r="I69" i="15" l="1"/>
  <c r="AG42" i="1"/>
  <c r="AF42" i="1"/>
  <c r="AG41" i="1"/>
  <c r="AF39" i="1"/>
  <c r="AG38" i="1"/>
  <c r="AF38" i="1"/>
  <c r="AF36" i="1"/>
  <c r="AF35" i="1"/>
  <c r="AG35" i="1"/>
  <c r="AG33" i="1"/>
  <c r="AF33" i="1"/>
  <c r="AF32" i="1"/>
  <c r="AF31" i="1"/>
  <c r="AG30" i="1"/>
  <c r="AF30" i="1"/>
  <c r="AF29" i="1"/>
  <c r="AG29" i="1"/>
  <c r="AF28" i="1"/>
  <c r="AG27" i="1"/>
  <c r="AF27" i="1"/>
  <c r="AG26" i="1"/>
  <c r="AG25" i="1"/>
  <c r="AF24" i="1"/>
  <c r="AG24" i="1"/>
  <c r="AG23" i="1"/>
  <c r="AF23" i="1"/>
  <c r="AF22" i="1"/>
  <c r="AF21" i="1"/>
  <c r="AG20" i="1"/>
  <c r="AF20" i="1"/>
  <c r="I70" i="15" l="1"/>
  <c r="AG28" i="1"/>
  <c r="AG22" i="1"/>
  <c r="AG50" i="1" s="1"/>
  <c r="AG43" i="1"/>
  <c r="AG31" i="1"/>
  <c r="AG34" i="1"/>
  <c r="AG32" i="1"/>
  <c r="AG21" i="1"/>
  <c r="I71" i="15" l="1"/>
  <c r="AG46" i="1"/>
  <c r="AG47" i="1" s="1"/>
  <c r="AC43" i="1"/>
  <c r="AB43" i="1"/>
  <c r="AB42" i="1"/>
  <c r="AC41" i="1"/>
  <c r="AB41" i="1"/>
  <c r="AC40" i="1"/>
  <c r="AB39" i="1"/>
  <c r="AC38" i="1"/>
  <c r="AB36" i="1"/>
  <c r="AC35" i="1"/>
  <c r="AB35" i="1"/>
  <c r="AB34" i="1"/>
  <c r="AB33" i="1"/>
  <c r="AB31" i="1"/>
  <c r="AC30" i="1"/>
  <c r="AB30" i="1"/>
  <c r="AC29" i="1"/>
  <c r="AB28" i="1"/>
  <c r="AC27" i="1"/>
  <c r="AC26" i="1"/>
  <c r="AB26" i="1"/>
  <c r="AC25" i="1"/>
  <c r="AB25" i="1"/>
  <c r="AB23" i="1"/>
  <c r="AB22" i="1"/>
  <c r="AC22" i="1"/>
  <c r="AC50" i="1" s="1"/>
  <c r="AC21" i="1"/>
  <c r="AB21" i="1"/>
  <c r="AB20" i="1"/>
  <c r="AB24" i="1"/>
  <c r="AB27" i="1"/>
  <c r="AC28" i="1"/>
  <c r="AB29" i="1"/>
  <c r="AB32" i="1"/>
  <c r="AC33" i="1"/>
  <c r="AC36" i="1"/>
  <c r="AB37" i="1"/>
  <c r="AC37" i="1"/>
  <c r="AB38" i="1"/>
  <c r="AC39" i="1"/>
  <c r="AB40" i="1"/>
  <c r="AC42" i="1"/>
  <c r="AB44" i="1"/>
  <c r="AC44" i="1"/>
  <c r="AB45" i="1"/>
  <c r="AC45" i="1"/>
  <c r="I72" i="15" l="1"/>
  <c r="AC31" i="1"/>
  <c r="AC23" i="1"/>
  <c r="AC24" i="1"/>
  <c r="AC20" i="1"/>
  <c r="AC32" i="1"/>
  <c r="AC34" i="1"/>
  <c r="I73" i="15" l="1"/>
  <c r="AC46" i="1"/>
  <c r="AC47" i="1" s="1"/>
  <c r="AS47" i="1"/>
  <c r="AO47" i="1"/>
  <c r="AF46" i="1"/>
  <c r="AF47" i="1" s="1"/>
  <c r="AB46" i="1"/>
  <c r="AB47" i="1" s="1"/>
  <c r="I74" i="15" l="1"/>
  <c r="AJ46" i="1"/>
  <c r="AJ47" i="1" s="1"/>
  <c r="I75" i="15" l="1"/>
  <c r="I33" i="1"/>
  <c r="X26" i="1"/>
  <c r="Y28" i="1"/>
  <c r="X29" i="1"/>
  <c r="X33" i="1"/>
  <c r="Y33" i="1"/>
  <c r="X36" i="1"/>
  <c r="Y36" i="1"/>
  <c r="Y37" i="1"/>
  <c r="X38" i="1"/>
  <c r="Y39" i="1"/>
  <c r="X40" i="1"/>
  <c r="Y40" i="1"/>
  <c r="Y41" i="1"/>
  <c r="X43" i="1"/>
  <c r="Y43" i="1"/>
  <c r="X44" i="1"/>
  <c r="Y44" i="1"/>
  <c r="X45" i="1"/>
  <c r="Y45" i="1"/>
  <c r="T23" i="1"/>
  <c r="U23" i="1"/>
  <c r="T24" i="1"/>
  <c r="U24" i="1"/>
  <c r="T25" i="1"/>
  <c r="U25" i="1"/>
  <c r="T26" i="1"/>
  <c r="U26" i="1"/>
  <c r="T27" i="1"/>
  <c r="U27" i="1"/>
  <c r="T28" i="1"/>
  <c r="U28" i="1"/>
  <c r="T29" i="1"/>
  <c r="U29" i="1"/>
  <c r="T30" i="1"/>
  <c r="U30" i="1"/>
  <c r="T31" i="1"/>
  <c r="U31" i="1"/>
  <c r="T32" i="1"/>
  <c r="U32" i="1"/>
  <c r="T33" i="1"/>
  <c r="U33" i="1"/>
  <c r="T34" i="1"/>
  <c r="U34" i="1"/>
  <c r="T35" i="1"/>
  <c r="U35" i="1"/>
  <c r="T36" i="1"/>
  <c r="U36" i="1"/>
  <c r="T37" i="1"/>
  <c r="U37" i="1"/>
  <c r="T38" i="1"/>
  <c r="U38" i="1"/>
  <c r="T39" i="1"/>
  <c r="U39" i="1"/>
  <c r="T40" i="1"/>
  <c r="U40" i="1"/>
  <c r="T41" i="1"/>
  <c r="U41" i="1"/>
  <c r="T42" i="1"/>
  <c r="U42" i="1"/>
  <c r="T43" i="1"/>
  <c r="U43" i="1"/>
  <c r="T44" i="1"/>
  <c r="U44" i="1"/>
  <c r="T45" i="1"/>
  <c r="U45" i="1"/>
  <c r="P24" i="1"/>
  <c r="P25" i="1"/>
  <c r="P26" i="1"/>
  <c r="P27" i="1"/>
  <c r="P29" i="1"/>
  <c r="Q29" i="1"/>
  <c r="P33" i="1"/>
  <c r="Q33" i="1"/>
  <c r="P34" i="1"/>
  <c r="P36" i="1"/>
  <c r="Q36" i="1"/>
  <c r="P37" i="1"/>
  <c r="P38" i="1"/>
  <c r="P39" i="1"/>
  <c r="Q39" i="1"/>
  <c r="P40" i="1"/>
  <c r="Q41" i="1"/>
  <c r="P42" i="1"/>
  <c r="P43" i="1"/>
  <c r="Q43" i="1"/>
  <c r="P44" i="1"/>
  <c r="Q44" i="1"/>
  <c r="Q45" i="1"/>
  <c r="L20" i="1"/>
  <c r="L25" i="1"/>
  <c r="L26" i="1"/>
  <c r="L27" i="1"/>
  <c r="L29" i="1"/>
  <c r="L30" i="1"/>
  <c r="L33" i="1"/>
  <c r="M33" i="1"/>
  <c r="L34" i="1"/>
  <c r="L36" i="1"/>
  <c r="M36" i="1"/>
  <c r="L37" i="1"/>
  <c r="L38" i="1"/>
  <c r="L39" i="1"/>
  <c r="M39" i="1"/>
  <c r="L40" i="1"/>
  <c r="M40" i="1"/>
  <c r="M41" i="1"/>
  <c r="L42" i="1"/>
  <c r="L43" i="1"/>
  <c r="M43" i="1"/>
  <c r="L44" i="1"/>
  <c r="M44" i="1"/>
  <c r="M45" i="1"/>
  <c r="H20" i="1"/>
  <c r="H21" i="1"/>
  <c r="H25" i="1"/>
  <c r="H26" i="1"/>
  <c r="H27" i="1"/>
  <c r="H28" i="1"/>
  <c r="I28" i="1"/>
  <c r="H29" i="1"/>
  <c r="H30" i="1"/>
  <c r="H31" i="1"/>
  <c r="H32" i="1"/>
  <c r="H33" i="1"/>
  <c r="H34" i="1"/>
  <c r="H36" i="1"/>
  <c r="I36" i="1"/>
  <c r="H37" i="1"/>
  <c r="I37" i="1"/>
  <c r="H38" i="1"/>
  <c r="I39" i="1"/>
  <c r="H40" i="1"/>
  <c r="I40" i="1"/>
  <c r="H41" i="1"/>
  <c r="H42" i="1"/>
  <c r="H43" i="1"/>
  <c r="I43" i="1"/>
  <c r="H44" i="1"/>
  <c r="I44" i="1"/>
  <c r="I45" i="1"/>
  <c r="I76" i="15" l="1"/>
  <c r="U46" i="1"/>
  <c r="Y42" i="1"/>
  <c r="X42" i="1"/>
  <c r="X41" i="1"/>
  <c r="X39" i="1"/>
  <c r="X37" i="1"/>
  <c r="Y35" i="1"/>
  <c r="X35" i="1"/>
  <c r="X34" i="1"/>
  <c r="Y32" i="1"/>
  <c r="X32" i="1"/>
  <c r="Y31" i="1"/>
  <c r="X31" i="1"/>
  <c r="Y30" i="1"/>
  <c r="X30" i="1"/>
  <c r="Y29" i="1"/>
  <c r="X28" i="1"/>
  <c r="Y27" i="1"/>
  <c r="X27" i="1"/>
  <c r="Y26" i="1"/>
  <c r="Y25" i="1"/>
  <c r="X25" i="1"/>
  <c r="X24" i="1"/>
  <c r="Y23" i="1"/>
  <c r="X23" i="1"/>
  <c r="X22" i="1"/>
  <c r="Y21" i="1"/>
  <c r="X21" i="1"/>
  <c r="Y20" i="1"/>
  <c r="X20" i="1"/>
  <c r="Q42" i="1"/>
  <c r="P41" i="1"/>
  <c r="Q40" i="1"/>
  <c r="Q38" i="1"/>
  <c r="Q37" i="1"/>
  <c r="Q35" i="1"/>
  <c r="P35" i="1"/>
  <c r="Q34" i="1"/>
  <c r="Q32" i="1"/>
  <c r="P32" i="1"/>
  <c r="P31" i="1"/>
  <c r="Q30" i="1"/>
  <c r="P30" i="1"/>
  <c r="Q28" i="1"/>
  <c r="P28" i="1"/>
  <c r="Q27" i="1"/>
  <c r="Q26" i="1"/>
  <c r="Q25" i="1"/>
  <c r="Q24" i="1"/>
  <c r="P23" i="1"/>
  <c r="Q22" i="1"/>
  <c r="Q50" i="1" s="1"/>
  <c r="P22" i="1"/>
  <c r="Q21" i="1"/>
  <c r="P21" i="1"/>
  <c r="Q20" i="1"/>
  <c r="P20" i="1"/>
  <c r="L41" i="1"/>
  <c r="M38" i="1"/>
  <c r="M37" i="1"/>
  <c r="L35" i="1"/>
  <c r="L32" i="1"/>
  <c r="M31" i="1"/>
  <c r="L31" i="1"/>
  <c r="M29" i="1"/>
  <c r="M28" i="1"/>
  <c r="L28" i="1"/>
  <c r="M27" i="1"/>
  <c r="M26" i="1"/>
  <c r="M25" i="1"/>
  <c r="M24" i="1"/>
  <c r="L24" i="1"/>
  <c r="L23" i="1"/>
  <c r="L22" i="1"/>
  <c r="M21" i="1"/>
  <c r="M20" i="1"/>
  <c r="I42" i="1"/>
  <c r="I41" i="1"/>
  <c r="H39" i="1"/>
  <c r="H35" i="1"/>
  <c r="I34" i="1"/>
  <c r="I31" i="1"/>
  <c r="I30" i="1"/>
  <c r="I29" i="1"/>
  <c r="I27" i="1"/>
  <c r="I26" i="1"/>
  <c r="I25" i="1"/>
  <c r="I24" i="1"/>
  <c r="H24" i="1"/>
  <c r="H23" i="1"/>
  <c r="H22" i="1"/>
  <c r="I21" i="1"/>
  <c r="I77" i="15" l="1"/>
  <c r="Y24" i="1"/>
  <c r="Y34" i="1"/>
  <c r="Y22" i="1"/>
  <c r="Y50" i="1" s="1"/>
  <c r="Y38" i="1"/>
  <c r="Q31" i="1"/>
  <c r="Q23" i="1"/>
  <c r="M34" i="1"/>
  <c r="M22" i="1"/>
  <c r="M50" i="1" s="1"/>
  <c r="M35" i="1"/>
  <c r="M32" i="1"/>
  <c r="M30" i="1"/>
  <c r="M23" i="1"/>
  <c r="M42" i="1"/>
  <c r="I32" i="1"/>
  <c r="I23" i="1"/>
  <c r="I38" i="1"/>
  <c r="I22" i="1"/>
  <c r="I50" i="1" s="1"/>
  <c r="I20" i="1"/>
  <c r="I35" i="1"/>
  <c r="U47" i="1"/>
  <c r="X46" i="1"/>
  <c r="X47" i="1" s="1"/>
  <c r="T46" i="1"/>
  <c r="T47" i="1" s="1"/>
  <c r="I78" i="15" l="1"/>
  <c r="Y46" i="1"/>
  <c r="Y47" i="1" s="1"/>
  <c r="M46" i="1"/>
  <c r="M47" i="1" s="1"/>
  <c r="Q46" i="1"/>
  <c r="Q47" i="1" s="1"/>
  <c r="I46" i="1"/>
  <c r="I47" i="1" s="1"/>
  <c r="I79" i="15" l="1"/>
  <c r="D45" i="1"/>
  <c r="BE45" i="1" s="1"/>
  <c r="BH45" i="1" s="1"/>
  <c r="E45" i="1"/>
  <c r="I80" i="15" l="1"/>
  <c r="F45" i="1"/>
  <c r="J45" i="1" s="1"/>
  <c r="N45" i="1" s="1"/>
  <c r="R45" i="1" s="1"/>
  <c r="V45" i="1" s="1"/>
  <c r="Z45" i="1" s="1"/>
  <c r="AD45" i="1" s="1"/>
  <c r="AH45" i="1" s="1"/>
  <c r="AL45" i="1" s="1"/>
  <c r="AP45" i="1" s="1"/>
  <c r="AT45" i="1" s="1"/>
  <c r="AX45" i="1" l="1"/>
  <c r="BJ45" i="1"/>
  <c r="I81" i="15"/>
  <c r="D44" i="1"/>
  <c r="BE44" i="1" s="1"/>
  <c r="BH44" i="1" s="1"/>
  <c r="D43" i="1"/>
  <c r="BE43" i="1" s="1"/>
  <c r="BH43" i="1" s="1"/>
  <c r="D42" i="1"/>
  <c r="BE42" i="1" s="1"/>
  <c r="BH42" i="1" s="1"/>
  <c r="D41" i="1"/>
  <c r="D38" i="1"/>
  <c r="BE38" i="1" s="1"/>
  <c r="BH38" i="1" s="1"/>
  <c r="D37" i="1"/>
  <c r="BE37" i="1" s="1"/>
  <c r="BH37" i="1" s="1"/>
  <c r="D36" i="1"/>
  <c r="BE36" i="1" s="1"/>
  <c r="BH36" i="1" s="1"/>
  <c r="D33" i="1"/>
  <c r="BE33" i="1" s="1"/>
  <c r="BH33" i="1" s="1"/>
  <c r="D31" i="1"/>
  <c r="BE31" i="1" s="1"/>
  <c r="BH31" i="1" s="1"/>
  <c r="D29" i="1"/>
  <c r="BE29" i="1" s="1"/>
  <c r="BH29" i="1" s="1"/>
  <c r="D28" i="1"/>
  <c r="BE28" i="1" s="1"/>
  <c r="BH28" i="1" s="1"/>
  <c r="D25" i="1"/>
  <c r="BE25" i="1" s="1"/>
  <c r="BH25" i="1" s="1"/>
  <c r="D24" i="1"/>
  <c r="BE24" i="1" s="1"/>
  <c r="BH24" i="1" s="1"/>
  <c r="E21" i="1"/>
  <c r="E10" i="14" l="1"/>
  <c r="E11" i="14" s="1"/>
  <c r="B13" i="14" s="1"/>
  <c r="D25" i="15" s="1"/>
  <c r="E25" i="15" s="1"/>
  <c r="D39" i="1"/>
  <c r="BE39" i="1" s="1"/>
  <c r="BH39" i="1" s="1"/>
  <c r="D34" i="1"/>
  <c r="BE34" i="1" s="1"/>
  <c r="BH34" i="1" s="1"/>
  <c r="D32" i="1"/>
  <c r="BE32" i="1" s="1"/>
  <c r="BH32" i="1" s="1"/>
  <c r="D30" i="1"/>
  <c r="BE30" i="1" s="1"/>
  <c r="BH30" i="1" s="1"/>
  <c r="D27" i="1"/>
  <c r="BE27" i="1" s="1"/>
  <c r="BH27" i="1" s="1"/>
  <c r="D23" i="1"/>
  <c r="BE23" i="1" s="1"/>
  <c r="BH23" i="1" s="1"/>
  <c r="D22" i="1"/>
  <c r="BE22" i="1" s="1"/>
  <c r="BH22" i="1" s="1"/>
  <c r="D21" i="1"/>
  <c r="BE21" i="1" s="1"/>
  <c r="BH21" i="1" s="1"/>
  <c r="E27" i="1"/>
  <c r="E40" i="1"/>
  <c r="E42" i="1"/>
  <c r="F42" i="1" s="1"/>
  <c r="J42" i="1" s="1"/>
  <c r="N42" i="1" s="1"/>
  <c r="R42" i="1" s="1"/>
  <c r="V42" i="1" s="1"/>
  <c r="Z42" i="1" s="1"/>
  <c r="AD42" i="1" s="1"/>
  <c r="AH42" i="1" s="1"/>
  <c r="AL42" i="1" s="1"/>
  <c r="AP42" i="1" s="1"/>
  <c r="AT42" i="1" s="1"/>
  <c r="E25" i="1"/>
  <c r="F25" i="1" s="1"/>
  <c r="J25" i="1" s="1"/>
  <c r="N25" i="1" s="1"/>
  <c r="R25" i="1" s="1"/>
  <c r="V25" i="1" s="1"/>
  <c r="Z25" i="1" s="1"/>
  <c r="AD25" i="1" s="1"/>
  <c r="AH25" i="1" s="1"/>
  <c r="AL25" i="1" s="1"/>
  <c r="AP25" i="1" s="1"/>
  <c r="AT25" i="1" s="1"/>
  <c r="E36" i="1"/>
  <c r="E38" i="1"/>
  <c r="E28" i="1"/>
  <c r="F28" i="1" s="1"/>
  <c r="J28" i="1" s="1"/>
  <c r="N28" i="1" s="1"/>
  <c r="R28" i="1" s="1"/>
  <c r="V28" i="1" s="1"/>
  <c r="Z28" i="1" s="1"/>
  <c r="AD28" i="1" s="1"/>
  <c r="AH28" i="1" s="1"/>
  <c r="AL28" i="1" s="1"/>
  <c r="AP28" i="1" s="1"/>
  <c r="AT28" i="1" s="1"/>
  <c r="E30" i="1"/>
  <c r="E32" i="1"/>
  <c r="E34" i="1"/>
  <c r="AZ34" i="1" s="1"/>
  <c r="E22" i="1"/>
  <c r="E50" i="1" s="1"/>
  <c r="E44" i="1"/>
  <c r="F44" i="1" s="1"/>
  <c r="J44" i="1" s="1"/>
  <c r="N44" i="1" s="1"/>
  <c r="R44" i="1" s="1"/>
  <c r="V44" i="1" s="1"/>
  <c r="Z44" i="1" s="1"/>
  <c r="AD44" i="1" s="1"/>
  <c r="AH44" i="1" s="1"/>
  <c r="AL44" i="1" s="1"/>
  <c r="AP44" i="1" s="1"/>
  <c r="AT44" i="1" s="1"/>
  <c r="E24" i="1"/>
  <c r="F24" i="1" s="1"/>
  <c r="J24" i="1" s="1"/>
  <c r="N24" i="1" s="1"/>
  <c r="R24" i="1" s="1"/>
  <c r="V24" i="1" s="1"/>
  <c r="Z24" i="1" s="1"/>
  <c r="AD24" i="1" s="1"/>
  <c r="E26" i="1"/>
  <c r="E23" i="1"/>
  <c r="E29" i="1"/>
  <c r="F29" i="1" s="1"/>
  <c r="J29" i="1" s="1"/>
  <c r="N29" i="1" s="1"/>
  <c r="R29" i="1" s="1"/>
  <c r="V29" i="1" s="1"/>
  <c r="Z29" i="1" s="1"/>
  <c r="AD29" i="1" s="1"/>
  <c r="AH29" i="1" s="1"/>
  <c r="AL29" i="1" s="1"/>
  <c r="AP29" i="1" s="1"/>
  <c r="AT29" i="1" s="1"/>
  <c r="E31" i="1"/>
  <c r="F31" i="1" s="1"/>
  <c r="J31" i="1" s="1"/>
  <c r="N31" i="1" s="1"/>
  <c r="R31" i="1" s="1"/>
  <c r="V31" i="1" s="1"/>
  <c r="Z31" i="1" s="1"/>
  <c r="AD31" i="1" s="1"/>
  <c r="AH31" i="1" s="1"/>
  <c r="AL31" i="1" s="1"/>
  <c r="AP31" i="1" s="1"/>
  <c r="AT31" i="1" s="1"/>
  <c r="E33" i="1"/>
  <c r="F33" i="1" s="1"/>
  <c r="J33" i="1" s="1"/>
  <c r="N33" i="1" s="1"/>
  <c r="R33" i="1" s="1"/>
  <c r="V33" i="1" s="1"/>
  <c r="Z33" i="1" s="1"/>
  <c r="AD33" i="1" s="1"/>
  <c r="AH33" i="1" s="1"/>
  <c r="AL33" i="1" s="1"/>
  <c r="AP33" i="1" s="1"/>
  <c r="AT33" i="1" s="1"/>
  <c r="E35" i="1"/>
  <c r="E37" i="1"/>
  <c r="F37" i="1" s="1"/>
  <c r="J37" i="1" s="1"/>
  <c r="N37" i="1" s="1"/>
  <c r="R37" i="1" s="1"/>
  <c r="V37" i="1" s="1"/>
  <c r="Z37" i="1" s="1"/>
  <c r="AD37" i="1" s="1"/>
  <c r="AH37" i="1" s="1"/>
  <c r="AL37" i="1" s="1"/>
  <c r="AP37" i="1" s="1"/>
  <c r="AT37" i="1" s="1"/>
  <c r="E39" i="1"/>
  <c r="E41" i="1"/>
  <c r="F41" i="1" s="1"/>
  <c r="J41" i="1" s="1"/>
  <c r="E43" i="1"/>
  <c r="F43" i="1" s="1"/>
  <c r="J43" i="1" s="1"/>
  <c r="N43" i="1" s="1"/>
  <c r="R43" i="1" s="1"/>
  <c r="V43" i="1" s="1"/>
  <c r="Z43" i="1" s="1"/>
  <c r="AD43" i="1" s="1"/>
  <c r="AH43" i="1" s="1"/>
  <c r="AL43" i="1" s="1"/>
  <c r="AP43" i="1" s="1"/>
  <c r="AT43" i="1" s="1"/>
  <c r="N41" i="1" l="1"/>
  <c r="R41" i="1" s="1"/>
  <c r="V41" i="1" s="1"/>
  <c r="Z41" i="1" s="1"/>
  <c r="AD41" i="1" s="1"/>
  <c r="AH41" i="1" s="1"/>
  <c r="AL41" i="1" s="1"/>
  <c r="H427" i="3"/>
  <c r="G24" i="15"/>
  <c r="G85" i="15" s="1"/>
  <c r="E17" i="14"/>
  <c r="M6" i="14"/>
  <c r="B15" i="14"/>
  <c r="K6" i="14" s="1"/>
  <c r="L7" i="14" s="1"/>
  <c r="M7" i="14" s="1"/>
  <c r="AX44" i="1"/>
  <c r="BJ44" i="1"/>
  <c r="AX33" i="1"/>
  <c r="BJ33" i="1"/>
  <c r="AX37" i="1"/>
  <c r="BJ37" i="1"/>
  <c r="AX42" i="1"/>
  <c r="BJ42" i="1" s="1"/>
  <c r="AX31" i="1"/>
  <c r="BJ31" i="1" s="1"/>
  <c r="AX28" i="1"/>
  <c r="BJ28" i="1"/>
  <c r="AX25" i="1"/>
  <c r="BJ25" i="1"/>
  <c r="AX29" i="1"/>
  <c r="BJ29" i="1" s="1"/>
  <c r="F23" i="1"/>
  <c r="J23" i="1" s="1"/>
  <c r="N23" i="1" s="1"/>
  <c r="R23" i="1" s="1"/>
  <c r="V23" i="1" s="1"/>
  <c r="Z23" i="1" s="1"/>
  <c r="AD23" i="1" s="1"/>
  <c r="AH23" i="1" s="1"/>
  <c r="AL23" i="1" s="1"/>
  <c r="AP23" i="1" s="1"/>
  <c r="AT23" i="1" s="1"/>
  <c r="F36" i="1"/>
  <c r="J36" i="1" s="1"/>
  <c r="N36" i="1" s="1"/>
  <c r="R36" i="1" s="1"/>
  <c r="V36" i="1" s="1"/>
  <c r="Z36" i="1" s="1"/>
  <c r="AD36" i="1" s="1"/>
  <c r="AH36" i="1" s="1"/>
  <c r="AL36" i="1" s="1"/>
  <c r="AP36" i="1" s="1"/>
  <c r="AT36" i="1" s="1"/>
  <c r="AZ36" i="1"/>
  <c r="F30" i="1"/>
  <c r="J30" i="1" s="1"/>
  <c r="N30" i="1" s="1"/>
  <c r="R30" i="1" s="1"/>
  <c r="V30" i="1" s="1"/>
  <c r="Z30" i="1" s="1"/>
  <c r="AD30" i="1" s="1"/>
  <c r="AH30" i="1" s="1"/>
  <c r="AL30" i="1" s="1"/>
  <c r="AP30" i="1" s="1"/>
  <c r="AT30" i="1" s="1"/>
  <c r="F21" i="1"/>
  <c r="J21" i="1" s="1"/>
  <c r="N21" i="1" s="1"/>
  <c r="R21" i="1" s="1"/>
  <c r="AX43" i="1"/>
  <c r="BJ43" i="1" s="1"/>
  <c r="F34" i="1"/>
  <c r="J34" i="1" s="1"/>
  <c r="N34" i="1" s="1"/>
  <c r="R34" i="1" s="1"/>
  <c r="V34" i="1" s="1"/>
  <c r="Z34" i="1" s="1"/>
  <c r="AD34" i="1" s="1"/>
  <c r="AH34" i="1" s="1"/>
  <c r="AL34" i="1" s="1"/>
  <c r="AP34" i="1" s="1"/>
  <c r="AT34" i="1" s="1"/>
  <c r="F27" i="1"/>
  <c r="J27" i="1" s="1"/>
  <c r="N27" i="1" s="1"/>
  <c r="R27" i="1" s="1"/>
  <c r="V27" i="1" s="1"/>
  <c r="Z27" i="1" s="1"/>
  <c r="AD27" i="1" s="1"/>
  <c r="AH27" i="1" s="1"/>
  <c r="AL27" i="1" s="1"/>
  <c r="AP27" i="1" s="1"/>
  <c r="AT27" i="1" s="1"/>
  <c r="AH24" i="1"/>
  <c r="F39" i="1"/>
  <c r="J39" i="1" s="1"/>
  <c r="N39" i="1" s="1"/>
  <c r="R39" i="1" s="1"/>
  <c r="V39" i="1" s="1"/>
  <c r="Z39" i="1" s="1"/>
  <c r="AD39" i="1" s="1"/>
  <c r="AH39" i="1" s="1"/>
  <c r="AL39" i="1" s="1"/>
  <c r="AP39" i="1" s="1"/>
  <c r="AT39" i="1" s="1"/>
  <c r="F22" i="1"/>
  <c r="J22" i="1" s="1"/>
  <c r="N22" i="1" s="1"/>
  <c r="R22" i="1" s="1"/>
  <c r="F32" i="1"/>
  <c r="J32" i="1" s="1"/>
  <c r="N32" i="1" s="1"/>
  <c r="F38" i="1"/>
  <c r="J38" i="1" s="1"/>
  <c r="N38" i="1" s="1"/>
  <c r="R38" i="1" s="1"/>
  <c r="V38" i="1" s="1"/>
  <c r="Z38" i="1" s="1"/>
  <c r="AD38" i="1" s="1"/>
  <c r="AH38" i="1" s="1"/>
  <c r="AL38" i="1" s="1"/>
  <c r="AP38" i="1" s="1"/>
  <c r="AT38" i="1" s="1"/>
  <c r="R32" i="1" l="1"/>
  <c r="V32" i="1" s="1"/>
  <c r="Z32" i="1" s="1"/>
  <c r="AD32" i="1" s="1"/>
  <c r="AH32" i="1" s="1"/>
  <c r="AL32" i="1" s="1"/>
  <c r="AP32" i="1" s="1"/>
  <c r="AT32" i="1" s="1"/>
  <c r="AX32" i="1" s="1"/>
  <c r="D83" i="15"/>
  <c r="E24" i="15"/>
  <c r="E83" i="15" s="1"/>
  <c r="K7" i="14"/>
  <c r="L8" i="14" s="1"/>
  <c r="K8" i="14" s="1"/>
  <c r="AX23" i="1"/>
  <c r="BJ23" i="1"/>
  <c r="AX38" i="1"/>
  <c r="BJ38" i="1"/>
  <c r="BJ32" i="1"/>
  <c r="AX30" i="1"/>
  <c r="BJ30" i="1"/>
  <c r="AX39" i="1"/>
  <c r="BJ39" i="1"/>
  <c r="AX27" i="1"/>
  <c r="BJ27" i="1"/>
  <c r="AX34" i="1"/>
  <c r="BJ34" i="1"/>
  <c r="AX36" i="1"/>
  <c r="BJ36" i="1"/>
  <c r="V22" i="1"/>
  <c r="Z22" i="1" s="1"/>
  <c r="AD22" i="1" s="1"/>
  <c r="AH22" i="1" s="1"/>
  <c r="AL22" i="1" s="1"/>
  <c r="AP22" i="1" s="1"/>
  <c r="AT22" i="1" s="1"/>
  <c r="V21" i="1"/>
  <c r="Z21" i="1" s="1"/>
  <c r="AD21" i="1" s="1"/>
  <c r="AH21" i="1" s="1"/>
  <c r="AL21" i="1" s="1"/>
  <c r="AP21" i="1" s="1"/>
  <c r="AT21" i="1" s="1"/>
  <c r="AL24" i="1"/>
  <c r="B46" i="1"/>
  <c r="C47" i="1" s="1"/>
  <c r="A246" i="5" l="1"/>
  <c r="A246" i="6" s="1"/>
  <c r="AX21" i="1"/>
  <c r="BJ21" i="1"/>
  <c r="AX22" i="1"/>
  <c r="BJ22" i="1"/>
  <c r="L9" i="14"/>
  <c r="M9" i="14" s="1"/>
  <c r="M8" i="14"/>
  <c r="AP24" i="1"/>
  <c r="D40" i="1"/>
  <c r="BE40" i="1" s="1"/>
  <c r="BH40" i="1" s="1"/>
  <c r="E20" i="1"/>
  <c r="D26" i="1"/>
  <c r="BE26" i="1" s="1"/>
  <c r="BH26" i="1" s="1"/>
  <c r="D20" i="1"/>
  <c r="BE20" i="1" s="1"/>
  <c r="BH20" i="1" s="1"/>
  <c r="A246" i="7" l="1"/>
  <c r="K9" i="14"/>
  <c r="L10" i="14" s="1"/>
  <c r="K10" i="14" s="1"/>
  <c r="L11" i="14" s="1"/>
  <c r="E46" i="1"/>
  <c r="E47" i="1" s="1"/>
  <c r="AT24" i="1"/>
  <c r="F40" i="1"/>
  <c r="J40" i="1" s="1"/>
  <c r="F26" i="1"/>
  <c r="J26" i="1" s="1"/>
  <c r="N26" i="1" s="1"/>
  <c r="R26" i="1" s="1"/>
  <c r="V26" i="1" s="1"/>
  <c r="Z26" i="1" s="1"/>
  <c r="AD26" i="1" s="1"/>
  <c r="AH26" i="1" s="1"/>
  <c r="AL26" i="1" s="1"/>
  <c r="AP26" i="1" s="1"/>
  <c r="AT26" i="1" s="1"/>
  <c r="F20" i="1"/>
  <c r="J20" i="1" s="1"/>
  <c r="N20" i="1" s="1"/>
  <c r="R20" i="1" s="1"/>
  <c r="D35" i="1"/>
  <c r="BE35" i="1" s="1"/>
  <c r="BH35" i="1" s="1"/>
  <c r="P46" i="1"/>
  <c r="P47" i="1" s="1"/>
  <c r="L46" i="1"/>
  <c r="L47" i="1" s="1"/>
  <c r="H46" i="1"/>
  <c r="H47" i="1" s="1"/>
  <c r="AZ20" i="1"/>
  <c r="BC20" i="1" s="1"/>
  <c r="AZ24" i="1"/>
  <c r="BC24" i="1" s="1"/>
  <c r="AZ37" i="1"/>
  <c r="BC37" i="1" s="1"/>
  <c r="AZ45" i="1"/>
  <c r="BC45" i="1" s="1"/>
  <c r="AZ39" i="1"/>
  <c r="BC39" i="1" s="1"/>
  <c r="AZ31" i="1"/>
  <c r="BC31" i="1" s="1"/>
  <c r="AZ33" i="1"/>
  <c r="BC33" i="1" s="1"/>
  <c r="BC36" i="1"/>
  <c r="AZ44" i="1"/>
  <c r="BC44" i="1" s="1"/>
  <c r="AZ21" i="1"/>
  <c r="AZ26" i="1"/>
  <c r="AZ27" i="1"/>
  <c r="AZ28" i="1"/>
  <c r="AZ25" i="1"/>
  <c r="AZ22" i="1"/>
  <c r="AZ35" i="1"/>
  <c r="AZ40" i="1"/>
  <c r="AZ42" i="1"/>
  <c r="AZ32" i="1"/>
  <c r="AZ41" i="1"/>
  <c r="AZ23" i="1"/>
  <c r="AZ29" i="1"/>
  <c r="AZ30" i="1"/>
  <c r="AZ43" i="1"/>
  <c r="AZ38" i="1"/>
  <c r="B22" i="14" l="1"/>
  <c r="C22" i="14" s="1"/>
  <c r="AX26" i="1"/>
  <c r="BJ26" i="1"/>
  <c r="AX24" i="1"/>
  <c r="BJ24" i="1"/>
  <c r="V20" i="1"/>
  <c r="Z20" i="1" s="1"/>
  <c r="AD20" i="1" s="1"/>
  <c r="AH20" i="1" s="1"/>
  <c r="AL20" i="1" s="1"/>
  <c r="AP20" i="1" s="1"/>
  <c r="AT20" i="1" s="1"/>
  <c r="D46" i="1"/>
  <c r="D47" i="1" s="1"/>
  <c r="K11" i="14"/>
  <c r="M11" i="14"/>
  <c r="M10" i="14"/>
  <c r="L13" i="14"/>
  <c r="N40" i="1"/>
  <c r="R40" i="1" s="1"/>
  <c r="V40" i="1" s="1"/>
  <c r="Z40" i="1" s="1"/>
  <c r="AD40" i="1" s="1"/>
  <c r="AH40" i="1" s="1"/>
  <c r="AL40" i="1" s="1"/>
  <c r="AP40" i="1" s="1"/>
  <c r="AT40" i="1" s="1"/>
  <c r="F35" i="1"/>
  <c r="J35" i="1" s="1"/>
  <c r="N35" i="1" s="1"/>
  <c r="R35" i="1" s="1"/>
  <c r="V35" i="1" s="1"/>
  <c r="Z35" i="1" s="1"/>
  <c r="AD35" i="1" s="1"/>
  <c r="BC38" i="1"/>
  <c r="BC32" i="1"/>
  <c r="BC41" i="1"/>
  <c r="BC43" i="1"/>
  <c r="BC42" i="1"/>
  <c r="BC34" i="1"/>
  <c r="BC30" i="1"/>
  <c r="BC25" i="1"/>
  <c r="BC27" i="1"/>
  <c r="BC21" i="1"/>
  <c r="BC29" i="1"/>
  <c r="AZ46" i="1"/>
  <c r="BA30" i="1" s="1"/>
  <c r="BC40" i="1"/>
  <c r="BC22" i="1"/>
  <c r="BC23" i="1"/>
  <c r="BC28" i="1"/>
  <c r="BC35" i="1"/>
  <c r="BC26" i="1"/>
  <c r="AX20" i="1" l="1"/>
  <c r="BJ20" i="1"/>
  <c r="AX40" i="1"/>
  <c r="BJ40" i="1"/>
  <c r="M13" i="14"/>
  <c r="B23" i="14"/>
  <c r="AH35" i="1"/>
  <c r="AD46" i="1"/>
  <c r="AE47" i="1" s="1"/>
  <c r="F46" i="1"/>
  <c r="G47" i="1" s="1"/>
  <c r="N46" i="1"/>
  <c r="O47" i="1" s="1"/>
  <c r="J46" i="1"/>
  <c r="K47" i="1" s="1"/>
  <c r="V46" i="1"/>
  <c r="W47" i="1" s="1"/>
  <c r="Z46" i="1"/>
  <c r="AA47" i="1" s="1"/>
  <c r="BA26" i="1"/>
  <c r="BC46" i="1"/>
  <c r="BA44" i="1"/>
  <c r="BA45" i="1"/>
  <c r="BA24" i="1"/>
  <c r="BA33" i="1"/>
  <c r="BA31" i="1"/>
  <c r="BA20" i="1"/>
  <c r="BA36" i="1"/>
  <c r="BA39" i="1"/>
  <c r="BA37" i="1"/>
  <c r="BA32" i="1"/>
  <c r="BA21" i="1"/>
  <c r="BA34" i="1"/>
  <c r="BA41" i="1"/>
  <c r="BA27" i="1"/>
  <c r="BA28" i="1"/>
  <c r="BA29" i="1"/>
  <c r="BA25" i="1"/>
  <c r="BA35" i="1"/>
  <c r="BA22" i="1"/>
  <c r="BA43" i="1"/>
  <c r="BA38" i="1"/>
  <c r="BA23" i="1"/>
  <c r="BA40" i="1"/>
  <c r="BA42" i="1"/>
  <c r="BC48" i="1" l="1"/>
  <c r="AL35" i="1"/>
  <c r="AH46" i="1"/>
  <c r="AI47" i="1" s="1"/>
  <c r="BB40" i="1"/>
  <c r="BB27" i="1"/>
  <c r="BB23" i="1"/>
  <c r="BB43" i="1"/>
  <c r="BB20" i="1"/>
  <c r="BB38" i="1"/>
  <c r="BB41" i="1"/>
  <c r="BB31" i="1"/>
  <c r="BB33" i="1"/>
  <c r="BB21" i="1"/>
  <c r="BB24" i="1"/>
  <c r="BB35" i="1"/>
  <c r="BB45" i="1"/>
  <c r="BB34" i="1"/>
  <c r="BB22" i="1"/>
  <c r="BB32" i="1"/>
  <c r="BB25" i="1"/>
  <c r="BB37" i="1"/>
  <c r="BB44" i="1"/>
  <c r="BB42" i="1"/>
  <c r="BB29" i="1"/>
  <c r="BB39" i="1"/>
  <c r="BB28" i="1"/>
  <c r="BB36" i="1"/>
  <c r="BB26" i="1"/>
  <c r="BB30" i="1"/>
  <c r="AP35" i="1" l="1"/>
  <c r="AL46" i="1"/>
  <c r="AM47" i="1" s="1"/>
  <c r="R46" i="1"/>
  <c r="S47" i="1" s="1"/>
  <c r="AT35" i="1" l="1"/>
  <c r="AX35" i="1" l="1"/>
  <c r="BJ35" i="1"/>
  <c r="AN41" i="1"/>
  <c r="AP41" i="1" l="1"/>
  <c r="AP46" i="1" s="1"/>
  <c r="AQ47" i="1" s="1"/>
  <c r="AR41" i="1"/>
  <c r="AR46" i="1" s="1"/>
  <c r="AR47" i="1" s="1"/>
  <c r="AN46" i="1"/>
  <c r="AN47" i="1" s="1"/>
  <c r="AT41" i="1" l="1"/>
  <c r="AV41" i="1" l="1"/>
  <c r="AX41" i="1" s="1"/>
  <c r="AX46" i="1" s="1"/>
  <c r="AT46" i="1"/>
  <c r="AU47" i="1" s="1"/>
  <c r="BJ41" i="1" l="1"/>
  <c r="BJ46" i="1" s="1"/>
  <c r="AV46" i="1"/>
  <c r="AV47" i="1" s="1"/>
  <c r="BE41" i="1"/>
  <c r="BH41" i="1" l="1"/>
  <c r="BH46" i="1" s="1"/>
  <c r="BE46" i="1"/>
  <c r="BF45" i="1" l="1"/>
  <c r="BF26" i="1"/>
  <c r="BF43" i="1"/>
  <c r="BF23" i="1"/>
  <c r="BF40" i="1"/>
  <c r="BF20" i="1"/>
  <c r="BF22" i="1"/>
  <c r="BF32" i="1"/>
  <c r="BF25" i="1"/>
  <c r="BF29" i="1"/>
  <c r="BF24" i="1"/>
  <c r="BF39" i="1"/>
  <c r="BF42" i="1"/>
  <c r="BF31" i="1"/>
  <c r="BF33" i="1"/>
  <c r="BF35" i="1"/>
  <c r="BF28" i="1"/>
  <c r="BF34" i="1"/>
  <c r="BF37" i="1"/>
  <c r="BF44" i="1"/>
  <c r="BF27" i="1"/>
  <c r="BF38" i="1"/>
  <c r="BF21" i="1"/>
  <c r="BF36" i="1"/>
  <c r="BF30" i="1"/>
  <c r="BF41" i="1"/>
  <c r="BG30" i="1" l="1"/>
  <c r="BG32" i="1"/>
  <c r="BG22" i="1"/>
  <c r="BG20" i="1"/>
  <c r="BG25" i="1"/>
  <c r="BG36" i="1"/>
  <c r="BG33" i="1"/>
  <c r="BG38" i="1"/>
  <c r="BG31" i="1"/>
  <c r="BG27" i="1"/>
  <c r="BG42" i="1"/>
  <c r="BG40" i="1"/>
  <c r="BG23" i="1"/>
  <c r="BG28" i="1"/>
  <c r="BG35" i="1"/>
  <c r="BG21" i="1"/>
  <c r="BG44" i="1"/>
  <c r="BG39" i="1"/>
  <c r="BG37" i="1"/>
  <c r="BG24" i="1"/>
  <c r="BG43" i="1"/>
  <c r="BG41" i="1"/>
  <c r="BG34" i="1"/>
  <c r="BG29" i="1"/>
  <c r="BG26" i="1"/>
  <c r="BG45" i="1"/>
  <c r="A180" i="2"/>
  <c r="A166" i="3"/>
  <c r="A173" i="3"/>
  <c r="A173" i="4" s="1"/>
  <c r="A180" i="3" l="1"/>
  <c r="A166" i="4"/>
  <c r="A180" i="4" s="1"/>
  <c r="A256" i="5"/>
  <c r="A256" i="6" s="1"/>
  <c r="A258" i="5"/>
  <c r="A258" i="6" s="1"/>
  <c r="A259" i="5"/>
  <c r="A259" i="6" s="1"/>
  <c r="A257" i="5"/>
  <c r="A257" i="6" s="1"/>
  <c r="A257" i="7" s="1"/>
  <c r="A257" i="8" s="1"/>
  <c r="A256" i="7" l="1"/>
  <c r="A260" i="6"/>
  <c r="A258" i="7"/>
  <c r="A258" i="8" s="1"/>
  <c r="A258" i="9" s="1"/>
  <c r="A260" i="9" s="1"/>
  <c r="A260" i="5"/>
  <c r="A40" i="9"/>
  <c r="A26" i="10"/>
  <c r="A26" i="11" s="1"/>
  <c r="A26" i="12" l="1"/>
  <c r="A40" i="11"/>
  <c r="A40" i="10"/>
  <c r="A256" i="8"/>
  <c r="A260" i="8" s="1"/>
  <c r="A260" i="7"/>
  <c r="A40" i="12"/>
  <c r="A26" i="13"/>
  <c r="A40" i="13" s="1"/>
</calcChain>
</file>

<file path=xl/sharedStrings.xml><?xml version="1.0" encoding="utf-8"?>
<sst xmlns="http://schemas.openxmlformats.org/spreadsheetml/2006/main" count="5511" uniqueCount="725">
  <si>
    <t>ENERO</t>
  </si>
  <si>
    <t>FEBRERO</t>
  </si>
  <si>
    <t>MARZO</t>
  </si>
  <si>
    <t>ABRIL</t>
  </si>
  <si>
    <t>SALDO REAL</t>
  </si>
  <si>
    <t>TOTAL</t>
  </si>
  <si>
    <t>INGRESOS</t>
  </si>
  <si>
    <t>GASTOS</t>
  </si>
  <si>
    <t>Aportación</t>
  </si>
  <si>
    <t>Gasto</t>
  </si>
  <si>
    <t>Final</t>
  </si>
  <si>
    <t>GASTOS ANUALES</t>
  </si>
  <si>
    <t>% de gasto sobre el total</t>
  </si>
  <si>
    <t>Ranking de gastos</t>
  </si>
  <si>
    <t>Gasto medio mensual</t>
  </si>
  <si>
    <t>Comida+Limpieza</t>
  </si>
  <si>
    <t>Ocio</t>
  </si>
  <si>
    <t>Transportes</t>
  </si>
  <si>
    <t>Gatos</t>
  </si>
  <si>
    <t>Vacaciones</t>
  </si>
  <si>
    <t>Ropa</t>
  </si>
  <si>
    <t>Belleza</t>
  </si>
  <si>
    <t>Deportes</t>
  </si>
  <si>
    <t>Regalos</t>
  </si>
  <si>
    <t>Impuestos</t>
  </si>
  <si>
    <t>Gastos Curros</t>
  </si>
  <si>
    <t>Dreamed Holidays</t>
  </si>
  <si>
    <t>Ahorros Colchón</t>
  </si>
  <si>
    <t>OTROS</t>
  </si>
  <si>
    <t>NULO</t>
  </si>
  <si>
    <t>€</t>
  </si>
  <si>
    <t>Concepto</t>
  </si>
  <si>
    <t>Hipoteca</t>
  </si>
  <si>
    <t>Mensual</t>
  </si>
  <si>
    <t>IBI</t>
  </si>
  <si>
    <t>Endesa</t>
  </si>
  <si>
    <t>Comunidad</t>
  </si>
  <si>
    <t>Aqualia</t>
  </si>
  <si>
    <t>Seguro</t>
  </si>
  <si>
    <t>Alquiler</t>
  </si>
  <si>
    <t>Electrabel</t>
  </si>
  <si>
    <t>Agua</t>
  </si>
  <si>
    <t>Otros</t>
  </si>
  <si>
    <t>Gym</t>
  </si>
  <si>
    <t>Coche Prestamo</t>
  </si>
  <si>
    <t>Coche  Seguro</t>
  </si>
  <si>
    <t>Internet</t>
  </si>
  <si>
    <t>Base</t>
  </si>
  <si>
    <t>Skype</t>
  </si>
  <si>
    <t>Waterloo</t>
  </si>
  <si>
    <t>Coche</t>
  </si>
  <si>
    <t>Teléfono</t>
  </si>
  <si>
    <t>Financieros</t>
  </si>
  <si>
    <t>Total</t>
  </si>
  <si>
    <t>Mes</t>
  </si>
  <si>
    <t>BE</t>
  </si>
  <si>
    <t>ES</t>
  </si>
  <si>
    <t>Entidad</t>
  </si>
  <si>
    <t>IBAN</t>
  </si>
  <si>
    <t>Saldo a dia 1 de mes (€)</t>
  </si>
  <si>
    <t>Ibercaja</t>
  </si>
  <si>
    <t>ES85 2085 8262 6403 3001 0167</t>
  </si>
  <si>
    <t>ES97 2085 8262 6309 3004 9866</t>
  </si>
  <si>
    <t>ING (BE)</t>
  </si>
  <si>
    <t>BE42 3770 5523 3554 (Lion)</t>
  </si>
  <si>
    <t>BE54 3774 4151 1297 (Deposit)</t>
  </si>
  <si>
    <t>SUMA TOTAL</t>
  </si>
  <si>
    <t>Curro Manolo</t>
  </si>
  <si>
    <t>Casa</t>
  </si>
  <si>
    <t>Efectivo</t>
  </si>
  <si>
    <t>JUNIO</t>
  </si>
  <si>
    <t>MAYO</t>
  </si>
  <si>
    <t>JULIO</t>
  </si>
  <si>
    <t>AGOSTO</t>
  </si>
  <si>
    <t>Seguros</t>
  </si>
  <si>
    <t>SEPTIEMBRE</t>
  </si>
  <si>
    <t>SEPT…</t>
  </si>
  <si>
    <t>OCTUBRE</t>
  </si>
  <si>
    <t>Café</t>
  </si>
  <si>
    <t>NOVIEMBRE</t>
  </si>
  <si>
    <t>NOV…</t>
  </si>
  <si>
    <t>BE49 3635 9162 5571 (Green)</t>
  </si>
  <si>
    <t>Disponible</t>
  </si>
  <si>
    <t>Meses:</t>
  </si>
  <si>
    <t>DICIEMBRE</t>
  </si>
  <si>
    <t>Formación</t>
  </si>
  <si>
    <t>Salud</t>
  </si>
  <si>
    <t>Notas</t>
  </si>
  <si>
    <t>Cantidad</t>
  </si>
  <si>
    <t>DATOS A INSERTAR</t>
  </si>
  <si>
    <t xml:space="preserve">Plazo (en meses) = </t>
  </si>
  <si>
    <t>Tabla Amortizacion</t>
  </si>
  <si>
    <t>Intereses</t>
  </si>
  <si>
    <t>Amortización</t>
  </si>
  <si>
    <t>Euribor (mensual) =</t>
  </si>
  <si>
    <t>%</t>
  </si>
  <si>
    <t>CÁLCULOS INTERMEDIOS</t>
  </si>
  <si>
    <t>MES_1</t>
  </si>
  <si>
    <t>MES_2</t>
  </si>
  <si>
    <t>MES_3</t>
  </si>
  <si>
    <t xml:space="preserve">F1: (1+(Interés/100)) = </t>
  </si>
  <si>
    <t>MES_4</t>
  </si>
  <si>
    <t xml:space="preserve">F2: F1^(-Plazo) = </t>
  </si>
  <si>
    <t>MES_5</t>
  </si>
  <si>
    <t>RESULTADOS</t>
  </si>
  <si>
    <t>F3: 100*(1-F2) =</t>
  </si>
  <si>
    <t>MES_6</t>
  </si>
  <si>
    <t xml:space="preserve">Cuota Mensual = </t>
  </si>
  <si>
    <t xml:space="preserve">Cuota Intereses = </t>
  </si>
  <si>
    <t>Cuota Amortización =</t>
  </si>
  <si>
    <t xml:space="preserve">Diferencia = </t>
  </si>
  <si>
    <t>ENTRE lo que ponga en G45</t>
  </si>
  <si>
    <t>DIA</t>
  </si>
  <si>
    <t>SUMA</t>
  </si>
  <si>
    <t>Amortización Prevista =</t>
  </si>
  <si>
    <t>Capital Esperado =</t>
  </si>
  <si>
    <t>FECHAS REVISIÓN</t>
  </si>
  <si>
    <t>EURIBOR</t>
  </si>
  <si>
    <t>CUOTA</t>
  </si>
  <si>
    <t>INCREMENTO</t>
  </si>
  <si>
    <t>FECHAS ACTUALIZACIÓN</t>
  </si>
  <si>
    <t>TotalPasivos</t>
  </si>
  <si>
    <t>TotalActivos</t>
  </si>
  <si>
    <t>RIQUEZA MONETARIA</t>
  </si>
  <si>
    <t>fijo</t>
  </si>
  <si>
    <t xml:space="preserve">Total gastado = </t>
  </si>
  <si>
    <t>CA</t>
  </si>
  <si>
    <t>CF</t>
  </si>
  <si>
    <t>Cosas Bélgica</t>
  </si>
  <si>
    <t>ID</t>
  </si>
  <si>
    <t>05555329 42</t>
  </si>
  <si>
    <t>Card</t>
  </si>
  <si>
    <t>6703 3031 3710 9201 1</t>
  </si>
  <si>
    <t>Pw</t>
  </si>
  <si>
    <t xml:space="preserve">Comida </t>
  </si>
  <si>
    <t>Location appartement: 1410 Waterloo - 24 B drève des Dix Mètres</t>
  </si>
  <si>
    <t>001 2760275 22</t>
  </si>
  <si>
    <t>Mr et Mme Bruno Somers – De Watcher</t>
  </si>
  <si>
    <t>5 Avenue des Blés d'Or ; 1410 Waterloo</t>
  </si>
  <si>
    <t>BE06001276027522</t>
  </si>
  <si>
    <t>PPG</t>
  </si>
  <si>
    <t>ES76 1465 0100 93 1710619657</t>
  </si>
  <si>
    <t>Location maison: Allée de l'Aqueduc, 5  à 1410 Waterloo.</t>
  </si>
  <si>
    <t>BE21 9531 2426 0403</t>
  </si>
  <si>
    <t>Mme Sabrina De Greef</t>
  </si>
  <si>
    <t>Fechas</t>
  </si>
  <si>
    <t>Capital Pagado</t>
  </si>
  <si>
    <t>Capital Restante</t>
  </si>
  <si>
    <t>&lt;--</t>
  </si>
  <si>
    <t>NOTAS</t>
  </si>
  <si>
    <t>Fecha</t>
  </si>
  <si>
    <t>Base Rocio</t>
  </si>
  <si>
    <t>Hogar</t>
  </si>
  <si>
    <t>Base Manolo</t>
  </si>
  <si>
    <t>Comida+Limpieza Keep</t>
  </si>
  <si>
    <t>Dinero Bloqueado</t>
  </si>
  <si>
    <t>Fianza Waterloo. Bloqueada.</t>
  </si>
  <si>
    <t>BE52 3631 4505 0709 (Invest)</t>
  </si>
  <si>
    <t>ING(BE)</t>
  </si>
  <si>
    <t>363-1450507-09-0</t>
  </si>
  <si>
    <t>Papa</t>
  </si>
  <si>
    <t xml:space="preserve">mes anterior/més actual </t>
  </si>
  <si>
    <t>Netflix</t>
  </si>
  <si>
    <t xml:space="preserve">IB </t>
  </si>
  <si>
    <t>Concepto/Dia</t>
  </si>
  <si>
    <t>Fianza Cartama= 550€, Disponible.</t>
  </si>
  <si>
    <t>SS - La primera en mayusculas</t>
  </si>
  <si>
    <t>Engie</t>
  </si>
  <si>
    <t>deltoyaMRM2001</t>
  </si>
  <si>
    <t>Lolo2001</t>
  </si>
  <si>
    <t>Link</t>
  </si>
  <si>
    <t>Cartama Finanazas</t>
  </si>
  <si>
    <t>Fijo Mensual (100€)</t>
  </si>
  <si>
    <t>Prevision de ingresos Total Anual =</t>
  </si>
  <si>
    <t>Añadir a Fianza (hasta 550€)</t>
  </si>
  <si>
    <t>Mensual (50€)</t>
  </si>
  <si>
    <t>Cártama Gastos</t>
  </si>
  <si>
    <t>Mensual (70€)</t>
  </si>
  <si>
    <t>Proximus</t>
  </si>
  <si>
    <t>Capital =</t>
  </si>
  <si>
    <t>Proxima Fecha</t>
  </si>
  <si>
    <t>Hipoteca Reseva Mensual (399,59€)</t>
  </si>
  <si>
    <t>CAPITAL RESTANTE</t>
  </si>
  <si>
    <t>Interés: (Euribor+0,5) mensual =</t>
  </si>
  <si>
    <t>Acumulado</t>
  </si>
  <si>
    <t>Amortizar ultima cuota (hasta 398€)</t>
  </si>
  <si>
    <t>Reinversion casa (hasta 300€)</t>
  </si>
  <si>
    <t>Mantenimiento</t>
  </si>
  <si>
    <t>Ingresos medio mensual</t>
  </si>
  <si>
    <t>Aportaciones ANUALES</t>
  </si>
  <si>
    <t xml:space="preserve">Ranking </t>
  </si>
  <si>
    <t>Media mensual</t>
  </si>
  <si>
    <t>% sobre el total</t>
  </si>
  <si>
    <t>familia.rojas.palomino</t>
  </si>
  <si>
    <t>AQ-AT</t>
  </si>
  <si>
    <t xml:space="preserve">Prevision de gasto Total Anual = </t>
  </si>
  <si>
    <t>Prevision Actual:</t>
  </si>
  <si>
    <t>AU-AX</t>
  </si>
  <si>
    <t>Deficit Noviembre</t>
  </si>
  <si>
    <t>Fija al més (45€)</t>
  </si>
  <si>
    <t>Seguro (Hasta 720€)</t>
  </si>
  <si>
    <t>Impuesto Basura (Hasta 83€)</t>
  </si>
  <si>
    <t>Mensual (160€)</t>
  </si>
  <si>
    <t>deltoya_23</t>
  </si>
  <si>
    <t>pp</t>
  </si>
  <si>
    <t>Ultima (hasta 9.486,92€)(137€/mes)</t>
  </si>
  <si>
    <t>Seguro Alquiler (Hasta 270 €)</t>
  </si>
  <si>
    <t>Toyota</t>
  </si>
  <si>
    <t>lolo2001</t>
  </si>
  <si>
    <t>AU</t>
  </si>
  <si>
    <t>2018 Final</t>
  </si>
  <si>
    <t>+</t>
  </si>
  <si>
    <t>Manolo Salario</t>
  </si>
  <si>
    <t>Rocío Salario</t>
  </si>
  <si>
    <t>Finanazas</t>
  </si>
  <si>
    <t>Gubernamental</t>
  </si>
  <si>
    <t>Mutualite/DKV</t>
  </si>
  <si>
    <t>Alquiler Cartama</t>
  </si>
  <si>
    <t>B</t>
  </si>
  <si>
    <t>C-F</t>
  </si>
  <si>
    <t>C</t>
  </si>
  <si>
    <t>G-J</t>
  </si>
  <si>
    <t>K-N</t>
  </si>
  <si>
    <t>O-R</t>
  </si>
  <si>
    <t>S-V</t>
  </si>
  <si>
    <t>W-Z</t>
  </si>
  <si>
    <t>AA-AD</t>
  </si>
  <si>
    <t>AE-AH</t>
  </si>
  <si>
    <t>AI-AL</t>
  </si>
  <si>
    <t>AM-AP</t>
  </si>
  <si>
    <t>INGRESADO</t>
  </si>
  <si>
    <t>Balance Anual</t>
  </si>
  <si>
    <t>INGRESOS ANUALES</t>
  </si>
  <si>
    <t>Fijo Mensual (115€)</t>
  </si>
  <si>
    <t>Deficit anterior</t>
  </si>
  <si>
    <t>Brita</t>
  </si>
  <si>
    <t>Café 300 / 4 meses</t>
  </si>
  <si>
    <t>Visitas</t>
  </si>
  <si>
    <t>Kids &amp; Us</t>
  </si>
  <si>
    <t>Cuenta Bloqueada</t>
  </si>
  <si>
    <t>ING BE</t>
  </si>
  <si>
    <t>Fianza ING</t>
  </si>
  <si>
    <t>Hotel</t>
  </si>
  <si>
    <t>Base Manolo SURF10</t>
  </si>
  <si>
    <t>02/01 Carrefour</t>
  </si>
  <si>
    <t>03/01 Sushi</t>
  </si>
  <si>
    <t>ING Comision Anual</t>
  </si>
  <si>
    <t>03/01 Delhaize</t>
  </si>
  <si>
    <t>07/01 Celio</t>
  </si>
  <si>
    <t>07/01 Lidl</t>
  </si>
  <si>
    <t>07/01 Orchestra</t>
  </si>
  <si>
    <t>07/01 GG</t>
  </si>
  <si>
    <t>06/01 Croisants</t>
  </si>
  <si>
    <t>07/01 Colruyt</t>
  </si>
  <si>
    <t>Gb/dia</t>
  </si>
  <si>
    <t>dias</t>
  </si>
  <si>
    <t>11/2018 CAPAC</t>
  </si>
  <si>
    <t>Nespresso gastar bonos</t>
  </si>
  <si>
    <t>08/01 Mutualite</t>
  </si>
  <si>
    <t>allocations familier</t>
  </si>
  <si>
    <t>08/01 Parking</t>
  </si>
  <si>
    <t>09/01 Delhaize</t>
  </si>
  <si>
    <t>10/01 Nesspreso</t>
  </si>
  <si>
    <t>11/01 Shell</t>
  </si>
  <si>
    <t>11/01 Mifa</t>
  </si>
  <si>
    <t>12/01 Aldi</t>
  </si>
  <si>
    <t>15/01 Sushi shop</t>
  </si>
  <si>
    <t>12/2018 CAPAC</t>
  </si>
  <si>
    <t>13/01 Bolas</t>
  </si>
  <si>
    <t>Ibercaja ES</t>
  </si>
  <si>
    <t>Amortizar Hipoteca</t>
  </si>
  <si>
    <t xml:space="preserve">Pagar Regalo Marina </t>
  </si>
  <si>
    <t>16/01 LaMesa Marina</t>
  </si>
  <si>
    <t>363-1450507-09-0 Custodia</t>
  </si>
  <si>
    <t>16/01 Delhaize</t>
  </si>
  <si>
    <t>17/01 Lidl</t>
  </si>
  <si>
    <t>17/01 Zapatos Martina</t>
  </si>
  <si>
    <t>17/01 Sequoia</t>
  </si>
  <si>
    <t>18/01 Tom &amp; Co</t>
  </si>
  <si>
    <t>21/01 Aldi</t>
  </si>
  <si>
    <t>137 Papa</t>
  </si>
  <si>
    <t>18/01 Regalo Martina</t>
  </si>
  <si>
    <t>18/01 Regalo Martina Abuelos</t>
  </si>
  <si>
    <t>21/01 Linh</t>
  </si>
  <si>
    <t>18/01 Shell</t>
  </si>
  <si>
    <t>18/01 Hema</t>
  </si>
  <si>
    <t>22/01 PayPal</t>
  </si>
  <si>
    <t>22/01 Kids &amp; Us. trimeste 2</t>
  </si>
  <si>
    <t>21;22/01 Delhaize</t>
  </si>
  <si>
    <t>22/01 Delhaize</t>
  </si>
  <si>
    <t>Reglote</t>
  </si>
  <si>
    <t>Salario</t>
  </si>
  <si>
    <t>Pagar Master</t>
  </si>
  <si>
    <t>25/01 MASTER, Admision</t>
  </si>
  <si>
    <t>22/01 Dominos</t>
  </si>
  <si>
    <t>28/01 Delhaize</t>
  </si>
  <si>
    <t>Fontanero</t>
  </si>
  <si>
    <t xml:space="preserve">Hacienda </t>
  </si>
  <si>
    <t>29/01 Parking</t>
  </si>
  <si>
    <t>Cumple Martina Papa</t>
  </si>
  <si>
    <t>Papa -&gt; Martina</t>
  </si>
  <si>
    <t>29/01 Esso</t>
  </si>
  <si>
    <t>29/01 Sushi</t>
  </si>
  <si>
    <t>30/01 AliExpress</t>
  </si>
  <si>
    <t>31/01 MASTER, Reserva</t>
  </si>
  <si>
    <t>Parking</t>
  </si>
  <si>
    <t>Clases Rocio</t>
  </si>
  <si>
    <t>01/02 Pescaderia Yasmina</t>
  </si>
  <si>
    <t>01/02 Colruyt</t>
  </si>
  <si>
    <t>Amotizacion de capital</t>
  </si>
  <si>
    <t>Fecha Ultima Cuota:</t>
  </si>
  <si>
    <t>Base Rocio SURF10</t>
  </si>
  <si>
    <t>02/02 Delhaize</t>
  </si>
  <si>
    <t>02/02 Aldi</t>
  </si>
  <si>
    <t>Alter-nos</t>
  </si>
  <si>
    <t>alquiler+endesa</t>
  </si>
  <si>
    <t>Pay-Pal - Ryanair</t>
  </si>
  <si>
    <t>Documentacion Master, consulado.</t>
  </si>
  <si>
    <t>06/02 Circulacion</t>
  </si>
  <si>
    <t>Kids &amp; us</t>
  </si>
  <si>
    <t>06/02 Mifa</t>
  </si>
  <si>
    <t>05/02 bpost Master</t>
  </si>
  <si>
    <t>06/02 Hema</t>
  </si>
  <si>
    <t xml:space="preserve">Base Manolo </t>
  </si>
  <si>
    <t>06/02 sequoia</t>
  </si>
  <si>
    <t>Pago del Master</t>
  </si>
  <si>
    <t>Impuesto Basura (Hasta 79€)</t>
  </si>
  <si>
    <t>09/02 Action</t>
  </si>
  <si>
    <t>CAPAC</t>
  </si>
  <si>
    <t>08/02 Shell</t>
  </si>
  <si>
    <t>Hotel Malaga</t>
  </si>
  <si>
    <t>12/02 Carrefour</t>
  </si>
  <si>
    <t>13/02 Aldi</t>
  </si>
  <si>
    <t>13/02 Medi-Market</t>
  </si>
  <si>
    <t>13/02 Crescendo</t>
  </si>
  <si>
    <t>15/02 Media Markt</t>
  </si>
  <si>
    <t>16/02 Sushi/shop</t>
  </si>
  <si>
    <t>M</t>
  </si>
  <si>
    <t>R</t>
  </si>
  <si>
    <t>15/02 Carrefour tinta</t>
  </si>
  <si>
    <t>19/02 Colruyt</t>
  </si>
  <si>
    <t>19/02 Baba</t>
  </si>
  <si>
    <t>19/02 Pasaporte Martina</t>
  </si>
  <si>
    <t>19/02 Parking</t>
  </si>
  <si>
    <t>18/02 Shell</t>
  </si>
  <si>
    <t>19/02; 21/02 Colruyt</t>
  </si>
  <si>
    <t>21/02 Test</t>
  </si>
  <si>
    <t>21/02 Ryanair</t>
  </si>
  <si>
    <t>Fianza 550€</t>
  </si>
  <si>
    <t>23,24/02 Delhaize</t>
  </si>
  <si>
    <t>22/02 Action</t>
  </si>
  <si>
    <t>23/02 Farmacia</t>
  </si>
  <si>
    <t>Reglote (algo parecido)</t>
  </si>
  <si>
    <t>24/02 Lessines</t>
  </si>
  <si>
    <t>Tarxeta</t>
  </si>
  <si>
    <t>. 20 de abril del _; Cristo</t>
  </si>
  <si>
    <t>Limit</t>
  </si>
  <si>
    <t>26/02 Shell</t>
  </si>
  <si>
    <t>27/02 Hema</t>
  </si>
  <si>
    <t>Clases</t>
  </si>
  <si>
    <t>sobras</t>
  </si>
  <si>
    <t>Sobras</t>
  </si>
  <si>
    <t xml:space="preserve"> n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</si>
  <si>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Alter-Nos</t>
  </si>
  <si>
    <t>02/03 Delhaize</t>
  </si>
  <si>
    <t>02/03 Aldi</t>
  </si>
  <si>
    <t>01/03 Cresccendo</t>
  </si>
  <si>
    <t>Alquiler+Endesa+Aqualia</t>
  </si>
  <si>
    <t>03/02 Italiano + LaVane</t>
  </si>
  <si>
    <t>Master</t>
  </si>
  <si>
    <t>07/03 Commune</t>
  </si>
  <si>
    <t>06/03 Carrefour</t>
  </si>
  <si>
    <t>07/03 Lidl</t>
  </si>
  <si>
    <t>08/03 Tom &amp; Co</t>
  </si>
  <si>
    <t>09/03 Delhaize</t>
  </si>
  <si>
    <t>09/03 Sequoia</t>
  </si>
  <si>
    <t>09:10/03 Delhaize</t>
  </si>
  <si>
    <t>Hipoteca Reseva Mensual (403.08€)</t>
  </si>
  <si>
    <t>10/03 Bolas Braine</t>
  </si>
  <si>
    <t>09/03 Aduana Alarma</t>
  </si>
  <si>
    <t>Regalo Abuelo Antonio</t>
  </si>
  <si>
    <t>12/03 Chirec</t>
  </si>
  <si>
    <t>12/03 Delhaize</t>
  </si>
  <si>
    <t>12/03 Delhaize (Pilas)</t>
  </si>
  <si>
    <t>14/03 Commune</t>
  </si>
  <si>
    <t>13/03 Carrefour</t>
  </si>
  <si>
    <t>Café 200 / 2 meses</t>
  </si>
  <si>
    <t>15/03 Colruyt</t>
  </si>
  <si>
    <t>15/03 Nesspreso</t>
  </si>
  <si>
    <t>14/03 Cresccendo</t>
  </si>
  <si>
    <t xml:space="preserve">Base Rocio </t>
  </si>
  <si>
    <t>19/03 Sushi</t>
  </si>
  <si>
    <t>19/03 Maxi Toys</t>
  </si>
  <si>
    <t>08/03 DATS24</t>
  </si>
  <si>
    <t>19/03 Shell</t>
  </si>
  <si>
    <t>21/03 Parking</t>
  </si>
  <si>
    <t>22/03 Chirec</t>
  </si>
  <si>
    <t>22/03 Farmacia</t>
  </si>
  <si>
    <t>Rocio</t>
  </si>
  <si>
    <t>23/03 Tren</t>
  </si>
  <si>
    <t>22/03 Action</t>
  </si>
  <si>
    <t>Seguro (Hasta 750€)</t>
  </si>
  <si>
    <t>GE</t>
  </si>
  <si>
    <t>Gasto Corriente</t>
  </si>
  <si>
    <t>Aspiradora (hasta 400€)</t>
  </si>
  <si>
    <t>Robot de cocina (hasta 400€)</t>
  </si>
  <si>
    <t>PC</t>
  </si>
  <si>
    <t>12/03 Chirec (Mutua)</t>
  </si>
  <si>
    <t>23/03 Lush</t>
  </si>
  <si>
    <t>23/03 NYX</t>
  </si>
  <si>
    <t>Microondas</t>
  </si>
  <si>
    <t>23/03 Primark</t>
  </si>
  <si>
    <t xml:space="preserve">Compra de 60 BMW.DE </t>
  </si>
  <si>
    <t>BMW.DE</t>
  </si>
  <si>
    <t>Fianza 550€ (BMW.DE)</t>
  </si>
  <si>
    <t>Ultima (hasta 9.486,92€)BMW.DE</t>
  </si>
  <si>
    <t>Compra 60. BMW.DE</t>
  </si>
  <si>
    <t>26/03 Ginecologa</t>
  </si>
  <si>
    <t>Hacienda</t>
  </si>
  <si>
    <t>27/03 Farmacia</t>
  </si>
  <si>
    <t>28/03 BEPHOTO</t>
  </si>
  <si>
    <t>29/03 dominos</t>
  </si>
  <si>
    <t>29/03 Di</t>
  </si>
  <si>
    <t>29/03 Griego</t>
  </si>
  <si>
    <t>Convalidaciones</t>
  </si>
  <si>
    <t>ING</t>
  </si>
  <si>
    <t>02/04 Custodia</t>
  </si>
  <si>
    <t>02/04 Tom&amp;Co</t>
  </si>
  <si>
    <t>02/04  Bpost</t>
  </si>
  <si>
    <t>Aldi</t>
  </si>
  <si>
    <t>Aldi Ropa</t>
  </si>
  <si>
    <t>Kids&amp;Us</t>
  </si>
  <si>
    <t>PC (hasta 1208€)</t>
  </si>
  <si>
    <t>03/04 Zaventem</t>
  </si>
  <si>
    <t>Allocation familier</t>
  </si>
  <si>
    <t>07/04 Malaga</t>
  </si>
  <si>
    <t>09/04 Malaga</t>
  </si>
  <si>
    <t>09/04 Parfois</t>
  </si>
  <si>
    <t>09/04 Hotel</t>
  </si>
  <si>
    <t>04/09 Malaga</t>
  </si>
  <si>
    <t>09/04 Ryanair</t>
  </si>
  <si>
    <t>Efectivo Malaga</t>
  </si>
  <si>
    <t>11/04 Farmacia</t>
  </si>
  <si>
    <t>10/04 Shell</t>
  </si>
  <si>
    <t>BMW.DE cierre operacion</t>
  </si>
  <si>
    <t>BMW.DE beneficio venta</t>
  </si>
  <si>
    <t>13/04 Sequoia</t>
  </si>
  <si>
    <t>15/04 PayPal Ryanair julio</t>
  </si>
  <si>
    <t>15/04 LaVane</t>
  </si>
  <si>
    <t>15/04 Gine</t>
  </si>
  <si>
    <t>16/04 Cuota tarjetas ibercaja</t>
  </si>
  <si>
    <t>16/04 Ryanair</t>
  </si>
  <si>
    <t>16/04 Colruyt</t>
  </si>
  <si>
    <t>16/04 Cumple Vane</t>
  </si>
  <si>
    <t>Amortizar ultima cuota (hasta 402€)</t>
  </si>
  <si>
    <t>18/04 Cambio ruedas</t>
  </si>
  <si>
    <t>Ultima (hasta 9.486,92€)</t>
  </si>
  <si>
    <t>18/04 Delhaize</t>
  </si>
  <si>
    <t>128€ Cheques</t>
  </si>
  <si>
    <t>20/04 Zigs W</t>
  </si>
  <si>
    <t>22/04 Hallebors</t>
  </si>
  <si>
    <t>21/04 Aloha limpia coche</t>
  </si>
  <si>
    <t>Dejar 128 para Mayo</t>
  </si>
  <si>
    <t>08/04 Mutua</t>
  </si>
  <si>
    <t>24/04 Parking Zaventem</t>
  </si>
  <si>
    <t>Checkes</t>
  </si>
  <si>
    <t>19/04 Shell</t>
  </si>
  <si>
    <t>Mutua</t>
  </si>
  <si>
    <t>Reajuste</t>
  </si>
  <si>
    <t>29/04 Farmacia</t>
  </si>
  <si>
    <t>30/04 Farmacia</t>
  </si>
  <si>
    <t>02/05 Ancho</t>
  </si>
  <si>
    <t>02/05 Delhaize proxy</t>
  </si>
  <si>
    <t>Dividendos ITX.MC</t>
  </si>
  <si>
    <t>02/05 Custodia</t>
  </si>
  <si>
    <t>02/05 Colruyt</t>
  </si>
  <si>
    <t>02/05 Shell</t>
  </si>
  <si>
    <t>Vacaciones Restantes</t>
  </si>
  <si>
    <t>04/05 Ginecologa</t>
  </si>
  <si>
    <t>06/05 Pay-Pal Madrid</t>
  </si>
  <si>
    <t>04/05 Oscars</t>
  </si>
  <si>
    <t>05/05 Oscars</t>
  </si>
  <si>
    <t>06/05 Aldi</t>
  </si>
  <si>
    <t>06/05 Colruyt</t>
  </si>
  <si>
    <t>Allocations familiales</t>
  </si>
  <si>
    <t>08/05 Kids &amp; Us - Trimestre 3</t>
  </si>
  <si>
    <t>08/05 TicketMaster Metallica</t>
  </si>
  <si>
    <t>04/05 Ginecologa Mutua</t>
  </si>
  <si>
    <t>11/05 Griego</t>
  </si>
  <si>
    <t>12/05 Ixelles</t>
  </si>
  <si>
    <t>10/05 Sequoia</t>
  </si>
  <si>
    <t>11/05 Aldi</t>
  </si>
  <si>
    <t>13/05 Shell</t>
  </si>
  <si>
    <t>15/05 Di</t>
  </si>
  <si>
    <t>15/05 Tom&amp;Co</t>
  </si>
  <si>
    <t>16/05 Lidl</t>
  </si>
  <si>
    <t>16/05 Mifa</t>
  </si>
  <si>
    <t>17/05 PayPal</t>
  </si>
  <si>
    <t>20/05 Delhaize</t>
  </si>
  <si>
    <t>18/05 Action</t>
  </si>
  <si>
    <t xml:space="preserve">20/05 Compra de 62 BMW.DE </t>
  </si>
  <si>
    <t>22/05 tren</t>
  </si>
  <si>
    <t>GENERAL</t>
  </si>
  <si>
    <t>COMPRA</t>
  </si>
  <si>
    <t>VENTA</t>
  </si>
  <si>
    <t>TIPO</t>
  </si>
  <si>
    <t>VALOR</t>
  </si>
  <si>
    <t>DINERO INICIAL</t>
  </si>
  <si>
    <t>DINERO INVERTIDO</t>
  </si>
  <si>
    <t>FECHA</t>
  </si>
  <si>
    <t>PRECIO/VALOR</t>
  </si>
  <si>
    <t>Nº VALORES</t>
  </si>
  <si>
    <t>DINERO ACCIONES</t>
  </si>
  <si>
    <t>BALANCE</t>
  </si>
  <si>
    <t>INFO</t>
  </si>
  <si>
    <t>BENELUX</t>
  </si>
  <si>
    <t>ABI.BR</t>
  </si>
  <si>
    <t>EURO</t>
  </si>
  <si>
    <t>ITX.MC</t>
  </si>
  <si>
    <t>HISTORICO</t>
  </si>
  <si>
    <t>PHI.AS</t>
  </si>
  <si>
    <t>Dividendos de PHI.AS</t>
  </si>
  <si>
    <t>UNA.AS</t>
  </si>
  <si>
    <t>MT.AS</t>
  </si>
  <si>
    <t>Intereses Cuenta</t>
  </si>
  <si>
    <t>Custodia de acciones 2015</t>
  </si>
  <si>
    <t>Venta de warrants de MT.AS</t>
  </si>
  <si>
    <t>Custodia de acciones 2016</t>
  </si>
  <si>
    <t>StockSplit 4 acciones</t>
  </si>
  <si>
    <t>Custodia de acciones 2017</t>
  </si>
  <si>
    <t>Custodia de acciones 2018</t>
  </si>
  <si>
    <t>Custodia de acciones 2019</t>
  </si>
  <si>
    <t>Dias/Total dias</t>
  </si>
  <si>
    <t>Media invertido</t>
  </si>
  <si>
    <t>% Total</t>
  </si>
  <si>
    <t>%/año</t>
  </si>
  <si>
    <t>menos +o-[30€/año] en custodia</t>
  </si>
  <si>
    <t>DAI.DE</t>
  </si>
  <si>
    <t>VOW3.DE</t>
  </si>
  <si>
    <t>BMV.DE</t>
  </si>
  <si>
    <t>BHP Billiton plc (BIL.DE)</t>
  </si>
  <si>
    <t>Previsto</t>
  </si>
  <si>
    <t>Intradia</t>
  </si>
  <si>
    <t>Inditex</t>
  </si>
  <si>
    <t>Entre 25 y 28</t>
  </si>
  <si>
    <t>BMW</t>
  </si>
  <si>
    <t>Entre 68 y 74.5</t>
  </si>
  <si>
    <t>68.11-75.54</t>
  </si>
  <si>
    <t>Interim dividend payment</t>
  </si>
  <si>
    <t>71.28-76.50</t>
  </si>
  <si>
    <t>First Quarter Results</t>
  </si>
  <si>
    <t>12 June 2019</t>
  </si>
  <si>
    <t>Annual General Meeting</t>
  </si>
  <si>
    <t>16 July 2019</t>
  </si>
  <si>
    <t>First Half Results</t>
  </si>
  <si>
    <t>11 September 2019</t>
  </si>
  <si>
    <t>Final dividend payment</t>
  </si>
  <si>
    <t>4 November 2019</t>
  </si>
  <si>
    <t>Third Quarter Results</t>
  </si>
  <si>
    <t>11 December 2019</t>
  </si>
  <si>
    <t>Full Year 2019</t>
  </si>
  <si>
    <t>March 2020 (tbc)</t>
  </si>
  <si>
    <t>DIAS</t>
  </si>
  <si>
    <t>Ampliacion de Capital MT.AS</t>
  </si>
  <si>
    <t>Paga Extra bruto 2018</t>
  </si>
  <si>
    <t>Paga Extra neto 2018</t>
  </si>
  <si>
    <t>Paga Extra bruto 2019</t>
  </si>
  <si>
    <t>Paga Extra neto 2019</t>
  </si>
  <si>
    <t>Paga Extra</t>
  </si>
  <si>
    <t>Total Dias de Negocio</t>
  </si>
  <si>
    <t>Nenas</t>
  </si>
  <si>
    <t>Accionistas</t>
  </si>
  <si>
    <t>Porcentaje</t>
  </si>
  <si>
    <t>Reparto de Beneficios Netos</t>
  </si>
  <si>
    <t>&lt;-- Beneficios</t>
  </si>
  <si>
    <t>FONDO</t>
  </si>
  <si>
    <t>Criterios de Compra</t>
  </si>
  <si>
    <t>1. Haber bajado en un año entre un 30% - 50%</t>
  </si>
  <si>
    <t>2. Los analistas les den un potencial alto, entre un 30% - 50% de potencial</t>
  </si>
  <si>
    <t>3. Volumen medio, alto &gt; 1 M / dia</t>
  </si>
  <si>
    <t>4. Bajada especulativa: Muchas opciones de venta PUT (&gt; 1%)</t>
  </si>
  <si>
    <t>5. Deuda Baja: Todavia nose los niveles apropiados</t>
  </si>
  <si>
    <t>6. Índices ESG (medioambiente, responsabilidad social y gobierno corporativo) alto</t>
  </si>
  <si>
    <t>7. Que no reparta dividendos o lo haga en acciones que no se sea ampliacion de capital</t>
  </si>
  <si>
    <t>Analistas (2)</t>
  </si>
  <si>
    <t>Fiabilidad</t>
  </si>
  <si>
    <t>Tiempo</t>
  </si>
  <si>
    <t>Influencia</t>
  </si>
  <si>
    <t>GoldMan Sach</t>
  </si>
  <si>
    <t>Alta</t>
  </si>
  <si>
    <t>Largo</t>
  </si>
  <si>
    <t>Muy Alta</t>
  </si>
  <si>
    <t>JPMorgan</t>
  </si>
  <si>
    <t>Muy alta</t>
  </si>
  <si>
    <t>Medio</t>
  </si>
  <si>
    <t>Morgan Stanley</t>
  </si>
  <si>
    <t>Muy Baja</t>
  </si>
  <si>
    <t>Corto</t>
  </si>
  <si>
    <t>BBVA</t>
  </si>
  <si>
    <t>Media</t>
  </si>
  <si>
    <t>Renta4</t>
  </si>
  <si>
    <t>Credit Suise</t>
  </si>
  <si>
    <t>Citi</t>
  </si>
  <si>
    <t>RBC</t>
  </si>
  <si>
    <t>APUNTES</t>
  </si>
  <si>
    <t>Todo Junto, dividendos etc…</t>
  </si>
  <si>
    <t>25/05 Chirec</t>
  </si>
  <si>
    <t>25/05 Aldi</t>
  </si>
  <si>
    <t>26/05 Delhaize</t>
  </si>
  <si>
    <t>26/05 Griego</t>
  </si>
  <si>
    <t>24/05 Shell</t>
  </si>
  <si>
    <t>&lt;300</t>
  </si>
  <si>
    <t>De papa</t>
  </si>
  <si>
    <t>31/05 El corte ingles</t>
  </si>
  <si>
    <t>Paga extra</t>
  </si>
  <si>
    <t>Ultima (hasta 9.486,92€)+Paga 120</t>
  </si>
  <si>
    <t>31/05 Planet Parfum</t>
  </si>
  <si>
    <t>de Papa</t>
  </si>
  <si>
    <t>Hasta Diciembre</t>
  </si>
  <si>
    <t>01/06 Delhaize</t>
  </si>
  <si>
    <t>144€ Cheques</t>
  </si>
  <si>
    <t>60€ Cheques</t>
  </si>
  <si>
    <t>31/05 Colruyt 60€</t>
  </si>
  <si>
    <t>02/06 Texaco NL</t>
  </si>
  <si>
    <t>No ingresado</t>
  </si>
  <si>
    <t>02/06 Parking NL</t>
  </si>
  <si>
    <t>03/06 Gine</t>
  </si>
  <si>
    <t>AlterNos</t>
  </si>
  <si>
    <t>Alquiler+Aqualia-Fontanero</t>
  </si>
  <si>
    <t>Domburg</t>
  </si>
  <si>
    <t>Multa Domburg</t>
  </si>
  <si>
    <t>03/06 Colruyt</t>
  </si>
  <si>
    <t>04/05 Custodia</t>
  </si>
  <si>
    <t>05/06 Madrid Pay-Pal</t>
  </si>
  <si>
    <t>31/05 El Corte Ingles</t>
  </si>
  <si>
    <t>24/05 Carrefour</t>
  </si>
  <si>
    <t>05/06 Amazon Mambo</t>
  </si>
  <si>
    <t>05/06 Inscripcion Kids&amp;Us 2019-2020</t>
  </si>
  <si>
    <t>06/06 Farmacia</t>
  </si>
  <si>
    <t>06/06 Pediatra</t>
  </si>
  <si>
    <t>Allocations familier</t>
  </si>
  <si>
    <t>10/06 Cresccendo</t>
  </si>
  <si>
    <t>07/06 Esso</t>
  </si>
  <si>
    <t>11/06 Tren</t>
  </si>
  <si>
    <t>07/06 Sequoia</t>
  </si>
  <si>
    <t>08/06 Aldi</t>
  </si>
  <si>
    <t>08/06 H&amp;M</t>
  </si>
  <si>
    <t>10/06 Amazon cuentos</t>
  </si>
  <si>
    <t>06/06 AliExpress</t>
  </si>
  <si>
    <t>10/06 Brita Amazon</t>
  </si>
  <si>
    <t>08/06 Zara</t>
  </si>
  <si>
    <t>Exki</t>
  </si>
  <si>
    <t>13/06 Sushi</t>
  </si>
  <si>
    <t>&lt;330</t>
  </si>
  <si>
    <t>17/06 Paul + Brocante</t>
  </si>
  <si>
    <t>16/06 Brocante</t>
  </si>
  <si>
    <t>17/06 Metallica</t>
  </si>
  <si>
    <t>14/06 Carrefour</t>
  </si>
  <si>
    <t>15/06 Zara</t>
  </si>
  <si>
    <t>19/06 Croisants</t>
  </si>
  <si>
    <t>22/06 Rhodes</t>
  </si>
  <si>
    <t>23/06 Helados</t>
  </si>
  <si>
    <t>185€ efectivo</t>
  </si>
  <si>
    <t>23/06 En Madrid</t>
  </si>
  <si>
    <t>20-24/06 Parking Charleroi</t>
  </si>
  <si>
    <t>20/06 Delhaize</t>
  </si>
  <si>
    <t>20/06 Shell</t>
  </si>
  <si>
    <t>24/06 Nivelles</t>
  </si>
  <si>
    <t>23/06 Ciao</t>
  </si>
  <si>
    <t>25/06 Ryanair</t>
  </si>
  <si>
    <t>25/06 Action</t>
  </si>
  <si>
    <t>26/06 Michels Cadeau</t>
  </si>
  <si>
    <t>Decafeinado</t>
  </si>
  <si>
    <t xml:space="preserve">Fuerte </t>
  </si>
  <si>
    <t xml:space="preserve">Debil </t>
  </si>
  <si>
    <t>Sabores</t>
  </si>
  <si>
    <t>29/06 Esso</t>
  </si>
  <si>
    <t>29/06 Tom&amp;Co</t>
  </si>
  <si>
    <t>30/06 Di</t>
  </si>
  <si>
    <t>30/06 Woman Secret</t>
  </si>
  <si>
    <t>ING Deposit</t>
  </si>
  <si>
    <t>Cheques Aldi</t>
  </si>
  <si>
    <t>01/07 Gine</t>
  </si>
  <si>
    <t>02/07 Custodia</t>
  </si>
  <si>
    <t>02/07 Farmacia</t>
  </si>
  <si>
    <t>03/07 Pay-Pal</t>
  </si>
  <si>
    <t>03/07 Griego</t>
  </si>
  <si>
    <t>04/07 Chirec</t>
  </si>
  <si>
    <t>EcoCheques</t>
  </si>
  <si>
    <t>08/07 Media Markt</t>
  </si>
  <si>
    <t>08/07 MediMarket</t>
  </si>
  <si>
    <t>06/07 Carrefour</t>
  </si>
  <si>
    <t>06/07 HM</t>
  </si>
  <si>
    <t>Capac</t>
  </si>
  <si>
    <t>Mutualite</t>
  </si>
  <si>
    <t>05/07 Apero</t>
  </si>
  <si>
    <t>44€ El corte ingles</t>
  </si>
  <si>
    <t>12.50€ El corte ingles</t>
  </si>
  <si>
    <t>Malaga Aproximado</t>
  </si>
  <si>
    <t>tita Mari</t>
  </si>
  <si>
    <t>Eva</t>
  </si>
  <si>
    <t>Pablillo</t>
  </si>
  <si>
    <t>09/07 Decathlon guadalmar</t>
  </si>
  <si>
    <t>12/07 Primor</t>
  </si>
  <si>
    <t>12/07 Mercadona</t>
  </si>
  <si>
    <t>13/07 Selwo</t>
  </si>
  <si>
    <t>08-17/07 Parking</t>
  </si>
  <si>
    <t>17/07 Hotel</t>
  </si>
  <si>
    <t>12/07 Gafas de sol</t>
  </si>
  <si>
    <t>Alquiler + endesa</t>
  </si>
  <si>
    <t>08/07 Delhaize</t>
  </si>
  <si>
    <t>08/07 Mutualite</t>
  </si>
  <si>
    <t>13/07 Benalmadena</t>
  </si>
  <si>
    <t>PC (hasta 1006.66€)</t>
  </si>
  <si>
    <t>PC (hasta 905.99€)</t>
  </si>
  <si>
    <t>Aldi Cheques</t>
  </si>
  <si>
    <t>&lt;255</t>
  </si>
  <si>
    <t>21/07 Feria</t>
  </si>
  <si>
    <t>19/07 Joliboit</t>
  </si>
  <si>
    <t>19/07 Esso</t>
  </si>
  <si>
    <t>21/07 Delhaize</t>
  </si>
  <si>
    <t>20/07 Aldi</t>
  </si>
  <si>
    <t>19/07 Malaga Dutty free</t>
  </si>
  <si>
    <t>Aspiradora (hasta 0€)</t>
  </si>
  <si>
    <t>24/07 Multa Domburgo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</si>
</sst>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#,##0\ &quot;€&quot;;[Red]\-#,##0\ &quot;€&quot;"/>
    <numFmt numFmtId="8" formatCode="#,##0.00\ &quot;€&quot;;[Red]\-#,##0.00\ &quot;€&quot;"/>
    <numFmt numFmtId="164" formatCode="&quot;€&quot;#,##0.00;[Red]\-&quot;€&quot;#,##0.00"/>
    <numFmt numFmtId="165" formatCode="_-* #,##0.00_-;\-* #,##0.00_-;_-* &quot;-&quot;??_-;_-@_-"/>
    <numFmt numFmtId="166" formatCode="&quot;€&quot;#,##0.00"/>
    <numFmt numFmtId="167" formatCode="#,##0.00\ &quot;€&quot;"/>
    <numFmt numFmtId="168" formatCode="#,##0.0;[Red]#,##0.0"/>
    <numFmt numFmtId="169" formatCode="0.00000"/>
    <numFmt numFmtId="170" formatCode="0.000"/>
    <numFmt numFmtId="171" formatCode="#,##0.00&quot; €&quot;"/>
    <numFmt numFmtId="172" formatCode="#,##0.00&quot; €&quot;;[Red]\-#,##0.00&quot; €&quot;"/>
    <numFmt numFmtId="173" formatCode="mmmm\-yy;@"/>
    <numFmt numFmtId="174" formatCode="#,##0.00\ [$€-80C];[Red]\-#,##0.00\ [$€-80C]"/>
    <numFmt numFmtId="175" formatCode="0.000%"/>
    <numFmt numFmtId="176" formatCode="#,##0.00&quot; €&quot;;\-#,##0.00&quot; €&quot;"/>
    <numFmt numFmtId="177" formatCode="dd/mm/yyyy;@"/>
    <numFmt numFmtId="178" formatCode="0_ ;[Red]\-0\ "/>
  </numFmts>
  <fonts count="26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2"/>
      <color theme="10"/>
      <name val="宋体"/>
    </font>
    <font>
      <u/>
      <sz val="12"/>
      <color theme="10"/>
      <name val="Calibri"/>
      <family val="2"/>
      <scheme val="minor"/>
    </font>
    <font>
      <sz val="11"/>
      <color rgb="FFFFFFFF"/>
      <name val="Calibri"/>
      <family val="2"/>
      <scheme val="minor"/>
    </font>
    <font>
      <sz val="12"/>
      <color rgb="FFFFFFFF"/>
      <name val="Calibri"/>
      <family val="2"/>
      <scheme val="minor"/>
    </font>
    <font>
      <b/>
      <sz val="12"/>
      <color rgb="FF000000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7030A0"/>
      <name val="Calibri"/>
      <family val="2"/>
      <scheme val="minor"/>
    </font>
    <font>
      <u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  <charset val="1"/>
    </font>
    <font>
      <sz val="10"/>
      <color rgb="FF7030A0"/>
      <name val="Arial"/>
      <family val="2"/>
      <charset val="1"/>
    </font>
    <font>
      <strike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26282A"/>
      <name val="Arial"/>
      <family val="2"/>
    </font>
    <font>
      <sz val="11"/>
      <color rgb="FF26282A"/>
      <name val="Arial"/>
      <family val="2"/>
    </font>
    <font>
      <sz val="12"/>
      <color rgb="FF000000"/>
      <name val="Arial"/>
      <family val="2"/>
    </font>
    <font>
      <u/>
      <sz val="11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7B2523"/>
        <bgColor rgb="FF000000"/>
      </patternFill>
    </fill>
    <fill>
      <patternFill patternType="solid">
        <fgColor theme="6" tint="0.59996337778862885"/>
        <bgColor rgb="FF000000"/>
      </patternFill>
    </fill>
    <fill>
      <patternFill patternType="solid">
        <fgColor theme="8" tint="0.59996337778862885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FFFFCC"/>
        <bgColor indexed="64"/>
      </patternFill>
    </fill>
    <fill>
      <patternFill patternType="solid">
        <fgColor indexed="11"/>
        <bgColor indexed="49"/>
      </patternFill>
    </fill>
    <fill>
      <patternFill patternType="solid">
        <fgColor indexed="15"/>
        <bgColor indexed="35"/>
      </patternFill>
    </fill>
    <fill>
      <patternFill patternType="solid">
        <fgColor theme="0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rgb="FF000000"/>
      </patternFill>
    </fill>
    <fill>
      <patternFill patternType="solid">
        <fgColor theme="5" tint="0.59996337778862885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37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/>
      <right/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ck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ck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indexed="64"/>
      </bottom>
      <diagonal/>
    </border>
    <border>
      <left/>
      <right/>
      <top style="medium">
        <color auto="1"/>
      </top>
      <bottom style="thin">
        <color indexed="64"/>
      </bottom>
      <diagonal/>
    </border>
    <border>
      <left/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indexed="8"/>
      </right>
      <top style="medium">
        <color indexed="8"/>
      </top>
      <bottom style="medium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auto="1"/>
      </bottom>
      <diagonal/>
    </border>
    <border>
      <left style="thin">
        <color indexed="64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450">
    <xf numFmtId="0" fontId="0" fillId="0" borderId="0" xfId="0"/>
    <xf numFmtId="0" fontId="1" fillId="0" borderId="0" xfId="0" applyFont="1"/>
    <xf numFmtId="166" fontId="1" fillId="0" borderId="0" xfId="0" applyNumberFormat="1" applyFont="1"/>
    <xf numFmtId="0" fontId="2" fillId="0" borderId="0" xfId="0" applyFont="1"/>
    <xf numFmtId="167" fontId="1" fillId="0" borderId="0" xfId="0" applyNumberFormat="1" applyFont="1"/>
    <xf numFmtId="8" fontId="2" fillId="0" borderId="0" xfId="0" applyNumberFormat="1" applyFont="1"/>
    <xf numFmtId="8" fontId="2" fillId="0" borderId="0" xfId="0" applyNumberFormat="1" applyFont="1" applyAlignment="1">
      <alignment horizontal="right"/>
    </xf>
    <xf numFmtId="10" fontId="2" fillId="0" borderId="0" xfId="0" applyNumberFormat="1" applyFont="1" applyAlignment="1">
      <alignment horizontal="right"/>
    </xf>
    <xf numFmtId="0" fontId="3" fillId="0" borderId="0" xfId="0" applyFont="1" applyAlignment="1">
      <alignment vertical="center"/>
    </xf>
    <xf numFmtId="49" fontId="6" fillId="2" borderId="8" xfId="0" applyNumberFormat="1" applyFont="1" applyFill="1" applyBorder="1" applyAlignment="1">
      <alignment horizontal="center"/>
    </xf>
    <xf numFmtId="49" fontId="3" fillId="0" borderId="0" xfId="0" applyNumberFormat="1" applyFont="1"/>
    <xf numFmtId="167" fontId="2" fillId="0" borderId="0" xfId="0" applyNumberFormat="1" applyFont="1"/>
    <xf numFmtId="49" fontId="6" fillId="2" borderId="8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0" fontId="1" fillId="0" borderId="0" xfId="0" applyNumberFormat="1" applyFont="1"/>
    <xf numFmtId="0" fontId="9" fillId="0" borderId="0" xfId="0" applyFont="1"/>
    <xf numFmtId="49" fontId="2" fillId="0" borderId="39" xfId="0" applyNumberFormat="1" applyFont="1" applyBorder="1"/>
    <xf numFmtId="49" fontId="2" fillId="0" borderId="34" xfId="0" applyNumberFormat="1" applyFont="1" applyBorder="1"/>
    <xf numFmtId="0" fontId="2" fillId="0" borderId="13" xfId="0" applyFont="1" applyBorder="1"/>
    <xf numFmtId="49" fontId="2" fillId="0" borderId="40" xfId="0" applyNumberFormat="1" applyFont="1" applyBorder="1"/>
    <xf numFmtId="0" fontId="2" fillId="0" borderId="26" xfId="0" applyFont="1" applyBorder="1"/>
    <xf numFmtId="10" fontId="1" fillId="0" borderId="3" xfId="0" applyNumberFormat="1" applyFont="1" applyBorder="1" applyAlignment="1"/>
    <xf numFmtId="1" fontId="1" fillId="0" borderId="13" xfId="0" applyNumberFormat="1" applyFont="1" applyBorder="1" applyAlignment="1"/>
    <xf numFmtId="49" fontId="3" fillId="3" borderId="8" xfId="0" applyNumberFormat="1" applyFont="1" applyFill="1" applyBorder="1" applyAlignment="1">
      <alignment horizontal="center"/>
    </xf>
    <xf numFmtId="49" fontId="8" fillId="4" borderId="8" xfId="0" applyNumberFormat="1" applyFont="1" applyFill="1" applyBorder="1" applyAlignment="1">
      <alignment horizontal="center" vertical="center"/>
    </xf>
    <xf numFmtId="0" fontId="2" fillId="0" borderId="38" xfId="0" applyFont="1" applyBorder="1" applyAlignment="1">
      <alignment horizontal="center"/>
    </xf>
    <xf numFmtId="0" fontId="2" fillId="0" borderId="32" xfId="0" applyFont="1" applyBorder="1" applyAlignment="1">
      <alignment vertical="center"/>
    </xf>
    <xf numFmtId="49" fontId="2" fillId="0" borderId="13" xfId="0" applyNumberFormat="1" applyFont="1" applyBorder="1"/>
    <xf numFmtId="0" fontId="10" fillId="0" borderId="0" xfId="0" applyFont="1"/>
    <xf numFmtId="0" fontId="11" fillId="0" borderId="0" xfId="0" applyFont="1"/>
    <xf numFmtId="49" fontId="2" fillId="0" borderId="40" xfId="0" applyNumberFormat="1" applyFont="1" applyBorder="1" applyAlignment="1">
      <alignment wrapText="1"/>
    </xf>
    <xf numFmtId="0" fontId="2" fillId="0" borderId="39" xfId="0" applyFont="1" applyBorder="1"/>
    <xf numFmtId="49" fontId="12" fillId="0" borderId="13" xfId="0" applyNumberFormat="1" applyFont="1" applyBorder="1"/>
    <xf numFmtId="49" fontId="13" fillId="0" borderId="13" xfId="0" applyNumberFormat="1" applyFont="1" applyBorder="1"/>
    <xf numFmtId="0" fontId="2" fillId="0" borderId="39" xfId="0" applyFont="1" applyBorder="1" applyAlignment="1">
      <alignment horizontal="left" vertical="center"/>
    </xf>
    <xf numFmtId="167" fontId="1" fillId="0" borderId="0" xfId="0" applyNumberFormat="1" applyFont="1"/>
    <xf numFmtId="164" fontId="1" fillId="0" borderId="0" xfId="0" applyNumberFormat="1" applyFont="1"/>
    <xf numFmtId="168" fontId="1" fillId="0" borderId="0" xfId="0" applyNumberFormat="1" applyFont="1"/>
    <xf numFmtId="164" fontId="0" fillId="0" borderId="0" xfId="0" applyNumberFormat="1"/>
    <xf numFmtId="0" fontId="0" fillId="0" borderId="0" xfId="0" applyNumberFormat="1"/>
    <xf numFmtId="0" fontId="2" fillId="0" borderId="65" xfId="0" applyFont="1" applyBorder="1" applyAlignment="1">
      <alignment vertical="center"/>
    </xf>
    <xf numFmtId="2" fontId="0" fillId="0" borderId="0" xfId="0" applyNumberFormat="1"/>
    <xf numFmtId="169" fontId="0" fillId="0" borderId="0" xfId="0" applyNumberFormat="1"/>
    <xf numFmtId="0" fontId="14" fillId="0" borderId="0" xfId="0" applyFont="1" applyAlignment="1">
      <alignment horizontal="center"/>
    </xf>
    <xf numFmtId="0" fontId="15" fillId="0" borderId="0" xfId="0" applyFont="1"/>
    <xf numFmtId="169" fontId="15" fillId="0" borderId="0" xfId="0" applyNumberFormat="1" applyFont="1"/>
    <xf numFmtId="1" fontId="0" fillId="0" borderId="0" xfId="0" applyNumberFormat="1"/>
    <xf numFmtId="0" fontId="14" fillId="0" borderId="0" xfId="0" applyFont="1"/>
    <xf numFmtId="170" fontId="0" fillId="0" borderId="0" xfId="0" applyNumberFormat="1" applyAlignment="1">
      <alignment horizontal="right"/>
    </xf>
    <xf numFmtId="171" fontId="0" fillId="0" borderId="0" xfId="0" applyNumberFormat="1" applyAlignment="1">
      <alignment horizontal="right"/>
    </xf>
    <xf numFmtId="169" fontId="0" fillId="0" borderId="0" xfId="0" applyNumberFormat="1" applyAlignment="1">
      <alignment horizontal="center"/>
    </xf>
    <xf numFmtId="171" fontId="0" fillId="0" borderId="66" xfId="0" applyNumberFormat="1" applyBorder="1" applyAlignment="1">
      <alignment horizontal="right"/>
    </xf>
    <xf numFmtId="171" fontId="0" fillId="7" borderId="0" xfId="0" applyNumberFormat="1" applyFill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right"/>
    </xf>
    <xf numFmtId="171" fontId="0" fillId="8" borderId="0" xfId="0" applyNumberFormat="1" applyFill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right"/>
    </xf>
    <xf numFmtId="10" fontId="0" fillId="0" borderId="0" xfId="0" applyNumberFormat="1" applyAlignment="1">
      <alignment horizontal="right"/>
    </xf>
    <xf numFmtId="10" fontId="0" fillId="0" borderId="0" xfId="0" applyNumberFormat="1"/>
    <xf numFmtId="0" fontId="16" fillId="0" borderId="0" xfId="0" applyFont="1"/>
    <xf numFmtId="0" fontId="15" fillId="0" borderId="67" xfId="0" applyFont="1" applyBorder="1" applyAlignment="1">
      <alignment horizontal="center"/>
    </xf>
    <xf numFmtId="0" fontId="15" fillId="0" borderId="68" xfId="0" applyFont="1" applyBorder="1" applyAlignment="1">
      <alignment horizontal="center"/>
    </xf>
    <xf numFmtId="0" fontId="15" fillId="0" borderId="69" xfId="0" applyFont="1" applyBorder="1" applyAlignment="1">
      <alignment horizontal="center"/>
    </xf>
    <xf numFmtId="0" fontId="15" fillId="0" borderId="70" xfId="0" applyFont="1" applyBorder="1" applyAlignment="1">
      <alignment horizontal="center"/>
    </xf>
    <xf numFmtId="0" fontId="15" fillId="0" borderId="72" xfId="0" applyFont="1" applyBorder="1"/>
    <xf numFmtId="171" fontId="0" fillId="0" borderId="73" xfId="0" applyNumberFormat="1" applyBorder="1"/>
    <xf numFmtId="40" fontId="0" fillId="0" borderId="73" xfId="0" applyNumberFormat="1" applyBorder="1"/>
    <xf numFmtId="174" fontId="0" fillId="0" borderId="0" xfId="0" applyNumberFormat="1"/>
    <xf numFmtId="173" fontId="0" fillId="0" borderId="74" xfId="0" applyNumberFormat="1" applyBorder="1" applyAlignment="1">
      <alignment horizontal="center"/>
    </xf>
    <xf numFmtId="171" fontId="0" fillId="0" borderId="75" xfId="0" applyNumberFormat="1" applyBorder="1"/>
    <xf numFmtId="175" fontId="0" fillId="0" borderId="66" xfId="0" applyNumberFormat="1" applyBorder="1"/>
    <xf numFmtId="40" fontId="0" fillId="0" borderId="76" xfId="0" applyNumberFormat="1" applyBorder="1"/>
    <xf numFmtId="171" fontId="0" fillId="0" borderId="76" xfId="0" applyNumberFormat="1" applyBorder="1"/>
    <xf numFmtId="176" fontId="0" fillId="0" borderId="76" xfId="0" applyNumberFormat="1" applyBorder="1"/>
    <xf numFmtId="171" fontId="0" fillId="0" borderId="77" xfId="0" applyNumberFormat="1" applyBorder="1"/>
    <xf numFmtId="171" fontId="15" fillId="0" borderId="76" xfId="0" applyNumberFormat="1" applyFont="1" applyBorder="1"/>
    <xf numFmtId="171" fontId="15" fillId="0" borderId="77" xfId="0" applyNumberFormat="1" applyFont="1" applyBorder="1"/>
    <xf numFmtId="173" fontId="15" fillId="0" borderId="74" xfId="0" applyNumberFormat="1" applyFont="1" applyBorder="1" applyAlignment="1">
      <alignment horizontal="center"/>
    </xf>
    <xf numFmtId="14" fontId="0" fillId="0" borderId="74" xfId="0" applyNumberFormat="1" applyBorder="1" applyAlignment="1">
      <alignment horizontal="center"/>
    </xf>
    <xf numFmtId="175" fontId="0" fillId="0" borderId="79" xfId="0" applyNumberFormat="1" applyBorder="1"/>
    <xf numFmtId="171" fontId="0" fillId="0" borderId="80" xfId="0" applyNumberFormat="1" applyBorder="1"/>
    <xf numFmtId="40" fontId="0" fillId="0" borderId="81" xfId="0" applyNumberFormat="1" applyBorder="1"/>
    <xf numFmtId="171" fontId="0" fillId="0" borderId="81" xfId="0" applyNumberFormat="1" applyBorder="1"/>
    <xf numFmtId="175" fontId="0" fillId="0" borderId="0" xfId="0" applyNumberFormat="1"/>
    <xf numFmtId="171" fontId="0" fillId="0" borderId="0" xfId="0" applyNumberFormat="1"/>
    <xf numFmtId="40" fontId="0" fillId="0" borderId="0" xfId="0" applyNumberFormat="1"/>
    <xf numFmtId="49" fontId="0" fillId="0" borderId="0" xfId="0" applyNumberFormat="1" applyFont="1"/>
    <xf numFmtId="0" fontId="0" fillId="0" borderId="0" xfId="0" applyAlignment="1">
      <alignment wrapText="1"/>
    </xf>
    <xf numFmtId="0" fontId="0" fillId="0" borderId="0" xfId="0" applyFont="1"/>
    <xf numFmtId="171" fontId="0" fillId="0" borderId="0" xfId="0" applyNumberFormat="1" applyBorder="1"/>
    <xf numFmtId="14" fontId="0" fillId="0" borderId="81" xfId="0" applyNumberFormat="1" applyBorder="1" applyAlignment="1">
      <alignment horizontal="center"/>
    </xf>
    <xf numFmtId="164" fontId="0" fillId="0" borderId="0" xfId="0" applyNumberFormat="1" applyFont="1"/>
    <xf numFmtId="0" fontId="0" fillId="0" borderId="83" xfId="0" applyBorder="1" applyAlignment="1"/>
    <xf numFmtId="0" fontId="0" fillId="0" borderId="84" xfId="0" applyBorder="1" applyAlignment="1"/>
    <xf numFmtId="14" fontId="0" fillId="0" borderId="90" xfId="0" applyNumberFormat="1" applyBorder="1"/>
    <xf numFmtId="14" fontId="0" fillId="0" borderId="91" xfId="0" applyNumberFormat="1" applyBorder="1"/>
    <xf numFmtId="14" fontId="0" fillId="0" borderId="92" xfId="0" applyNumberFormat="1" applyBorder="1"/>
    <xf numFmtId="164" fontId="0" fillId="0" borderId="82" xfId="0" applyNumberFormat="1" applyBorder="1"/>
    <xf numFmtId="164" fontId="0" fillId="0" borderId="84" xfId="0" applyNumberFormat="1" applyBorder="1"/>
    <xf numFmtId="166" fontId="0" fillId="0" borderId="82" xfId="0" applyNumberFormat="1" applyBorder="1"/>
    <xf numFmtId="166" fontId="0" fillId="0" borderId="84" xfId="0" applyNumberFormat="1" applyBorder="1"/>
    <xf numFmtId="166" fontId="18" fillId="0" borderId="82" xfId="0" applyNumberFormat="1" applyFont="1" applyBorder="1"/>
    <xf numFmtId="165" fontId="0" fillId="0" borderId="82" xfId="0" applyNumberFormat="1" applyFont="1" applyBorder="1"/>
    <xf numFmtId="166" fontId="0" fillId="0" borderId="82" xfId="0" applyNumberFormat="1" applyFont="1" applyBorder="1"/>
    <xf numFmtId="0" fontId="2" fillId="0" borderId="99" xfId="0" applyFont="1" applyBorder="1"/>
    <xf numFmtId="0" fontId="2" fillId="0" borderId="51" xfId="0" applyFont="1" applyBorder="1" applyAlignment="1">
      <alignment vertical="center"/>
    </xf>
    <xf numFmtId="0" fontId="2" fillId="0" borderId="11" xfId="0" applyFont="1" applyBorder="1"/>
    <xf numFmtId="0" fontId="2" fillId="0" borderId="52" xfId="0" applyFont="1" applyBorder="1" applyAlignment="1">
      <alignment vertical="center"/>
    </xf>
    <xf numFmtId="0" fontId="2" fillId="0" borderId="53" xfId="0" applyFont="1" applyBorder="1" applyAlignment="1">
      <alignment vertical="center"/>
    </xf>
    <xf numFmtId="0" fontId="2" fillId="0" borderId="54" xfId="0" applyFont="1" applyBorder="1"/>
    <xf numFmtId="167" fontId="0" fillId="0" borderId="0" xfId="0" applyNumberFormat="1"/>
    <xf numFmtId="8" fontId="1" fillId="0" borderId="0" xfId="0" applyNumberFormat="1" applyFont="1"/>
    <xf numFmtId="8" fontId="0" fillId="0" borderId="0" xfId="0" applyNumberFormat="1" applyFont="1"/>
    <xf numFmtId="14" fontId="0" fillId="0" borderId="0" xfId="0" applyNumberFormat="1"/>
    <xf numFmtId="0" fontId="15" fillId="0" borderId="100" xfId="0" applyFont="1" applyBorder="1" applyAlignment="1">
      <alignment horizontal="center"/>
    </xf>
    <xf numFmtId="8" fontId="0" fillId="0" borderId="101" xfId="0" applyNumberFormat="1" applyBorder="1" applyAlignment="1">
      <alignment horizontal="center"/>
    </xf>
    <xf numFmtId="8" fontId="15" fillId="0" borderId="101" xfId="0" applyNumberFormat="1" applyFont="1" applyBorder="1" applyAlignment="1">
      <alignment horizontal="center"/>
    </xf>
    <xf numFmtId="8" fontId="0" fillId="0" borderId="102" xfId="0" applyNumberFormat="1" applyBorder="1" applyAlignment="1">
      <alignment horizontal="center"/>
    </xf>
    <xf numFmtId="8" fontId="0" fillId="0" borderId="0" xfId="0" applyNumberFormat="1"/>
    <xf numFmtId="14" fontId="0" fillId="0" borderId="71" xfId="0" applyNumberFormat="1" applyBorder="1" applyAlignment="1">
      <alignment horizontal="center"/>
    </xf>
    <xf numFmtId="14" fontId="15" fillId="0" borderId="71" xfId="0" applyNumberFormat="1" applyFont="1" applyBorder="1" applyAlignment="1">
      <alignment horizontal="center"/>
    </xf>
    <xf numFmtId="14" fontId="0" fillId="0" borderId="78" xfId="0" applyNumberFormat="1" applyBorder="1" applyAlignment="1">
      <alignment horizontal="center"/>
    </xf>
    <xf numFmtId="167" fontId="1" fillId="5" borderId="20" xfId="0" applyNumberFormat="1" applyFont="1" applyFill="1" applyBorder="1" applyAlignment="1"/>
    <xf numFmtId="6" fontId="1" fillId="0" borderId="0" xfId="0" applyNumberFormat="1" applyFont="1"/>
    <xf numFmtId="8" fontId="10" fillId="0" borderId="0" xfId="0" applyNumberFormat="1" applyFont="1"/>
    <xf numFmtId="8" fontId="17" fillId="0" borderId="77" xfId="0" applyNumberFormat="1" applyFont="1" applyBorder="1"/>
    <xf numFmtId="8" fontId="0" fillId="0" borderId="76" xfId="0" applyNumberFormat="1" applyBorder="1"/>
    <xf numFmtId="8" fontId="0" fillId="0" borderId="77" xfId="0" applyNumberFormat="1" applyBorder="1"/>
    <xf numFmtId="8" fontId="0" fillId="0" borderId="81" xfId="0" applyNumberFormat="1" applyBorder="1"/>
    <xf numFmtId="8" fontId="0" fillId="0" borderId="80" xfId="0" applyNumberFormat="1" applyBorder="1"/>
    <xf numFmtId="8" fontId="1" fillId="0" borderId="0" xfId="0" applyNumberFormat="1" applyFont="1" applyAlignment="1">
      <alignment vertical="top"/>
    </xf>
    <xf numFmtId="8" fontId="2" fillId="0" borderId="50" xfId="0" applyNumberFormat="1" applyFont="1" applyBorder="1" applyAlignment="1">
      <alignment horizontal="center" vertical="center"/>
    </xf>
    <xf numFmtId="8" fontId="2" fillId="0" borderId="51" xfId="0" applyNumberFormat="1" applyFont="1" applyBorder="1"/>
    <xf numFmtId="8" fontId="2" fillId="0" borderId="52" xfId="0" applyNumberFormat="1" applyFont="1" applyBorder="1" applyAlignment="1">
      <alignment vertical="center"/>
    </xf>
    <xf numFmtId="8" fontId="2" fillId="0" borderId="53" xfId="0" applyNumberFormat="1" applyFont="1" applyBorder="1"/>
    <xf numFmtId="8" fontId="2" fillId="0" borderId="46" xfId="0" applyNumberFormat="1" applyFont="1" applyBorder="1" applyAlignment="1">
      <alignment horizontal="center" vertical="center"/>
    </xf>
    <xf numFmtId="8" fontId="2" fillId="0" borderId="52" xfId="0" applyNumberFormat="1" applyFont="1" applyBorder="1"/>
    <xf numFmtId="8" fontId="2" fillId="0" borderId="11" xfId="0" applyNumberFormat="1" applyFont="1" applyBorder="1"/>
    <xf numFmtId="8" fontId="2" fillId="0" borderId="54" xfId="0" applyNumberFormat="1" applyFont="1" applyBorder="1"/>
    <xf numFmtId="2" fontId="10" fillId="0" borderId="0" xfId="0" applyNumberFormat="1" applyFont="1"/>
    <xf numFmtId="49" fontId="8" fillId="5" borderId="14" xfId="0" applyNumberFormat="1" applyFont="1" applyFill="1" applyBorder="1" applyAlignment="1"/>
    <xf numFmtId="8" fontId="2" fillId="5" borderId="3" xfId="0" applyNumberFormat="1" applyFont="1" applyFill="1" applyBorder="1" applyAlignment="1">
      <alignment horizontal="right"/>
    </xf>
    <xf numFmtId="49" fontId="5" fillId="5" borderId="17" xfId="1" applyNumberFormat="1" applyFont="1" applyFill="1" applyBorder="1" applyAlignment="1">
      <alignment horizontal="center"/>
    </xf>
    <xf numFmtId="8" fontId="2" fillId="5" borderId="18" xfId="0" applyNumberFormat="1" applyFont="1" applyFill="1" applyBorder="1" applyAlignment="1"/>
    <xf numFmtId="8" fontId="2" fillId="5" borderId="19" xfId="0" applyNumberFormat="1" applyFont="1" applyFill="1" applyBorder="1" applyAlignment="1"/>
    <xf numFmtId="49" fontId="8" fillId="9" borderId="22" xfId="0" applyNumberFormat="1" applyFont="1" applyFill="1" applyBorder="1" applyAlignment="1"/>
    <xf numFmtId="8" fontId="2" fillId="9" borderId="42" xfId="0" applyNumberFormat="1" applyFont="1" applyFill="1" applyBorder="1" applyAlignment="1">
      <alignment horizontal="right"/>
    </xf>
    <xf numFmtId="49" fontId="5" fillId="9" borderId="17" xfId="1" applyNumberFormat="1" applyFont="1" applyFill="1" applyBorder="1" applyAlignment="1">
      <alignment horizontal="center"/>
    </xf>
    <xf numFmtId="8" fontId="2" fillId="9" borderId="46" xfId="0" applyNumberFormat="1" applyFont="1" applyFill="1" applyBorder="1" applyAlignment="1"/>
    <xf numFmtId="8" fontId="2" fillId="9" borderId="24" xfId="0" applyNumberFormat="1" applyFont="1" applyFill="1" applyBorder="1" applyAlignment="1"/>
    <xf numFmtId="8" fontId="2" fillId="9" borderId="23" xfId="0" applyNumberFormat="1" applyFont="1" applyFill="1" applyBorder="1" applyAlignment="1"/>
    <xf numFmtId="167" fontId="1" fillId="9" borderId="21" xfId="0" applyNumberFormat="1" applyFont="1" applyFill="1" applyBorder="1" applyAlignment="1"/>
    <xf numFmtId="49" fontId="8" fillId="5" borderId="22" xfId="0" applyNumberFormat="1" applyFont="1" applyFill="1" applyBorder="1" applyAlignment="1"/>
    <xf numFmtId="8" fontId="2" fillId="5" borderId="42" xfId="0" applyNumberFormat="1" applyFont="1" applyFill="1" applyBorder="1" applyAlignment="1">
      <alignment horizontal="right"/>
    </xf>
    <xf numFmtId="8" fontId="2" fillId="5" borderId="13" xfId="0" applyNumberFormat="1" applyFont="1" applyFill="1" applyBorder="1" applyAlignment="1"/>
    <xf numFmtId="8" fontId="2" fillId="5" borderId="25" xfId="0" applyNumberFormat="1" applyFont="1" applyFill="1" applyBorder="1" applyAlignment="1"/>
    <xf numFmtId="167" fontId="1" fillId="5" borderId="21" xfId="0" applyNumberFormat="1" applyFont="1" applyFill="1" applyBorder="1" applyAlignment="1"/>
    <xf numFmtId="8" fontId="2" fillId="9" borderId="21" xfId="0" applyNumberFormat="1" applyFont="1" applyFill="1" applyBorder="1" applyAlignment="1">
      <alignment horizontal="right"/>
    </xf>
    <xf numFmtId="8" fontId="2" fillId="5" borderId="47" xfId="0" applyNumberFormat="1" applyFont="1" applyFill="1" applyBorder="1" applyAlignment="1"/>
    <xf numFmtId="8" fontId="2" fillId="9" borderId="27" xfId="0" applyNumberFormat="1" applyFont="1" applyFill="1" applyBorder="1" applyAlignment="1"/>
    <xf numFmtId="8" fontId="2" fillId="5" borderId="27" xfId="0" applyNumberFormat="1" applyFont="1" applyFill="1" applyBorder="1" applyAlignment="1"/>
    <xf numFmtId="49" fontId="8" fillId="9" borderId="21" xfId="0" applyNumberFormat="1" applyFont="1" applyFill="1" applyBorder="1" applyAlignment="1"/>
    <xf numFmtId="49" fontId="8" fillId="5" borderId="2" xfId="0" applyNumberFormat="1" applyFont="1" applyFill="1" applyBorder="1" applyAlignment="1"/>
    <xf numFmtId="8" fontId="2" fillId="5" borderId="11" xfId="0" applyNumberFormat="1" applyFont="1" applyFill="1" applyBorder="1" applyAlignment="1"/>
    <xf numFmtId="8" fontId="2" fillId="9" borderId="28" xfId="0" applyNumberFormat="1" applyFont="1" applyFill="1" applyBorder="1" applyAlignment="1"/>
    <xf numFmtId="8" fontId="2" fillId="5" borderId="28" xfId="0" applyNumberFormat="1" applyFont="1" applyFill="1" applyBorder="1" applyAlignment="1"/>
    <xf numFmtId="49" fontId="8" fillId="5" borderId="21" xfId="0" applyNumberFormat="1" applyFont="1" applyFill="1" applyBorder="1" applyAlignment="1"/>
    <xf numFmtId="8" fontId="2" fillId="5" borderId="58" xfId="0" applyNumberFormat="1" applyFont="1" applyFill="1" applyBorder="1" applyAlignment="1">
      <alignment horizontal="right"/>
    </xf>
    <xf numFmtId="8" fontId="2" fillId="5" borderId="24" xfId="0" applyNumberFormat="1" applyFont="1" applyFill="1" applyBorder="1" applyAlignment="1"/>
    <xf numFmtId="8" fontId="2" fillId="5" borderId="48" xfId="0" applyNumberFormat="1" applyFont="1" applyFill="1" applyBorder="1" applyAlignment="1"/>
    <xf numFmtId="49" fontId="8" fillId="9" borderId="57" xfId="0" applyNumberFormat="1" applyFont="1" applyFill="1" applyBorder="1" applyAlignment="1"/>
    <xf numFmtId="8" fontId="2" fillId="9" borderId="59" xfId="0" applyNumberFormat="1" applyFont="1" applyFill="1" applyBorder="1" applyAlignment="1">
      <alignment horizontal="right"/>
    </xf>
    <xf numFmtId="49" fontId="5" fillId="9" borderId="60" xfId="1" applyNumberFormat="1" applyFont="1" applyFill="1" applyBorder="1" applyAlignment="1">
      <alignment horizontal="center"/>
    </xf>
    <xf numFmtId="8" fontId="2" fillId="9" borderId="61" xfId="0" applyNumberFormat="1" applyFont="1" applyFill="1" applyBorder="1" applyAlignment="1"/>
    <xf numFmtId="8" fontId="2" fillId="9" borderId="62" xfId="0" applyNumberFormat="1" applyFont="1" applyFill="1" applyBorder="1" applyAlignment="1"/>
    <xf numFmtId="8" fontId="2" fillId="9" borderId="63" xfId="0" applyNumberFormat="1" applyFont="1" applyFill="1" applyBorder="1" applyAlignment="1"/>
    <xf numFmtId="167" fontId="1" fillId="9" borderId="57" xfId="0" applyNumberFormat="1" applyFont="1" applyFill="1" applyBorder="1" applyAlignment="1"/>
    <xf numFmtId="49" fontId="8" fillId="4" borderId="15" xfId="0" applyNumberFormat="1" applyFont="1" applyFill="1" applyBorder="1" applyAlignment="1">
      <alignment horizontal="center" vertical="center"/>
    </xf>
    <xf numFmtId="49" fontId="8" fillId="4" borderId="9" xfId="0" applyNumberFormat="1" applyFont="1" applyFill="1" applyBorder="1" applyAlignment="1">
      <alignment horizontal="center" vertical="center"/>
    </xf>
    <xf numFmtId="49" fontId="8" fillId="4" borderId="16" xfId="0" applyNumberFormat="1" applyFont="1" applyFill="1" applyBorder="1" applyAlignment="1">
      <alignment horizontal="center" vertical="center"/>
    </xf>
    <xf numFmtId="49" fontId="5" fillId="5" borderId="103" xfId="1" applyNumberFormat="1" applyFont="1" applyFill="1" applyBorder="1" applyAlignment="1">
      <alignment horizontal="center"/>
    </xf>
    <xf numFmtId="167" fontId="1" fillId="5" borderId="105" xfId="0" applyNumberFormat="1" applyFont="1" applyFill="1" applyBorder="1" applyAlignment="1"/>
    <xf numFmtId="49" fontId="8" fillId="9" borderId="104" xfId="0" applyNumberFormat="1" applyFont="1" applyFill="1" applyBorder="1" applyAlignment="1"/>
    <xf numFmtId="8" fontId="2" fillId="9" borderId="104" xfId="0" applyNumberFormat="1" applyFont="1" applyFill="1" applyBorder="1" applyAlignment="1">
      <alignment horizontal="right"/>
    </xf>
    <xf numFmtId="49" fontId="5" fillId="9" borderId="106" xfId="1" applyNumberFormat="1" applyFont="1" applyFill="1" applyBorder="1" applyAlignment="1">
      <alignment horizontal="center"/>
    </xf>
    <xf numFmtId="8" fontId="2" fillId="9" borderId="107" xfId="0" applyNumberFormat="1" applyFont="1" applyFill="1" applyBorder="1" applyAlignment="1"/>
    <xf numFmtId="8" fontId="2" fillId="9" borderId="108" xfId="0" applyNumberFormat="1" applyFont="1" applyFill="1" applyBorder="1" applyAlignment="1"/>
    <xf numFmtId="167" fontId="1" fillId="9" borderId="104" xfId="0" applyNumberFormat="1" applyFont="1" applyFill="1" applyBorder="1" applyAlignment="1"/>
    <xf numFmtId="49" fontId="3" fillId="9" borderId="58" xfId="0" applyNumberFormat="1" applyFont="1" applyFill="1" applyBorder="1"/>
    <xf numFmtId="49" fontId="3" fillId="5" borderId="58" xfId="0" applyNumberFormat="1" applyFont="1" applyFill="1" applyBorder="1"/>
    <xf numFmtId="49" fontId="3" fillId="5" borderId="111" xfId="0" applyNumberFormat="1" applyFont="1" applyFill="1" applyBorder="1"/>
    <xf numFmtId="8" fontId="1" fillId="5" borderId="20" xfId="0" applyNumberFormat="1" applyFont="1" applyFill="1" applyBorder="1"/>
    <xf numFmtId="8" fontId="1" fillId="9" borderId="21" xfId="0" applyNumberFormat="1" applyFont="1" applyFill="1" applyBorder="1"/>
    <xf numFmtId="8" fontId="1" fillId="5" borderId="21" xfId="0" applyNumberFormat="1" applyFont="1" applyFill="1" applyBorder="1"/>
    <xf numFmtId="8" fontId="1" fillId="9" borderId="21" xfId="0" applyNumberFormat="1" applyFont="1" applyFill="1" applyBorder="1" applyAlignment="1">
      <alignment horizontal="right"/>
    </xf>
    <xf numFmtId="8" fontId="1" fillId="5" borderId="104" xfId="0" applyNumberFormat="1" applyFont="1" applyFill="1" applyBorder="1"/>
    <xf numFmtId="0" fontId="2" fillId="0" borderId="113" xfId="0" applyFont="1" applyBorder="1" applyAlignment="1">
      <alignment vertical="center"/>
    </xf>
    <xf numFmtId="164" fontId="2" fillId="0" borderId="114" xfId="0" applyNumberFormat="1" applyFont="1" applyBorder="1" applyAlignment="1"/>
    <xf numFmtId="164" fontId="2" fillId="0" borderId="115" xfId="0" applyNumberFormat="1" applyFont="1" applyBorder="1" applyAlignment="1"/>
    <xf numFmtId="164" fontId="2" fillId="0" borderId="116" xfId="0" applyNumberFormat="1" applyFont="1" applyBorder="1" applyAlignment="1"/>
    <xf numFmtId="164" fontId="2" fillId="0" borderId="121" xfId="0" applyNumberFormat="1" applyFont="1" applyBorder="1" applyAlignment="1"/>
    <xf numFmtId="49" fontId="1" fillId="0" borderId="0" xfId="0" applyNumberFormat="1" applyFont="1"/>
    <xf numFmtId="49" fontId="3" fillId="6" borderId="1" xfId="0" applyNumberFormat="1" applyFont="1" applyFill="1" applyBorder="1" applyAlignment="1"/>
    <xf numFmtId="49" fontId="3" fillId="0" borderId="4" xfId="0" applyNumberFormat="1" applyFont="1" applyBorder="1" applyAlignment="1">
      <alignment vertical="center"/>
    </xf>
    <xf numFmtId="49" fontId="3" fillId="0" borderId="0" xfId="0" applyNumberFormat="1" applyFont="1" applyAlignment="1">
      <alignment vertical="center"/>
    </xf>
    <xf numFmtId="49" fontId="3" fillId="5" borderId="109" xfId="0" applyNumberFormat="1" applyFont="1" applyFill="1" applyBorder="1"/>
    <xf numFmtId="49" fontId="10" fillId="0" borderId="0" xfId="0" applyNumberFormat="1" applyFont="1"/>
    <xf numFmtId="49" fontId="0" fillId="0" borderId="0" xfId="0" applyNumberFormat="1"/>
    <xf numFmtId="167" fontId="1" fillId="5" borderId="20" xfId="0" applyNumberFormat="1" applyFont="1" applyFill="1" applyBorder="1"/>
    <xf numFmtId="167" fontId="1" fillId="9" borderId="21" xfId="0" applyNumberFormat="1" applyFont="1" applyFill="1" applyBorder="1"/>
    <xf numFmtId="167" fontId="1" fillId="5" borderId="21" xfId="0" applyNumberFormat="1" applyFont="1" applyFill="1" applyBorder="1"/>
    <xf numFmtId="167" fontId="1" fillId="9" borderId="21" xfId="0" applyNumberFormat="1" applyFont="1" applyFill="1" applyBorder="1" applyAlignment="1">
      <alignment horizontal="right"/>
    </xf>
    <xf numFmtId="167" fontId="1" fillId="5" borderId="104" xfId="0" applyNumberFormat="1" applyFont="1" applyFill="1" applyBorder="1"/>
    <xf numFmtId="0" fontId="1" fillId="6" borderId="43" xfId="0" applyNumberFormat="1" applyFont="1" applyFill="1" applyBorder="1" applyAlignment="1">
      <alignment horizontal="center" vertical="center"/>
    </xf>
    <xf numFmtId="49" fontId="3" fillId="11" borderId="4" xfId="0" applyNumberFormat="1" applyFont="1" applyFill="1" applyBorder="1" applyAlignment="1">
      <alignment vertical="center"/>
    </xf>
    <xf numFmtId="49" fontId="3" fillId="12" borderId="8" xfId="0" applyNumberFormat="1" applyFont="1" applyFill="1" applyBorder="1"/>
    <xf numFmtId="8" fontId="2" fillId="12" borderId="10" xfId="0" applyNumberFormat="1" applyFont="1" applyFill="1" applyBorder="1"/>
    <xf numFmtId="8" fontId="2" fillId="12" borderId="15" xfId="0" applyNumberFormat="1" applyFont="1" applyFill="1" applyBorder="1"/>
    <xf numFmtId="8" fontId="2" fillId="12" borderId="9" xfId="0" applyNumberFormat="1" applyFont="1" applyFill="1" applyBorder="1"/>
    <xf numFmtId="8" fontId="2" fillId="12" borderId="16" xfId="0" applyNumberFormat="1" applyFont="1" applyFill="1" applyBorder="1"/>
    <xf numFmtId="8" fontId="1" fillId="11" borderId="4" xfId="0" applyNumberFormat="1" applyFont="1" applyFill="1" applyBorder="1" applyAlignment="1">
      <alignment horizontal="right"/>
    </xf>
    <xf numFmtId="0" fontId="8" fillId="0" borderId="0" xfId="0" applyFont="1" applyAlignment="1">
      <alignment horizontal="center"/>
    </xf>
    <xf numFmtId="8" fontId="1" fillId="5" borderId="20" xfId="0" applyNumberFormat="1" applyFont="1" applyFill="1" applyBorder="1" applyAlignment="1"/>
    <xf numFmtId="8" fontId="1" fillId="9" borderId="21" xfId="0" applyNumberFormat="1" applyFont="1" applyFill="1" applyBorder="1" applyAlignment="1"/>
    <xf numFmtId="8" fontId="1" fillId="5" borderId="21" xfId="0" applyNumberFormat="1" applyFont="1" applyFill="1" applyBorder="1" applyAlignment="1"/>
    <xf numFmtId="8" fontId="1" fillId="9" borderId="57" xfId="0" applyNumberFormat="1" applyFont="1" applyFill="1" applyBorder="1" applyAlignment="1"/>
    <xf numFmtId="167" fontId="7" fillId="13" borderId="4" xfId="0" applyNumberFormat="1" applyFont="1" applyFill="1" applyBorder="1" applyAlignment="1">
      <alignment horizontal="right"/>
    </xf>
    <xf numFmtId="8" fontId="1" fillId="9" borderId="4" xfId="0" applyNumberFormat="1" applyFont="1" applyFill="1" applyBorder="1" applyAlignment="1">
      <alignment horizontal="right"/>
    </xf>
    <xf numFmtId="8" fontId="2" fillId="0" borderId="115" xfId="0" applyNumberFormat="1" applyFont="1" applyBorder="1" applyAlignment="1"/>
    <xf numFmtId="8" fontId="2" fillId="0" borderId="121" xfId="0" applyNumberFormat="1" applyFont="1" applyBorder="1" applyAlignment="1"/>
    <xf numFmtId="8" fontId="2" fillId="0" borderId="114" xfId="0" applyNumberFormat="1" applyFont="1" applyBorder="1" applyAlignment="1"/>
    <xf numFmtId="8" fontId="2" fillId="0" borderId="116" xfId="0" applyNumberFormat="1" applyFont="1" applyBorder="1" applyAlignment="1"/>
    <xf numFmtId="8" fontId="2" fillId="0" borderId="53" xfId="0" applyNumberFormat="1" applyFont="1" applyBorder="1" applyAlignment="1">
      <alignment vertical="center"/>
    </xf>
    <xf numFmtId="8" fontId="2" fillId="0" borderId="0" xfId="0" applyNumberFormat="1" applyFont="1" applyFill="1" applyBorder="1" applyAlignment="1">
      <alignment horizontal="center" vertical="center"/>
    </xf>
    <xf numFmtId="14" fontId="0" fillId="0" borderId="91" xfId="0" applyNumberFormat="1" applyFill="1" applyBorder="1"/>
    <xf numFmtId="166" fontId="0" fillId="0" borderId="82" xfId="0" applyNumberFormat="1" applyFill="1" applyBorder="1"/>
    <xf numFmtId="8" fontId="19" fillId="0" borderId="0" xfId="0" applyNumberFormat="1" applyFont="1"/>
    <xf numFmtId="0" fontId="19" fillId="0" borderId="0" xfId="0" applyFont="1"/>
    <xf numFmtId="0" fontId="0" fillId="0" borderId="82" xfId="0" applyNumberFormat="1" applyBorder="1"/>
    <xf numFmtId="0" fontId="20" fillId="14" borderId="0" xfId="0" applyFont="1" applyFill="1" applyAlignment="1"/>
    <xf numFmtId="0" fontId="20" fillId="14" borderId="0" xfId="0" applyFont="1" applyFill="1" applyBorder="1" applyAlignment="1"/>
    <xf numFmtId="0" fontId="20" fillId="14" borderId="96" xfId="0" applyFont="1" applyFill="1" applyBorder="1" applyAlignment="1"/>
    <xf numFmtId="0" fontId="20" fillId="15" borderId="95" xfId="0" applyFont="1" applyFill="1" applyBorder="1" applyAlignment="1"/>
    <xf numFmtId="0" fontId="20" fillId="15" borderId="0" xfId="0" applyFont="1" applyFill="1" applyBorder="1" applyAlignment="1"/>
    <xf numFmtId="0" fontId="20" fillId="11" borderId="95" xfId="0" applyFont="1" applyFill="1" applyBorder="1" applyAlignment="1"/>
    <xf numFmtId="0" fontId="20" fillId="11" borderId="0" xfId="0" applyFont="1" applyFill="1" applyBorder="1" applyAlignment="1"/>
    <xf numFmtId="0" fontId="20" fillId="11" borderId="96" xfId="0" applyFont="1" applyFill="1" applyBorder="1" applyAlignment="1"/>
    <xf numFmtId="0" fontId="20" fillId="16" borderId="95" xfId="0" applyFont="1" applyFill="1" applyBorder="1" applyAlignment="1"/>
    <xf numFmtId="0" fontId="0" fillId="16" borderId="0" xfId="0" applyFill="1" applyBorder="1" applyAlignment="1">
      <alignment horizontal="center"/>
    </xf>
    <xf numFmtId="0" fontId="0" fillId="16" borderId="0" xfId="0" applyFill="1" applyBorder="1"/>
    <xf numFmtId="0" fontId="0" fillId="16" borderId="96" xfId="0" applyFill="1" applyBorder="1"/>
    <xf numFmtId="0" fontId="0" fillId="14" borderId="128" xfId="0" applyFill="1" applyBorder="1" applyAlignment="1">
      <alignment horizontal="center"/>
    </xf>
    <xf numFmtId="0" fontId="0" fillId="15" borderId="129" xfId="0" applyFill="1" applyBorder="1" applyAlignment="1">
      <alignment horizontal="center"/>
    </xf>
    <xf numFmtId="0" fontId="0" fillId="15" borderId="128" xfId="0" applyFill="1" applyBorder="1" applyAlignment="1">
      <alignment horizontal="center"/>
    </xf>
    <xf numFmtId="0" fontId="0" fillId="11" borderId="129" xfId="0" applyFill="1" applyBorder="1" applyAlignment="1">
      <alignment horizontal="center"/>
    </xf>
    <xf numFmtId="0" fontId="0" fillId="11" borderId="128" xfId="0" applyFill="1" applyBorder="1" applyAlignment="1">
      <alignment horizontal="center"/>
    </xf>
    <xf numFmtId="0" fontId="0" fillId="11" borderId="130" xfId="0" applyFill="1" applyBorder="1" applyAlignment="1">
      <alignment horizontal="center"/>
    </xf>
    <xf numFmtId="0" fontId="0" fillId="16" borderId="129" xfId="0" applyFill="1" applyBorder="1" applyAlignment="1">
      <alignment horizontal="center"/>
    </xf>
    <xf numFmtId="0" fontId="0" fillId="16" borderId="128" xfId="0" applyFill="1" applyBorder="1" applyAlignment="1">
      <alignment horizontal="center"/>
    </xf>
    <xf numFmtId="0" fontId="0" fillId="16" borderId="130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/>
    <xf numFmtId="8" fontId="0" fillId="0" borderId="0" xfId="0" applyNumberFormat="1" applyFill="1"/>
    <xf numFmtId="8" fontId="0" fillId="17" borderId="0" xfId="0" applyNumberFormat="1" applyFill="1"/>
    <xf numFmtId="177" fontId="0" fillId="0" borderId="131" xfId="0" applyNumberFormat="1" applyFill="1" applyBorder="1" applyAlignment="1">
      <alignment horizontal="right"/>
    </xf>
    <xf numFmtId="178" fontId="0" fillId="17" borderId="0" xfId="0" applyNumberFormat="1" applyFill="1"/>
    <xf numFmtId="8" fontId="0" fillId="17" borderId="131" xfId="0" applyNumberFormat="1" applyFill="1" applyBorder="1"/>
    <xf numFmtId="8" fontId="0" fillId="17" borderId="132" xfId="0" applyNumberFormat="1" applyFill="1" applyBorder="1"/>
    <xf numFmtId="10" fontId="21" fillId="17" borderId="132" xfId="0" applyNumberFormat="1" applyFont="1" applyFill="1" applyBorder="1" applyAlignment="1">
      <alignment horizontal="right"/>
    </xf>
    <xf numFmtId="0" fontId="0" fillId="0" borderId="133" xfId="0" applyBorder="1"/>
    <xf numFmtId="177" fontId="0" fillId="0" borderId="95" xfId="0" applyNumberFormat="1" applyFill="1" applyBorder="1" applyAlignment="1">
      <alignment horizontal="right"/>
    </xf>
    <xf numFmtId="8" fontId="0" fillId="17" borderId="95" xfId="0" applyNumberFormat="1" applyFill="1" applyBorder="1"/>
    <xf numFmtId="8" fontId="0" fillId="17" borderId="0" xfId="0" applyNumberFormat="1" applyFill="1" applyBorder="1"/>
    <xf numFmtId="10" fontId="21" fillId="17" borderId="0" xfId="0" applyNumberFormat="1" applyFont="1" applyFill="1" applyBorder="1" applyAlignment="1">
      <alignment horizontal="right"/>
    </xf>
    <xf numFmtId="0" fontId="0" fillId="0" borderId="96" xfId="0" applyBorder="1"/>
    <xf numFmtId="8" fontId="0" fillId="0" borderId="0" xfId="0" applyNumberFormat="1" applyFill="1" applyBorder="1"/>
    <xf numFmtId="178" fontId="0" fillId="17" borderId="0" xfId="0" applyNumberFormat="1" applyFill="1" applyBorder="1"/>
    <xf numFmtId="8" fontId="0" fillId="17" borderId="96" xfId="0" applyNumberFormat="1" applyFill="1" applyBorder="1"/>
    <xf numFmtId="177" fontId="0" fillId="0" borderId="0" xfId="0" applyNumberFormat="1" applyFill="1" applyBorder="1" applyAlignment="1">
      <alignment horizontal="right"/>
    </xf>
    <xf numFmtId="0" fontId="0" fillId="0" borderId="128" xfId="0" applyFill="1" applyBorder="1"/>
    <xf numFmtId="8" fontId="0" fillId="0" borderId="128" xfId="0" applyNumberFormat="1" applyFill="1" applyBorder="1"/>
    <xf numFmtId="8" fontId="0" fillId="17" borderId="128" xfId="0" applyNumberFormat="1" applyFill="1" applyBorder="1"/>
    <xf numFmtId="177" fontId="0" fillId="0" borderId="129" xfId="0" applyNumberFormat="1" applyFill="1" applyBorder="1" applyAlignment="1">
      <alignment horizontal="right"/>
    </xf>
    <xf numFmtId="178" fontId="0" fillId="17" borderId="128" xfId="0" applyNumberFormat="1" applyFill="1" applyBorder="1"/>
    <xf numFmtId="8" fontId="0" fillId="17" borderId="130" xfId="0" applyNumberFormat="1" applyFill="1" applyBorder="1"/>
    <xf numFmtId="177" fontId="0" fillId="0" borderId="128" xfId="0" applyNumberFormat="1" applyFill="1" applyBorder="1" applyAlignment="1">
      <alignment horizontal="right"/>
    </xf>
    <xf numFmtId="8" fontId="0" fillId="17" borderId="129" xfId="0" applyNumberFormat="1" applyFill="1" applyBorder="1"/>
    <xf numFmtId="10" fontId="21" fillId="17" borderId="128" xfId="0" applyNumberFormat="1" applyFont="1" applyFill="1" applyBorder="1" applyAlignment="1">
      <alignment horizontal="right"/>
    </xf>
    <xf numFmtId="0" fontId="0" fillId="0" borderId="130" xfId="0" applyBorder="1"/>
    <xf numFmtId="0" fontId="0" fillId="14" borderId="134" xfId="0" applyFill="1" applyBorder="1" applyAlignment="1">
      <alignment horizontal="center"/>
    </xf>
    <xf numFmtId="0" fontId="0" fillId="15" borderId="135" xfId="0" applyFill="1" applyBorder="1" applyAlignment="1">
      <alignment horizontal="center"/>
    </xf>
    <xf numFmtId="0" fontId="0" fillId="15" borderId="134" xfId="0" applyFill="1" applyBorder="1" applyAlignment="1">
      <alignment horizontal="center"/>
    </xf>
    <xf numFmtId="0" fontId="0" fillId="11" borderId="135" xfId="0" applyFill="1" applyBorder="1" applyAlignment="1">
      <alignment horizontal="center"/>
    </xf>
    <xf numFmtId="0" fontId="0" fillId="11" borderId="134" xfId="0" applyFill="1" applyBorder="1" applyAlignment="1">
      <alignment horizontal="center"/>
    </xf>
    <xf numFmtId="0" fontId="0" fillId="11" borderId="136" xfId="0" applyFill="1" applyBorder="1" applyAlignment="1">
      <alignment horizontal="center"/>
    </xf>
    <xf numFmtId="0" fontId="0" fillId="16" borderId="135" xfId="0" applyFill="1" applyBorder="1" applyAlignment="1">
      <alignment horizontal="center"/>
    </xf>
    <xf numFmtId="0" fontId="0" fillId="16" borderId="134" xfId="0" applyFill="1" applyBorder="1" applyAlignment="1">
      <alignment horizontal="center"/>
    </xf>
    <xf numFmtId="0" fontId="0" fillId="16" borderId="136" xfId="0" applyFill="1" applyBorder="1" applyAlignment="1">
      <alignment horizontal="center"/>
    </xf>
    <xf numFmtId="8" fontId="0" fillId="17" borderId="133" xfId="0" applyNumberFormat="1" applyFill="1" applyBorder="1"/>
    <xf numFmtId="177" fontId="0" fillId="0" borderId="0" xfId="0" applyNumberFormat="1" applyAlignment="1">
      <alignment horizontal="right"/>
    </xf>
    <xf numFmtId="177" fontId="0" fillId="18" borderId="95" xfId="0" applyNumberFormat="1" applyFill="1" applyBorder="1" applyAlignment="1">
      <alignment horizontal="right"/>
    </xf>
    <xf numFmtId="8" fontId="0" fillId="18" borderId="0" xfId="0" applyNumberFormat="1" applyFill="1"/>
    <xf numFmtId="178" fontId="0" fillId="0" borderId="0" xfId="0" applyNumberFormat="1"/>
    <xf numFmtId="164" fontId="0" fillId="0" borderId="0" xfId="0" applyNumberFormat="1" applyAlignment="1">
      <alignment horizontal="right"/>
    </xf>
    <xf numFmtId="10" fontId="0" fillId="0" borderId="0" xfId="0" applyNumberFormat="1" applyBorder="1"/>
    <xf numFmtId="0" fontId="22" fillId="0" borderId="0" xfId="0" applyFont="1" applyAlignment="1">
      <alignment vertical="center" wrapText="1"/>
    </xf>
    <xf numFmtId="0" fontId="23" fillId="0" borderId="0" xfId="0" applyFont="1" applyAlignment="1">
      <alignment horizontal="left" vertical="center" wrapText="1" indent="1"/>
    </xf>
    <xf numFmtId="164" fontId="23" fillId="0" borderId="0" xfId="0" applyNumberFormat="1" applyFont="1" applyAlignment="1">
      <alignment horizontal="left" vertical="center" wrapText="1" indent="1"/>
    </xf>
    <xf numFmtId="8" fontId="23" fillId="0" borderId="0" xfId="0" applyNumberFormat="1" applyFont="1" applyAlignment="1">
      <alignment horizontal="left" vertical="center" wrapText="1" indent="1"/>
    </xf>
    <xf numFmtId="0" fontId="24" fillId="0" borderId="0" xfId="0" applyFont="1"/>
    <xf numFmtId="15" fontId="0" fillId="0" borderId="0" xfId="0" applyNumberFormat="1"/>
    <xf numFmtId="0" fontId="0" fillId="0" borderId="0" xfId="0" applyAlignment="1">
      <alignment horizontal="left" vertical="center" wrapText="1" indent="1"/>
    </xf>
    <xf numFmtId="0" fontId="0" fillId="0" borderId="135" xfId="0" applyBorder="1"/>
    <xf numFmtId="0" fontId="0" fillId="0" borderId="134" xfId="0" applyBorder="1"/>
    <xf numFmtId="8" fontId="0" fillId="0" borderId="134" xfId="0" applyNumberFormat="1" applyBorder="1"/>
    <xf numFmtId="178" fontId="0" fillId="0" borderId="134" xfId="0" applyNumberFormat="1" applyBorder="1"/>
    <xf numFmtId="0" fontId="0" fillId="0" borderId="136" xfId="0" applyBorder="1"/>
    <xf numFmtId="177" fontId="0" fillId="0" borderId="135" xfId="0" applyNumberFormat="1" applyBorder="1" applyAlignment="1">
      <alignment horizontal="right"/>
    </xf>
    <xf numFmtId="8" fontId="0" fillId="0" borderId="136" xfId="0" applyNumberFormat="1" applyBorder="1"/>
    <xf numFmtId="1" fontId="20" fillId="14" borderId="0" xfId="0" applyNumberFormat="1" applyFont="1" applyFill="1" applyBorder="1" applyAlignment="1"/>
    <xf numFmtId="1" fontId="0" fillId="14" borderId="128" xfId="0" applyNumberFormat="1" applyFill="1" applyBorder="1" applyAlignment="1">
      <alignment horizontal="center"/>
    </xf>
    <xf numFmtId="1" fontId="0" fillId="17" borderId="0" xfId="0" applyNumberFormat="1" applyFill="1"/>
    <xf numFmtId="1" fontId="0" fillId="17" borderId="128" xfId="0" applyNumberFormat="1" applyFill="1" applyBorder="1"/>
    <xf numFmtId="1" fontId="0" fillId="14" borderId="134" xfId="0" applyNumberFormat="1" applyFill="1" applyBorder="1" applyAlignment="1">
      <alignment horizontal="center"/>
    </xf>
    <xf numFmtId="1" fontId="0" fillId="0" borderId="134" xfId="0" applyNumberFormat="1" applyBorder="1"/>
    <xf numFmtId="10" fontId="0" fillId="0" borderId="134" xfId="0" applyNumberFormat="1" applyBorder="1"/>
    <xf numFmtId="0" fontId="0" fillId="0" borderId="132" xfId="0" applyNumberFormat="1" applyBorder="1"/>
    <xf numFmtId="8" fontId="0" fillId="0" borderId="132" xfId="0" applyNumberFormat="1" applyBorder="1"/>
    <xf numFmtId="10" fontId="0" fillId="0" borderId="132" xfId="0" applyNumberFormat="1" applyBorder="1"/>
    <xf numFmtId="0" fontId="0" fillId="0" borderId="128" xfId="0" applyBorder="1"/>
    <xf numFmtId="0" fontId="25" fillId="0" borderId="0" xfId="0" applyFont="1"/>
    <xf numFmtId="0" fontId="25" fillId="0" borderId="131" xfId="0" applyFont="1" applyBorder="1"/>
    <xf numFmtId="0" fontId="25" fillId="0" borderId="132" xfId="0" applyFont="1" applyBorder="1"/>
    <xf numFmtId="0" fontId="0" fillId="0" borderId="95" xfId="0" applyBorder="1"/>
    <xf numFmtId="8" fontId="0" fillId="0" borderId="0" xfId="0" applyNumberFormat="1" applyBorder="1"/>
    <xf numFmtId="8" fontId="0" fillId="18" borderId="0" xfId="0" applyNumberFormat="1" applyFill="1" applyBorder="1"/>
    <xf numFmtId="0" fontId="0" fillId="0" borderId="0" xfId="0" applyBorder="1"/>
    <xf numFmtId="0" fontId="0" fillId="0" borderId="129" xfId="0" applyBorder="1"/>
    <xf numFmtId="8" fontId="0" fillId="0" borderId="128" xfId="0" applyNumberFormat="1" applyBorder="1"/>
    <xf numFmtId="0" fontId="0" fillId="0" borderId="0" xfId="0" applyFill="1" applyBorder="1" applyAlignment="1">
      <alignment horizontal="left"/>
    </xf>
    <xf numFmtId="16" fontId="0" fillId="0" borderId="0" xfId="0" applyNumberFormat="1"/>
    <xf numFmtId="0" fontId="1" fillId="0" borderId="125" xfId="0" applyFont="1" applyBorder="1" applyAlignment="1">
      <alignment horizontal="center"/>
    </xf>
    <xf numFmtId="0" fontId="0" fillId="0" borderId="95" xfId="0" applyNumberFormat="1" applyBorder="1" applyAlignment="1"/>
    <xf numFmtId="0" fontId="0" fillId="0" borderId="96" xfId="0" applyNumberFormat="1" applyBorder="1" applyAlignment="1"/>
    <xf numFmtId="0" fontId="0" fillId="0" borderId="97" xfId="0" applyNumberFormat="1" applyBorder="1" applyAlignment="1"/>
    <xf numFmtId="0" fontId="0" fillId="0" borderId="98" xfId="0" applyNumberFormat="1" applyBorder="1" applyAlignment="1"/>
    <xf numFmtId="0" fontId="0" fillId="0" borderId="85" xfId="0" applyBorder="1" applyAlignment="1">
      <alignment horizontal="center"/>
    </xf>
    <xf numFmtId="0" fontId="0" fillId="0" borderId="86" xfId="0" applyBorder="1" applyAlignment="1">
      <alignment horizontal="center"/>
    </xf>
    <xf numFmtId="0" fontId="0" fillId="0" borderId="87" xfId="0" applyBorder="1" applyAlignment="1">
      <alignment horizontal="center"/>
    </xf>
    <xf numFmtId="0" fontId="0" fillId="0" borderId="88" xfId="0" applyBorder="1" applyAlignment="1"/>
    <xf numFmtId="0" fontId="0" fillId="0" borderId="89" xfId="0" applyBorder="1" applyAlignment="1"/>
    <xf numFmtId="0" fontId="0" fillId="0" borderId="93" xfId="0" applyNumberFormat="1" applyBorder="1" applyAlignment="1"/>
    <xf numFmtId="0" fontId="0" fillId="0" borderId="94" xfId="0" applyNumberFormat="1" applyBorder="1" applyAlignment="1"/>
    <xf numFmtId="0" fontId="0" fillId="0" borderId="95" xfId="0" applyNumberFormat="1" applyBorder="1" applyAlignment="1">
      <alignment horizontal="center"/>
    </xf>
    <xf numFmtId="0" fontId="0" fillId="0" borderId="96" xfId="0" applyNumberFormat="1" applyBorder="1" applyAlignment="1">
      <alignment horizontal="center"/>
    </xf>
    <xf numFmtId="0" fontId="0" fillId="0" borderId="97" xfId="0" applyNumberFormat="1" applyBorder="1" applyAlignment="1">
      <alignment horizontal="center"/>
    </xf>
    <xf numFmtId="0" fontId="0" fillId="0" borderId="98" xfId="0" applyNumberFormat="1" applyBorder="1" applyAlignment="1">
      <alignment horizontal="center"/>
    </xf>
    <xf numFmtId="0" fontId="18" fillId="0" borderId="93" xfId="0" applyNumberFormat="1" applyFont="1" applyBorder="1" applyAlignment="1"/>
    <xf numFmtId="0" fontId="18" fillId="0" borderId="94" xfId="0" applyNumberFormat="1" applyFont="1" applyBorder="1" applyAlignment="1"/>
    <xf numFmtId="0" fontId="18" fillId="0" borderId="95" xfId="0" applyNumberFormat="1" applyFont="1" applyBorder="1" applyAlignment="1"/>
    <xf numFmtId="0" fontId="18" fillId="0" borderId="96" xfId="0" applyNumberFormat="1" applyFont="1" applyBorder="1" applyAlignment="1"/>
    <xf numFmtId="0" fontId="18" fillId="0" borderId="93" xfId="0" applyNumberFormat="1" applyFont="1" applyBorder="1" applyAlignment="1">
      <alignment horizontal="left"/>
    </xf>
    <xf numFmtId="0" fontId="18" fillId="0" borderId="94" xfId="0" applyNumberFormat="1" applyFont="1" applyBorder="1" applyAlignment="1">
      <alignment horizontal="left"/>
    </xf>
    <xf numFmtId="0" fontId="0" fillId="0" borderId="95" xfId="0" applyNumberFormat="1" applyBorder="1" applyAlignment="1">
      <alignment horizontal="left"/>
    </xf>
    <xf numFmtId="0" fontId="0" fillId="0" borderId="96" xfId="0" applyNumberFormat="1" applyBorder="1" applyAlignment="1">
      <alignment horizontal="left"/>
    </xf>
    <xf numFmtId="0" fontId="0" fillId="0" borderId="93" xfId="0" applyNumberFormat="1" applyBorder="1" applyAlignment="1">
      <alignment horizontal="center"/>
    </xf>
    <xf numFmtId="0" fontId="0" fillId="0" borderId="94" xfId="0" applyNumberFormat="1" applyBorder="1" applyAlignment="1">
      <alignment horizontal="center"/>
    </xf>
    <xf numFmtId="0" fontId="0" fillId="0" borderId="97" xfId="0" applyNumberFormat="1" applyBorder="1" applyAlignment="1">
      <alignment horizontal="left"/>
    </xf>
    <xf numFmtId="0" fontId="0" fillId="0" borderId="98" xfId="0" applyNumberFormat="1" applyBorder="1" applyAlignment="1">
      <alignment horizontal="left"/>
    </xf>
    <xf numFmtId="0" fontId="0" fillId="0" borderId="95" xfId="0" applyNumberFormat="1" applyFont="1" applyBorder="1" applyAlignment="1"/>
    <xf numFmtId="0" fontId="0" fillId="0" borderId="96" xfId="0" applyNumberFormat="1" applyFont="1" applyBorder="1" applyAlignment="1"/>
    <xf numFmtId="0" fontId="0" fillId="0" borderId="93" xfId="0" applyNumberFormat="1" applyFont="1" applyBorder="1" applyAlignment="1"/>
    <xf numFmtId="0" fontId="0" fillId="0" borderId="94" xfId="0" applyNumberFormat="1" applyFont="1" applyBorder="1" applyAlignment="1"/>
    <xf numFmtId="0" fontId="0" fillId="0" borderId="95" xfId="0" applyNumberFormat="1" applyFill="1" applyBorder="1" applyAlignment="1"/>
    <xf numFmtId="0" fontId="0" fillId="0" borderId="96" xfId="0" applyNumberFormat="1" applyFill="1" applyBorder="1" applyAlignment="1"/>
    <xf numFmtId="6" fontId="0" fillId="0" borderId="95" xfId="0" applyNumberFormat="1" applyBorder="1" applyAlignment="1"/>
    <xf numFmtId="8" fontId="2" fillId="11" borderId="6" xfId="0" applyNumberFormat="1" applyFont="1" applyFill="1" applyBorder="1" applyAlignment="1">
      <alignment horizontal="right"/>
    </xf>
    <xf numFmtId="8" fontId="2" fillId="11" borderId="5" xfId="0" applyNumberFormat="1" applyFont="1" applyFill="1" applyBorder="1" applyAlignment="1">
      <alignment horizontal="right"/>
    </xf>
    <xf numFmtId="8" fontId="2" fillId="11" borderId="7" xfId="0" applyNumberFormat="1" applyFont="1" applyFill="1" applyBorder="1" applyAlignment="1">
      <alignment horizontal="right"/>
    </xf>
    <xf numFmtId="0" fontId="1" fillId="0" borderId="64" xfId="0" applyFont="1" applyBorder="1" applyAlignment="1">
      <alignment vertical="top" wrapText="1"/>
    </xf>
    <xf numFmtId="8" fontId="2" fillId="9" borderId="58" xfId="0" applyNumberFormat="1" applyFont="1" applyFill="1" applyBorder="1" applyAlignment="1">
      <alignment horizontal="right"/>
    </xf>
    <xf numFmtId="8" fontId="2" fillId="9" borderId="123" xfId="0" applyNumberFormat="1" applyFont="1" applyFill="1" applyBorder="1" applyAlignment="1">
      <alignment horizontal="right"/>
    </xf>
    <xf numFmtId="8" fontId="2" fillId="9" borderId="23" xfId="0" applyNumberFormat="1" applyFont="1" applyFill="1" applyBorder="1" applyAlignment="1">
      <alignment horizontal="right"/>
    </xf>
    <xf numFmtId="49" fontId="5" fillId="6" borderId="44" xfId="1" applyNumberFormat="1" applyFont="1" applyFill="1" applyBorder="1" applyAlignment="1">
      <alignment horizontal="center" vertical="center"/>
    </xf>
    <xf numFmtId="49" fontId="5" fillId="6" borderId="41" xfId="1" applyNumberFormat="1" applyFont="1" applyFill="1" applyBorder="1" applyAlignment="1">
      <alignment horizontal="center" vertical="center"/>
    </xf>
    <xf numFmtId="49" fontId="5" fillId="6" borderId="45" xfId="1" applyNumberFormat="1" applyFont="1" applyFill="1" applyBorder="1" applyAlignment="1">
      <alignment horizontal="center" vertical="center"/>
    </xf>
    <xf numFmtId="49" fontId="5" fillId="10" borderId="10" xfId="1" applyNumberFormat="1" applyFont="1" applyFill="1" applyBorder="1" applyAlignment="1">
      <alignment horizontal="center"/>
    </xf>
    <xf numFmtId="49" fontId="5" fillId="10" borderId="41" xfId="1" applyNumberFormat="1" applyFont="1" applyFill="1" applyBorder="1" applyAlignment="1">
      <alignment horizontal="center"/>
    </xf>
    <xf numFmtId="49" fontId="5" fillId="10" borderId="45" xfId="1" applyNumberFormat="1" applyFont="1" applyFill="1" applyBorder="1" applyAlignment="1">
      <alignment horizontal="center"/>
    </xf>
    <xf numFmtId="8" fontId="1" fillId="0" borderId="6" xfId="0" quotePrefix="1" applyNumberFormat="1" applyFont="1" applyBorder="1" applyAlignment="1">
      <alignment vertical="center"/>
    </xf>
    <xf numFmtId="8" fontId="1" fillId="0" borderId="5" xfId="0" applyNumberFormat="1" applyFont="1" applyBorder="1" applyAlignment="1">
      <alignment vertical="center"/>
    </xf>
    <xf numFmtId="8" fontId="1" fillId="0" borderId="7" xfId="0" applyNumberFormat="1" applyFont="1" applyBorder="1" applyAlignment="1">
      <alignment vertical="center"/>
    </xf>
    <xf numFmtId="8" fontId="1" fillId="0" borderId="6" xfId="0" applyNumberFormat="1" applyFont="1" applyBorder="1" applyAlignment="1">
      <alignment vertical="center"/>
    </xf>
    <xf numFmtId="8" fontId="2" fillId="5" borderId="109" xfId="0" applyNumberFormat="1" applyFont="1" applyFill="1" applyBorder="1" applyAlignment="1">
      <alignment horizontal="right"/>
    </xf>
    <xf numFmtId="8" fontId="2" fillId="5" borderId="36" xfId="0" applyNumberFormat="1" applyFont="1" applyFill="1" applyBorder="1" applyAlignment="1">
      <alignment horizontal="right"/>
    </xf>
    <xf numFmtId="8" fontId="2" fillId="5" borderId="110" xfId="0" applyNumberFormat="1" applyFont="1" applyFill="1" applyBorder="1" applyAlignment="1">
      <alignment horizontal="right"/>
    </xf>
    <xf numFmtId="8" fontId="2" fillId="5" borderId="58" xfId="0" applyNumberFormat="1" applyFont="1" applyFill="1" applyBorder="1" applyAlignment="1">
      <alignment horizontal="right"/>
    </xf>
    <xf numFmtId="8" fontId="2" fillId="5" borderId="123" xfId="0" applyNumberFormat="1" applyFont="1" applyFill="1" applyBorder="1" applyAlignment="1">
      <alignment horizontal="right"/>
    </xf>
    <xf numFmtId="8" fontId="2" fillId="5" borderId="23" xfId="0" applyNumberFormat="1" applyFont="1" applyFill="1" applyBorder="1" applyAlignment="1">
      <alignment horizontal="right"/>
    </xf>
    <xf numFmtId="8" fontId="2" fillId="5" borderId="111" xfId="0" applyNumberFormat="1" applyFont="1" applyFill="1" applyBorder="1" applyAlignment="1">
      <alignment horizontal="right"/>
    </xf>
    <xf numFmtId="8" fontId="2" fillId="5" borderId="124" xfId="0" applyNumberFormat="1" applyFont="1" applyFill="1" applyBorder="1" applyAlignment="1">
      <alignment horizontal="right"/>
    </xf>
    <xf numFmtId="8" fontId="2" fillId="5" borderId="112" xfId="0" applyNumberFormat="1" applyFont="1" applyFill="1" applyBorder="1" applyAlignment="1">
      <alignment horizontal="right"/>
    </xf>
    <xf numFmtId="0" fontId="2" fillId="0" borderId="49" xfId="0" applyFont="1" applyBorder="1" applyAlignment="1">
      <alignment horizontal="center"/>
    </xf>
    <xf numFmtId="0" fontId="2" fillId="0" borderId="122" xfId="0" applyFont="1" applyBorder="1" applyAlignment="1">
      <alignment horizontal="center"/>
    </xf>
    <xf numFmtId="49" fontId="2" fillId="0" borderId="51" xfId="0" applyNumberFormat="1" applyFont="1" applyBorder="1" applyAlignment="1">
      <alignment horizontal="center" vertical="center" wrapText="1"/>
    </xf>
    <xf numFmtId="49" fontId="2" fillId="0" borderId="52" xfId="0" applyNumberFormat="1" applyFont="1" applyBorder="1" applyAlignment="1">
      <alignment horizontal="center" vertical="center" wrapText="1"/>
    </xf>
    <xf numFmtId="49" fontId="2" fillId="0" borderId="53" xfId="0" applyNumberFormat="1" applyFont="1" applyBorder="1" applyAlignment="1">
      <alignment horizontal="center" vertical="center" wrapText="1"/>
    </xf>
    <xf numFmtId="0" fontId="2" fillId="0" borderId="55" xfId="0" applyFont="1" applyBorder="1" applyAlignment="1">
      <alignment horizontal="left"/>
    </xf>
    <xf numFmtId="0" fontId="2" fillId="0" borderId="117" xfId="0" applyFont="1" applyBorder="1" applyAlignment="1">
      <alignment horizontal="left"/>
    </xf>
    <xf numFmtId="0" fontId="2" fillId="0" borderId="12" xfId="0" applyFont="1" applyBorder="1" applyAlignment="1">
      <alignment horizontal="left"/>
    </xf>
    <xf numFmtId="0" fontId="2" fillId="0" borderId="13" xfId="0" applyFont="1" applyBorder="1" applyAlignment="1">
      <alignment horizontal="left"/>
    </xf>
    <xf numFmtId="0" fontId="2" fillId="0" borderId="56" xfId="0" applyFont="1" applyBorder="1" applyAlignment="1">
      <alignment horizontal="left"/>
    </xf>
    <xf numFmtId="0" fontId="2" fillId="0" borderId="26" xfId="0" applyFont="1" applyBorder="1" applyAlignment="1">
      <alignment horizontal="left"/>
    </xf>
    <xf numFmtId="49" fontId="2" fillId="0" borderId="118" xfId="0" applyNumberFormat="1" applyFont="1" applyBorder="1" applyAlignment="1">
      <alignment horizontal="center" vertical="center" wrapText="1"/>
    </xf>
    <xf numFmtId="0" fontId="2" fillId="0" borderId="119" xfId="0" applyFont="1" applyBorder="1" applyAlignment="1">
      <alignment horizontal="left"/>
    </xf>
    <xf numFmtId="0" fontId="2" fillId="0" borderId="120" xfId="0" applyFont="1" applyBorder="1" applyAlignment="1">
      <alignment horizontal="left"/>
    </xf>
    <xf numFmtId="17" fontId="2" fillId="0" borderId="12" xfId="0" applyNumberFormat="1" applyFont="1" applyBorder="1" applyAlignment="1">
      <alignment horizontal="left"/>
    </xf>
    <xf numFmtId="49" fontId="5" fillId="0" borderId="29" xfId="1" applyNumberFormat="1" applyFont="1" applyBorder="1" applyAlignment="1">
      <alignment horizontal="center" vertical="center"/>
    </xf>
    <xf numFmtId="0" fontId="5" fillId="0" borderId="30" xfId="1" applyNumberFormat="1" applyFont="1" applyBorder="1" applyAlignment="1">
      <alignment horizontal="center" vertical="center"/>
    </xf>
    <xf numFmtId="0" fontId="5" fillId="0" borderId="31" xfId="1" applyNumberFormat="1" applyFont="1" applyBorder="1" applyAlignment="1">
      <alignment horizontal="center" vertical="center"/>
    </xf>
    <xf numFmtId="0" fontId="5" fillId="0" borderId="32" xfId="1" applyNumberFormat="1" applyFont="1" applyBorder="1" applyAlignment="1">
      <alignment horizontal="center" vertical="center"/>
    </xf>
    <xf numFmtId="0" fontId="5" fillId="0" borderId="33" xfId="1" applyNumberFormat="1" applyFont="1" applyBorder="1" applyAlignment="1">
      <alignment horizontal="center" vertical="center"/>
    </xf>
    <xf numFmtId="0" fontId="5" fillId="0" borderId="34" xfId="1" applyNumberFormat="1" applyFont="1" applyBorder="1" applyAlignment="1">
      <alignment horizontal="center" vertical="center"/>
    </xf>
    <xf numFmtId="8" fontId="2" fillId="0" borderId="49" xfId="0" applyNumberFormat="1" applyFont="1" applyBorder="1" applyAlignment="1">
      <alignment horizontal="center" vertical="center"/>
    </xf>
    <xf numFmtId="8" fontId="2" fillId="0" borderId="37" xfId="0" applyNumberFormat="1" applyFont="1" applyBorder="1" applyAlignment="1">
      <alignment horizontal="center" vertical="center"/>
    </xf>
    <xf numFmtId="8" fontId="2" fillId="0" borderId="55" xfId="0" applyNumberFormat="1" applyFont="1" applyBorder="1" applyAlignment="1">
      <alignment horizontal="right"/>
    </xf>
    <xf numFmtId="8" fontId="2" fillId="0" borderId="40" xfId="0" applyNumberFormat="1" applyFont="1" applyBorder="1" applyAlignment="1">
      <alignment horizontal="right"/>
    </xf>
    <xf numFmtId="8" fontId="2" fillId="0" borderId="12" xfId="0" applyNumberFormat="1" applyFont="1" applyBorder="1" applyAlignment="1">
      <alignment horizontal="right"/>
    </xf>
    <xf numFmtId="8" fontId="2" fillId="0" borderId="39" xfId="0" applyNumberFormat="1" applyFont="1" applyBorder="1" applyAlignment="1">
      <alignment horizontal="right"/>
    </xf>
    <xf numFmtId="49" fontId="5" fillId="0" borderId="29" xfId="1" quotePrefix="1" applyNumberFormat="1" applyFont="1" applyBorder="1" applyAlignment="1">
      <alignment horizontal="center" vertical="center"/>
    </xf>
    <xf numFmtId="0" fontId="2" fillId="0" borderId="35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0" fontId="2" fillId="0" borderId="36" xfId="0" applyFont="1" applyBorder="1" applyAlignment="1">
      <alignment horizontal="center"/>
    </xf>
    <xf numFmtId="8" fontId="2" fillId="0" borderId="56" xfId="0" applyNumberFormat="1" applyFont="1" applyBorder="1" applyAlignment="1">
      <alignment horizontal="right"/>
    </xf>
    <xf numFmtId="8" fontId="2" fillId="0" borderId="34" xfId="0" applyNumberFormat="1" applyFont="1" applyBorder="1" applyAlignment="1">
      <alignment horizontal="right"/>
    </xf>
    <xf numFmtId="49" fontId="5" fillId="0" borderId="30" xfId="1" quotePrefix="1" applyNumberFormat="1" applyFont="1" applyBorder="1" applyAlignment="1">
      <alignment horizontal="center" vertical="center"/>
    </xf>
    <xf numFmtId="49" fontId="5" fillId="0" borderId="31" xfId="1" quotePrefix="1" applyNumberFormat="1" applyFont="1" applyBorder="1" applyAlignment="1">
      <alignment horizontal="center" vertical="center"/>
    </xf>
    <xf numFmtId="49" fontId="5" fillId="0" borderId="32" xfId="1" quotePrefix="1" applyNumberFormat="1" applyFont="1" applyBorder="1" applyAlignment="1">
      <alignment horizontal="center" vertical="center"/>
    </xf>
    <xf numFmtId="49" fontId="5" fillId="0" borderId="33" xfId="1" quotePrefix="1" applyNumberFormat="1" applyFont="1" applyBorder="1" applyAlignment="1">
      <alignment horizontal="center" vertical="center"/>
    </xf>
    <xf numFmtId="49" fontId="5" fillId="0" borderId="34" xfId="1" quotePrefix="1" applyNumberFormat="1" applyFont="1" applyBorder="1" applyAlignment="1">
      <alignment horizontal="center" vertical="center"/>
    </xf>
    <xf numFmtId="49" fontId="2" fillId="0" borderId="55" xfId="0" applyNumberFormat="1" applyFont="1" applyBorder="1" applyAlignment="1">
      <alignment horizontal="left"/>
    </xf>
    <xf numFmtId="49" fontId="2" fillId="0" borderId="12" xfId="0" applyNumberFormat="1" applyFont="1" applyBorder="1" applyAlignment="1">
      <alignment horizontal="left"/>
    </xf>
    <xf numFmtId="8" fontId="2" fillId="0" borderId="126" xfId="0" applyNumberFormat="1" applyFont="1" applyBorder="1" applyAlignment="1">
      <alignment horizontal="right"/>
    </xf>
    <xf numFmtId="8" fontId="2" fillId="0" borderId="127" xfId="0" applyNumberFormat="1" applyFont="1" applyBorder="1" applyAlignment="1">
      <alignment horizontal="right"/>
    </xf>
    <xf numFmtId="0" fontId="20" fillId="0" borderId="128" xfId="0" applyFont="1" applyBorder="1" applyAlignment="1">
      <alignment horizontal="center"/>
    </xf>
    <xf numFmtId="0" fontId="0" fillId="0" borderId="128" xfId="0" applyBorder="1" applyAlignment="1">
      <alignment horizontal="center"/>
    </xf>
    <xf numFmtId="0" fontId="20" fillId="0" borderId="128" xfId="0" applyFont="1" applyBorder="1" applyAlignment="1">
      <alignment horizontal="left"/>
    </xf>
    <xf numFmtId="0" fontId="0" fillId="0" borderId="128" xfId="0" applyBorder="1" applyAlignment="1">
      <alignment horizontal="left"/>
    </xf>
    <xf numFmtId="0" fontId="20" fillId="0" borderId="0" xfId="0" applyFont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colors>
    <mruColors>
      <color rgb="FFFFFFCC"/>
      <color rgb="FFFFDC6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J91"/>
  <sheetViews>
    <sheetView topLeftCell="A19" zoomScaleNormal="100" workbookViewId="0">
      <pane xSplit="1" topLeftCell="U1" activePane="topRight" state="frozen"/>
      <selection pane="topRight" activeCell="AA37" sqref="AA37"/>
    </sheetView>
  </sheetViews>
  <sheetFormatPr defaultColWidth="9.140625" defaultRowHeight="15"/>
  <cols>
    <col min="1" max="1" width="20.140625" style="208" customWidth="1"/>
    <col min="2" max="2" width="13.7109375" customWidth="1"/>
    <col min="3" max="3" width="11.140625" customWidth="1"/>
    <col min="4" max="4" width="11.5703125" customWidth="1"/>
    <col min="5" max="5" width="10.140625" customWidth="1"/>
    <col min="6" max="6" width="10.85546875" customWidth="1"/>
    <col min="7" max="7" width="11.28515625" customWidth="1"/>
    <col min="8" max="8" width="10.42578125" customWidth="1"/>
    <col min="9" max="9" width="10" customWidth="1"/>
    <col min="10" max="10" width="10.85546875" customWidth="1"/>
    <col min="11" max="11" width="11" customWidth="1"/>
    <col min="12" max="12" width="12.140625" customWidth="1"/>
    <col min="13" max="13" width="10" customWidth="1"/>
    <col min="14" max="14" width="11.28515625" customWidth="1"/>
    <col min="15" max="15" width="11.140625" customWidth="1"/>
    <col min="16" max="16" width="11.28515625" customWidth="1"/>
    <col min="17" max="17" width="10.28515625" customWidth="1"/>
    <col min="18" max="18" width="11.140625" customWidth="1"/>
    <col min="19" max="19" width="11.28515625" customWidth="1"/>
    <col min="20" max="20" width="10.42578125" customWidth="1"/>
    <col min="21" max="21" width="10.5703125" customWidth="1"/>
    <col min="22" max="23" width="11" customWidth="1"/>
    <col min="24" max="24" width="10.5703125" customWidth="1"/>
    <col min="25" max="25" width="10.140625" customWidth="1"/>
    <col min="26" max="26" width="11.42578125" customWidth="1"/>
    <col min="27" max="28" width="11" customWidth="1"/>
    <col min="29" max="29" width="10.28515625" customWidth="1"/>
    <col min="30" max="30" width="11.140625" customWidth="1"/>
    <col min="31" max="31" width="11" customWidth="1"/>
    <col min="32" max="32" width="11.28515625" customWidth="1"/>
    <col min="33" max="33" width="10.7109375" customWidth="1"/>
    <col min="34" max="34" width="11.140625" customWidth="1"/>
    <col min="35" max="35" width="11.28515625" customWidth="1"/>
    <col min="36" max="36" width="10.42578125" customWidth="1"/>
    <col min="37" max="37" width="10.140625" customWidth="1"/>
    <col min="38" max="38" width="11.140625" customWidth="1"/>
    <col min="39" max="39" width="11.42578125" customWidth="1"/>
    <col min="40" max="40" width="10.140625" customWidth="1"/>
    <col min="41" max="41" width="9.85546875" customWidth="1"/>
    <col min="42" max="44" width="11.140625" customWidth="1"/>
    <col min="45" max="45" width="10.28515625" customWidth="1"/>
    <col min="46" max="46" width="11.140625" customWidth="1"/>
    <col min="47" max="47" width="11.42578125" customWidth="1"/>
    <col min="48" max="48" width="10.7109375" customWidth="1"/>
    <col min="49" max="49" width="10.42578125" customWidth="1"/>
    <col min="50" max="50" width="12.140625" customWidth="1"/>
    <col min="52" max="52" width="21.7109375" customWidth="1"/>
    <col min="53" max="53" width="26.85546875" customWidth="1"/>
    <col min="54" max="54" width="19.28515625" customWidth="1"/>
    <col min="55" max="55" width="24" customWidth="1"/>
    <col min="56" max="56" width="11.140625" customWidth="1"/>
    <col min="57" max="57" width="23.42578125" customWidth="1"/>
    <col min="58" max="58" width="17.28515625" customWidth="1"/>
    <col min="60" max="60" width="16" customWidth="1"/>
    <col min="62" max="62" width="23.42578125" customWidth="1"/>
  </cols>
  <sheetData>
    <row r="1" spans="1:55" ht="15.75">
      <c r="A1" s="202"/>
      <c r="B1" s="1"/>
      <c r="C1" s="1"/>
      <c r="D1" s="1"/>
      <c r="E1" s="1"/>
      <c r="F1" s="1"/>
      <c r="G1" s="1"/>
      <c r="H1" s="1"/>
      <c r="I1" s="1"/>
      <c r="J1" s="1"/>
      <c r="K1" s="1"/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Z1" s="1"/>
      <c r="BA1" s="1"/>
      <c r="BB1" s="1"/>
      <c r="BC1" s="1"/>
    </row>
    <row r="2" spans="1:55" ht="15.75">
      <c r="A2" s="202"/>
      <c r="B2" s="1"/>
      <c r="C2" s="1"/>
      <c r="D2" s="1"/>
      <c r="E2" s="1"/>
      <c r="F2" s="4"/>
      <c r="G2" s="1"/>
      <c r="H2" s="1"/>
      <c r="I2" s="36"/>
      <c r="J2" s="1"/>
      <c r="K2" s="1"/>
      <c r="L2" s="1"/>
      <c r="M2" s="112"/>
      <c r="N2" s="1"/>
      <c r="O2" s="1"/>
      <c r="P2" s="1"/>
      <c r="Q2" s="1"/>
      <c r="R2" s="4"/>
      <c r="S2" s="1"/>
      <c r="T2" s="1"/>
      <c r="U2" s="1"/>
      <c r="V2" s="35"/>
      <c r="W2" s="1"/>
      <c r="X2" s="1"/>
      <c r="Y2" s="1"/>
      <c r="Z2" s="37"/>
      <c r="AA2" s="1"/>
      <c r="AB2" s="1"/>
      <c r="AC2" s="36"/>
      <c r="AD2" s="35"/>
      <c r="AE2" s="1"/>
      <c r="AF2" s="1"/>
      <c r="AG2" s="1"/>
      <c r="AH2" s="35"/>
      <c r="AI2" s="1"/>
      <c r="AJ2" s="1"/>
      <c r="AK2" s="1"/>
      <c r="AL2" s="35"/>
      <c r="AM2" s="1"/>
      <c r="AN2" s="1"/>
      <c r="AO2" s="1"/>
      <c r="AP2" s="35"/>
      <c r="AQ2" s="1"/>
      <c r="AR2" s="1"/>
      <c r="AS2" s="1"/>
      <c r="AT2" s="35"/>
      <c r="AU2" s="1"/>
      <c r="AV2" s="1"/>
      <c r="AW2" s="1"/>
      <c r="AX2" s="35"/>
      <c r="AZ2" s="1"/>
      <c r="BA2" s="1"/>
      <c r="BB2" s="1"/>
      <c r="BC2" s="1"/>
    </row>
    <row r="3" spans="1:55" ht="16.5" thickBot="1">
      <c r="A3" s="202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Z3" s="1"/>
      <c r="BA3" s="1"/>
      <c r="BB3" s="1"/>
      <c r="BC3" s="1"/>
    </row>
    <row r="4" spans="1:55" ht="17.25" thickTop="1" thickBot="1">
      <c r="A4" s="203" t="s">
        <v>4</v>
      </c>
      <c r="B4" s="214">
        <v>2018</v>
      </c>
      <c r="C4" s="384" t="s">
        <v>0</v>
      </c>
      <c r="D4" s="385"/>
      <c r="E4" s="385"/>
      <c r="F4" s="386"/>
      <c r="G4" s="384" t="s">
        <v>1</v>
      </c>
      <c r="H4" s="385"/>
      <c r="I4" s="385"/>
      <c r="J4" s="386"/>
      <c r="K4" s="384" t="s">
        <v>2</v>
      </c>
      <c r="L4" s="385"/>
      <c r="M4" s="385"/>
      <c r="N4" s="386"/>
      <c r="O4" s="384" t="s">
        <v>3</v>
      </c>
      <c r="P4" s="385"/>
      <c r="Q4" s="385"/>
      <c r="R4" s="386"/>
      <c r="S4" s="384" t="s">
        <v>71</v>
      </c>
      <c r="T4" s="385"/>
      <c r="U4" s="385"/>
      <c r="V4" s="386"/>
      <c r="W4" s="384" t="s">
        <v>70</v>
      </c>
      <c r="X4" s="385"/>
      <c r="Y4" s="385"/>
      <c r="Z4" s="386"/>
      <c r="AA4" s="384" t="s">
        <v>72</v>
      </c>
      <c r="AB4" s="385"/>
      <c r="AC4" s="385"/>
      <c r="AD4" s="386"/>
      <c r="AE4" s="384" t="s">
        <v>73</v>
      </c>
      <c r="AF4" s="385"/>
      <c r="AG4" s="385"/>
      <c r="AH4" s="386"/>
      <c r="AI4" s="384" t="s">
        <v>75</v>
      </c>
      <c r="AJ4" s="385"/>
      <c r="AK4" s="385"/>
      <c r="AL4" s="386"/>
      <c r="AM4" s="384" t="s">
        <v>77</v>
      </c>
      <c r="AN4" s="385"/>
      <c r="AO4" s="385"/>
      <c r="AP4" s="386"/>
      <c r="AQ4" s="384" t="s">
        <v>79</v>
      </c>
      <c r="AR4" s="385"/>
      <c r="AS4" s="385"/>
      <c r="AT4" s="386"/>
      <c r="AU4" s="384" t="s">
        <v>84</v>
      </c>
      <c r="AV4" s="385"/>
      <c r="AW4" s="385"/>
      <c r="AX4" s="386"/>
      <c r="AZ4" s="1"/>
      <c r="BA4" s="1"/>
      <c r="BB4" s="1"/>
      <c r="BC4" s="1"/>
    </row>
    <row r="5" spans="1:55" ht="16.5" thickBot="1">
      <c r="A5" s="204" t="s">
        <v>5</v>
      </c>
      <c r="B5" s="228">
        <v>22909.4</v>
      </c>
      <c r="C5" s="393">
        <f>'01'!K19</f>
        <v>26383.54</v>
      </c>
      <c r="D5" s="391"/>
      <c r="E5" s="391"/>
      <c r="F5" s="392"/>
      <c r="G5" s="393">
        <f>'02'!K19</f>
        <v>25229.379999999997</v>
      </c>
      <c r="H5" s="391"/>
      <c r="I5" s="391"/>
      <c r="J5" s="392"/>
      <c r="K5" s="390">
        <f>'03'!K19</f>
        <v>25574.760000000002</v>
      </c>
      <c r="L5" s="391"/>
      <c r="M5" s="391"/>
      <c r="N5" s="392"/>
      <c r="O5" s="390">
        <f>'04'!K19</f>
        <v>26443.759999999998</v>
      </c>
      <c r="P5" s="391"/>
      <c r="Q5" s="391"/>
      <c r="R5" s="392"/>
      <c r="S5" s="390">
        <f>'05'!K19</f>
        <v>27163.090000000004</v>
      </c>
      <c r="T5" s="391"/>
      <c r="U5" s="391"/>
      <c r="V5" s="392"/>
      <c r="W5" s="390">
        <f>'06'!K19</f>
        <v>29014.079999999998</v>
      </c>
      <c r="X5" s="391"/>
      <c r="Y5" s="391"/>
      <c r="Z5" s="392"/>
      <c r="AA5" s="390">
        <f>'07'!K19</f>
        <v>29282.959999999999</v>
      </c>
      <c r="AB5" s="391"/>
      <c r="AC5" s="391"/>
      <c r="AD5" s="392"/>
      <c r="AE5" s="390">
        <f>'08'!K19</f>
        <v>29282.959999999999</v>
      </c>
      <c r="AF5" s="391"/>
      <c r="AG5" s="391"/>
      <c r="AH5" s="392"/>
      <c r="AI5" s="390">
        <f>'09'!K19</f>
        <v>15101.890000000001</v>
      </c>
      <c r="AJ5" s="391"/>
      <c r="AK5" s="391"/>
      <c r="AL5" s="392"/>
      <c r="AM5" s="390">
        <f>'10'!K19</f>
        <v>15101.890000000001</v>
      </c>
      <c r="AN5" s="391"/>
      <c r="AO5" s="391"/>
      <c r="AP5" s="392"/>
      <c r="AQ5" s="390">
        <f>'11'!K19</f>
        <v>15101.890000000001</v>
      </c>
      <c r="AR5" s="391"/>
      <c r="AS5" s="391"/>
      <c r="AT5" s="392"/>
      <c r="AU5" s="390">
        <f>'12'!K19</f>
        <v>15101.890000000001</v>
      </c>
      <c r="AV5" s="391"/>
      <c r="AW5" s="391"/>
      <c r="AX5" s="392"/>
      <c r="AZ5" s="6"/>
      <c r="BA5" s="7"/>
      <c r="BB5" s="1"/>
      <c r="BC5" s="1"/>
    </row>
    <row r="6" spans="1:55" ht="17.25" thickTop="1" thickBot="1">
      <c r="A6" s="205"/>
      <c r="B6" s="8"/>
      <c r="C6" s="342"/>
      <c r="D6" s="342"/>
      <c r="E6" s="342"/>
      <c r="F6" s="342"/>
      <c r="G6" s="342"/>
      <c r="H6" s="342"/>
      <c r="I6" s="342"/>
      <c r="J6" s="342"/>
      <c r="K6" s="342"/>
      <c r="L6" s="342"/>
      <c r="M6" s="342"/>
      <c r="N6" s="342"/>
      <c r="O6" s="342"/>
      <c r="P6" s="342"/>
      <c r="Q6" s="342"/>
      <c r="R6" s="342"/>
      <c r="S6" s="342"/>
      <c r="T6" s="342"/>
      <c r="U6" s="342"/>
      <c r="V6" s="342"/>
      <c r="W6" s="342"/>
      <c r="X6" s="342"/>
      <c r="Y6" s="342"/>
      <c r="Z6" s="342"/>
      <c r="AA6" s="342"/>
      <c r="AB6" s="342"/>
      <c r="AC6" s="342"/>
      <c r="AD6" s="342"/>
      <c r="AE6" s="342"/>
      <c r="AF6" s="342"/>
      <c r="AG6" s="342"/>
      <c r="AH6" s="342"/>
      <c r="AI6" s="342"/>
      <c r="AJ6" s="342"/>
      <c r="AK6" s="342"/>
      <c r="AL6" s="342"/>
      <c r="AM6" s="342"/>
      <c r="AN6" s="342"/>
      <c r="AO6" s="342"/>
      <c r="AP6" s="342"/>
      <c r="AQ6" s="342"/>
      <c r="AR6" s="342"/>
      <c r="AS6" s="342"/>
      <c r="AT6" s="342"/>
      <c r="AU6" s="342"/>
      <c r="AV6" s="342"/>
      <c r="AW6" s="342"/>
      <c r="AX6" s="342"/>
      <c r="AZ6" s="1"/>
      <c r="BA6" s="1"/>
      <c r="BB6" s="1"/>
      <c r="BC6" s="1"/>
    </row>
    <row r="7" spans="1:55" s="89" customFormat="1" ht="17.25" thickTop="1" thickBot="1">
      <c r="A7" s="23" t="s">
        <v>6</v>
      </c>
      <c r="B7" s="23" t="s">
        <v>53</v>
      </c>
      <c r="C7" s="387" t="s">
        <v>230</v>
      </c>
      <c r="D7" s="388"/>
      <c r="E7" s="388"/>
      <c r="F7" s="389"/>
      <c r="G7" s="387" t="s">
        <v>230</v>
      </c>
      <c r="H7" s="388"/>
      <c r="I7" s="388"/>
      <c r="J7" s="389"/>
      <c r="K7" s="387" t="s">
        <v>230</v>
      </c>
      <c r="L7" s="388"/>
      <c r="M7" s="388"/>
      <c r="N7" s="389"/>
      <c r="O7" s="387" t="s">
        <v>230</v>
      </c>
      <c r="P7" s="388"/>
      <c r="Q7" s="388"/>
      <c r="R7" s="389"/>
      <c r="S7" s="387" t="s">
        <v>230</v>
      </c>
      <c r="T7" s="388"/>
      <c r="U7" s="388"/>
      <c r="V7" s="389"/>
      <c r="W7" s="387" t="s">
        <v>230</v>
      </c>
      <c r="X7" s="388"/>
      <c r="Y7" s="388"/>
      <c r="Z7" s="389"/>
      <c r="AA7" s="387" t="s">
        <v>230</v>
      </c>
      <c r="AB7" s="388"/>
      <c r="AC7" s="388"/>
      <c r="AD7" s="389"/>
      <c r="AE7" s="387" t="s">
        <v>230</v>
      </c>
      <c r="AF7" s="388"/>
      <c r="AG7" s="388"/>
      <c r="AH7" s="389"/>
      <c r="AI7" s="387" t="s">
        <v>230</v>
      </c>
      <c r="AJ7" s="388"/>
      <c r="AK7" s="388"/>
      <c r="AL7" s="389"/>
      <c r="AM7" s="387" t="s">
        <v>230</v>
      </c>
      <c r="AN7" s="388"/>
      <c r="AO7" s="388"/>
      <c r="AP7" s="389"/>
      <c r="AQ7" s="387" t="s">
        <v>230</v>
      </c>
      <c r="AR7" s="388"/>
      <c r="AS7" s="388"/>
      <c r="AT7" s="389"/>
      <c r="AU7" s="387" t="s">
        <v>230</v>
      </c>
      <c r="AV7" s="388"/>
      <c r="AW7" s="388"/>
      <c r="AX7" s="389"/>
      <c r="AZ7" s="9" t="s">
        <v>232</v>
      </c>
      <c r="BA7" s="13" t="s">
        <v>188</v>
      </c>
      <c r="BB7" s="1"/>
      <c r="BC7" s="1"/>
    </row>
    <row r="8" spans="1:55" ht="15.75">
      <c r="A8" s="206" t="s">
        <v>212</v>
      </c>
      <c r="B8" s="192">
        <v>33389.54</v>
      </c>
      <c r="C8" s="394">
        <f>SUM('01'!L25:'01'!L29)</f>
        <v>2593.46</v>
      </c>
      <c r="D8" s="395"/>
      <c r="E8" s="395"/>
      <c r="F8" s="396"/>
      <c r="G8" s="394">
        <f>SUM('02'!L25:'02'!L29)</f>
        <v>2592.42</v>
      </c>
      <c r="H8" s="395"/>
      <c r="I8" s="395"/>
      <c r="J8" s="396"/>
      <c r="K8" s="394">
        <f>SUM('03'!L25:'03'!L29)</f>
        <v>2526.87</v>
      </c>
      <c r="L8" s="395"/>
      <c r="M8" s="395"/>
      <c r="N8" s="396"/>
      <c r="O8" s="394">
        <f>SUM('04'!L25:'04'!L29)</f>
        <v>2570.56</v>
      </c>
      <c r="P8" s="395"/>
      <c r="Q8" s="395"/>
      <c r="R8" s="396"/>
      <c r="S8" s="394">
        <f>SUM('05'!L25:'05'!L29)</f>
        <v>4448.8500000000004</v>
      </c>
      <c r="T8" s="395"/>
      <c r="U8" s="395"/>
      <c r="V8" s="396"/>
      <c r="W8" s="394">
        <f>SUM('06'!L25:'06'!L29)</f>
        <v>2574.61</v>
      </c>
      <c r="X8" s="395"/>
      <c r="Y8" s="395"/>
      <c r="Z8" s="396"/>
      <c r="AA8" s="394">
        <f>SUM('07'!L25:'07'!L29)</f>
        <v>2568.54</v>
      </c>
      <c r="AB8" s="395"/>
      <c r="AC8" s="395"/>
      <c r="AD8" s="396"/>
      <c r="AE8" s="394">
        <f>SUM('08'!L25:'08'!L29)</f>
        <v>0</v>
      </c>
      <c r="AF8" s="395"/>
      <c r="AG8" s="395"/>
      <c r="AH8" s="396"/>
      <c r="AI8" s="394">
        <f>SUM('09'!L25:'09'!L29)</f>
        <v>0</v>
      </c>
      <c r="AJ8" s="395"/>
      <c r="AK8" s="395"/>
      <c r="AL8" s="396"/>
      <c r="AM8" s="394">
        <f>SUM('10'!L25:'10'!L29)</f>
        <v>0</v>
      </c>
      <c r="AN8" s="395"/>
      <c r="AO8" s="395"/>
      <c r="AP8" s="396"/>
      <c r="AQ8" s="394">
        <f>SUM('11'!L25:'11'!L29)</f>
        <v>0</v>
      </c>
      <c r="AR8" s="395"/>
      <c r="AS8" s="395"/>
      <c r="AT8" s="396"/>
      <c r="AU8" s="394">
        <f>SUM('12'!L25:'12'!L29)</f>
        <v>0</v>
      </c>
      <c r="AV8" s="395"/>
      <c r="AW8" s="395"/>
      <c r="AX8" s="396"/>
      <c r="AZ8" s="209">
        <f>SUM(C8:AU8)</f>
        <v>19875.310000000001</v>
      </c>
      <c r="BA8" s="112">
        <f t="shared" ref="BA8:BA16" ca="1" si="0">AZ8/BC$17</f>
        <v>2839.3300000000004</v>
      </c>
      <c r="BB8" s="1"/>
      <c r="BC8" s="1"/>
    </row>
    <row r="9" spans="1:55" ht="15.75">
      <c r="A9" s="189" t="s">
        <v>213</v>
      </c>
      <c r="B9" s="193">
        <v>5835.74</v>
      </c>
      <c r="C9" s="381">
        <f>SUM('01'!L30:'01'!L34)</f>
        <v>655.59</v>
      </c>
      <c r="D9" s="382"/>
      <c r="E9" s="382"/>
      <c r="F9" s="383"/>
      <c r="G9" s="381">
        <f>SUM('02'!L30:'02'!L34)</f>
        <v>760.26</v>
      </c>
      <c r="H9" s="382"/>
      <c r="I9" s="382"/>
      <c r="J9" s="383"/>
      <c r="K9" s="381">
        <f>SUM('03'!L30:'03'!L34)</f>
        <v>516.44000000000005</v>
      </c>
      <c r="L9" s="382"/>
      <c r="M9" s="382"/>
      <c r="N9" s="383"/>
      <c r="O9" s="381">
        <f>SUM('04'!L30:'04'!L34)</f>
        <v>507.54</v>
      </c>
      <c r="P9" s="382"/>
      <c r="Q9" s="382"/>
      <c r="R9" s="383"/>
      <c r="S9" s="381">
        <f>SUM('05'!L30:'05'!L34)</f>
        <v>578.16999999999996</v>
      </c>
      <c r="T9" s="382"/>
      <c r="U9" s="382"/>
      <c r="V9" s="383"/>
      <c r="W9" s="381">
        <f>SUM('06'!L30:'06'!L34)</f>
        <v>613.67000000000007</v>
      </c>
      <c r="X9" s="382"/>
      <c r="Y9" s="382"/>
      <c r="Z9" s="383"/>
      <c r="AA9" s="381">
        <f>SUM('07'!L30:'07'!L34)</f>
        <v>1147.52</v>
      </c>
      <c r="AB9" s="382"/>
      <c r="AC9" s="382"/>
      <c r="AD9" s="383"/>
      <c r="AE9" s="381">
        <f>SUM('08'!L30:'08'!L34)</f>
        <v>0</v>
      </c>
      <c r="AF9" s="382"/>
      <c r="AG9" s="382"/>
      <c r="AH9" s="383"/>
      <c r="AI9" s="381">
        <f>SUM('09'!L30:'09'!L34)</f>
        <v>0</v>
      </c>
      <c r="AJ9" s="382"/>
      <c r="AK9" s="382"/>
      <c r="AL9" s="383"/>
      <c r="AM9" s="381">
        <f>SUM('10'!L30:'10'!L34)</f>
        <v>0</v>
      </c>
      <c r="AN9" s="382"/>
      <c r="AO9" s="382"/>
      <c r="AP9" s="383"/>
      <c r="AQ9" s="381">
        <f>SUM('11'!L30:'11'!L34)</f>
        <v>0</v>
      </c>
      <c r="AR9" s="382"/>
      <c r="AS9" s="382"/>
      <c r="AT9" s="383"/>
      <c r="AU9" s="381">
        <f>SUM('12'!L30:'12'!L34)</f>
        <v>0</v>
      </c>
      <c r="AV9" s="382"/>
      <c r="AW9" s="382"/>
      <c r="AX9" s="383"/>
      <c r="AZ9" s="210">
        <f t="shared" ref="AZ9:AZ16" si="1">SUM(C9:AW9)</f>
        <v>4779.1900000000005</v>
      </c>
      <c r="BA9" s="112">
        <f t="shared" ca="1" si="0"/>
        <v>682.74142857142863</v>
      </c>
      <c r="BB9" s="1"/>
      <c r="BC9" s="1"/>
    </row>
    <row r="10" spans="1:55" ht="15.75">
      <c r="A10" s="190" t="s">
        <v>218</v>
      </c>
      <c r="B10" s="194">
        <v>2731.18</v>
      </c>
      <c r="C10" s="381">
        <f>SUM('01'!L35:'01'!L39)</f>
        <v>120.85</v>
      </c>
      <c r="D10" s="382"/>
      <c r="E10" s="382"/>
      <c r="F10" s="383"/>
      <c r="G10" s="381">
        <f>SUM('02'!L35:'02'!L39)</f>
        <v>107.38</v>
      </c>
      <c r="H10" s="382"/>
      <c r="I10" s="382"/>
      <c r="J10" s="383"/>
      <c r="K10" s="381">
        <f>SUM('03'!L35:'03'!L39)</f>
        <v>91.73</v>
      </c>
      <c r="L10" s="382"/>
      <c r="M10" s="382"/>
      <c r="N10" s="383"/>
      <c r="O10" s="381">
        <f>SUM('04'!L35:'04'!L39)</f>
        <v>204.23</v>
      </c>
      <c r="P10" s="382"/>
      <c r="Q10" s="382"/>
      <c r="R10" s="383"/>
      <c r="S10" s="381">
        <f>SUM('05'!L35:'05'!L39)</f>
        <v>119.85</v>
      </c>
      <c r="T10" s="382"/>
      <c r="U10" s="382"/>
      <c r="V10" s="383"/>
      <c r="W10" s="397">
        <f>SUM('06'!L35:'06'!L39)</f>
        <v>55.09</v>
      </c>
      <c r="X10" s="398"/>
      <c r="Y10" s="398"/>
      <c r="Z10" s="399"/>
      <c r="AA10" s="397">
        <f>SUM('07'!L35:'07'!L39)</f>
        <v>0</v>
      </c>
      <c r="AB10" s="398"/>
      <c r="AC10" s="398"/>
      <c r="AD10" s="399"/>
      <c r="AE10" s="397">
        <f>SUM('08'!L35:'08'!L39)</f>
        <v>0</v>
      </c>
      <c r="AF10" s="398"/>
      <c r="AG10" s="398"/>
      <c r="AH10" s="399"/>
      <c r="AI10" s="397">
        <f>SUM('09'!L35:'09'!L39)</f>
        <v>0</v>
      </c>
      <c r="AJ10" s="398"/>
      <c r="AK10" s="398"/>
      <c r="AL10" s="399"/>
      <c r="AM10" s="397">
        <f>SUM('10'!L35:'10'!L39)</f>
        <v>0</v>
      </c>
      <c r="AN10" s="398"/>
      <c r="AO10" s="398"/>
      <c r="AP10" s="399"/>
      <c r="AQ10" s="397">
        <f>SUM('11'!L35:'11'!L39)</f>
        <v>0</v>
      </c>
      <c r="AR10" s="398"/>
      <c r="AS10" s="398"/>
      <c r="AT10" s="399"/>
      <c r="AU10" s="397">
        <f>SUM('12'!L35:'12'!L39)</f>
        <v>0</v>
      </c>
      <c r="AV10" s="398"/>
      <c r="AW10" s="398"/>
      <c r="AX10" s="399"/>
      <c r="AZ10" s="211">
        <f t="shared" si="1"/>
        <v>699.13</v>
      </c>
      <c r="BA10" s="112">
        <f t="shared" ca="1" si="0"/>
        <v>99.875714285714281</v>
      </c>
      <c r="BB10" s="1"/>
      <c r="BC10" s="1"/>
    </row>
    <row r="11" spans="1:55" ht="15.75">
      <c r="A11" s="189" t="s">
        <v>214</v>
      </c>
      <c r="B11" s="193">
        <v>2906.88</v>
      </c>
      <c r="C11" s="381">
        <f>SUM('01'!L40:'01'!L44)</f>
        <v>3.87</v>
      </c>
      <c r="D11" s="382"/>
      <c r="E11" s="382"/>
      <c r="F11" s="383"/>
      <c r="G11" s="381">
        <f>SUM('02'!L40:'02'!L44)</f>
        <v>0</v>
      </c>
      <c r="H11" s="382"/>
      <c r="I11" s="382"/>
      <c r="J11" s="383"/>
      <c r="K11" s="381">
        <f>SUM('03'!L40:'03'!L44)</f>
        <v>0</v>
      </c>
      <c r="L11" s="382"/>
      <c r="M11" s="382"/>
      <c r="N11" s="383"/>
      <c r="O11" s="381">
        <f>SUM('04'!L40:'04'!L44)</f>
        <v>356.59</v>
      </c>
      <c r="P11" s="382"/>
      <c r="Q11" s="382"/>
      <c r="R11" s="383"/>
      <c r="S11" s="381">
        <f>SUM('05'!L40:'05'!L44)</f>
        <v>45.86</v>
      </c>
      <c r="T11" s="382"/>
      <c r="U11" s="382"/>
      <c r="V11" s="383"/>
      <c r="W11" s="381">
        <f>SUM('06'!L40:'06'!L44)</f>
        <v>0</v>
      </c>
      <c r="X11" s="382"/>
      <c r="Y11" s="382"/>
      <c r="Z11" s="383"/>
      <c r="AA11" s="381">
        <f>SUM('07'!L40:'07'!L44)</f>
        <v>1.02</v>
      </c>
      <c r="AB11" s="382"/>
      <c r="AC11" s="382"/>
      <c r="AD11" s="383"/>
      <c r="AE11" s="381">
        <f>SUM('08'!L40:'08'!L44)</f>
        <v>0</v>
      </c>
      <c r="AF11" s="382"/>
      <c r="AG11" s="382"/>
      <c r="AH11" s="383"/>
      <c r="AI11" s="381">
        <f>SUM('09'!L40:'09'!L44)</f>
        <v>0</v>
      </c>
      <c r="AJ11" s="382"/>
      <c r="AK11" s="382"/>
      <c r="AL11" s="383"/>
      <c r="AM11" s="381">
        <f>SUM('10'!L40:'10'!L44)</f>
        <v>0</v>
      </c>
      <c r="AN11" s="382"/>
      <c r="AO11" s="382"/>
      <c r="AP11" s="383"/>
      <c r="AQ11" s="381">
        <f>SUM('11'!L40:'11'!L44)</f>
        <v>0</v>
      </c>
      <c r="AR11" s="382"/>
      <c r="AS11" s="382"/>
      <c r="AT11" s="383"/>
      <c r="AU11" s="381">
        <f>SUM('12'!L40:'12'!L44)</f>
        <v>0</v>
      </c>
      <c r="AV11" s="382"/>
      <c r="AW11" s="382"/>
      <c r="AX11" s="383"/>
      <c r="AZ11" s="210">
        <f t="shared" si="1"/>
        <v>407.34</v>
      </c>
      <c r="BA11" s="112">
        <f t="shared" ca="1" si="0"/>
        <v>58.191428571428567</v>
      </c>
      <c r="BB11" s="1"/>
      <c r="BC11" s="1"/>
    </row>
    <row r="12" spans="1:55" ht="15.75">
      <c r="A12" s="190" t="s">
        <v>23</v>
      </c>
      <c r="B12" s="194">
        <v>3325.31</v>
      </c>
      <c r="C12" s="381">
        <f>SUM('01'!L45:'01'!L49)</f>
        <v>137</v>
      </c>
      <c r="D12" s="382"/>
      <c r="E12" s="382"/>
      <c r="F12" s="383"/>
      <c r="G12" s="381">
        <f>SUM('02'!L45:'02'!L49)</f>
        <v>600.04</v>
      </c>
      <c r="H12" s="382"/>
      <c r="I12" s="382"/>
      <c r="J12" s="383"/>
      <c r="K12" s="381">
        <f>SUM('03'!L45:'03'!L49)</f>
        <v>380</v>
      </c>
      <c r="L12" s="382"/>
      <c r="M12" s="382"/>
      <c r="N12" s="383"/>
      <c r="O12" s="381">
        <f>SUM('04'!L45:'04'!L49)</f>
        <v>0</v>
      </c>
      <c r="P12" s="382"/>
      <c r="Q12" s="382"/>
      <c r="R12" s="383"/>
      <c r="S12" s="381">
        <f>SUM('05'!L45:'05'!L49)</f>
        <v>0</v>
      </c>
      <c r="T12" s="382"/>
      <c r="U12" s="382"/>
      <c r="V12" s="383"/>
      <c r="W12" s="397">
        <f>SUM('06'!L45:'06'!L49)</f>
        <v>242.41</v>
      </c>
      <c r="X12" s="398"/>
      <c r="Y12" s="398"/>
      <c r="Z12" s="399"/>
      <c r="AA12" s="397">
        <f>SUM('07'!L45:'07'!L49)</f>
        <v>0</v>
      </c>
      <c r="AB12" s="398"/>
      <c r="AC12" s="398"/>
      <c r="AD12" s="399"/>
      <c r="AE12" s="397">
        <f>SUM('08'!L45:'08'!L49)</f>
        <v>0</v>
      </c>
      <c r="AF12" s="398"/>
      <c r="AG12" s="398"/>
      <c r="AH12" s="399"/>
      <c r="AI12" s="397">
        <f>SUM('09'!L45:'09'!L49)</f>
        <v>0</v>
      </c>
      <c r="AJ12" s="398"/>
      <c r="AK12" s="398"/>
      <c r="AL12" s="399"/>
      <c r="AM12" s="397">
        <f>SUM('10'!L45:'10'!L49)</f>
        <v>0</v>
      </c>
      <c r="AN12" s="398"/>
      <c r="AO12" s="398"/>
      <c r="AP12" s="399"/>
      <c r="AQ12" s="397">
        <f>SUM('11'!L45:'11'!L49)</f>
        <v>0</v>
      </c>
      <c r="AR12" s="398"/>
      <c r="AS12" s="398"/>
      <c r="AT12" s="399"/>
      <c r="AU12" s="397">
        <f>SUM('12'!L45:'12'!L49)</f>
        <v>0</v>
      </c>
      <c r="AV12" s="398"/>
      <c r="AW12" s="398"/>
      <c r="AX12" s="399"/>
      <c r="AZ12" s="211">
        <f t="shared" si="1"/>
        <v>1359.45</v>
      </c>
      <c r="BA12" s="112">
        <f t="shared" ca="1" si="0"/>
        <v>194.20714285714286</v>
      </c>
      <c r="BB12" s="1"/>
      <c r="BC12" s="1"/>
    </row>
    <row r="13" spans="1:55" ht="15.75">
      <c r="A13" s="189" t="s">
        <v>215</v>
      </c>
      <c r="B13" s="195">
        <v>3443.8099999999995</v>
      </c>
      <c r="C13" s="381">
        <f>SUM('01'!L50:'01'!L54)</f>
        <v>95.8</v>
      </c>
      <c r="D13" s="382"/>
      <c r="E13" s="382"/>
      <c r="F13" s="383"/>
      <c r="G13" s="381">
        <f>SUM('02'!L50:'02'!L54)</f>
        <v>95.8</v>
      </c>
      <c r="H13" s="382"/>
      <c r="I13" s="382"/>
      <c r="J13" s="383"/>
      <c r="K13" s="381">
        <f>SUM('03'!L50:'03'!L54)</f>
        <v>4517.74</v>
      </c>
      <c r="L13" s="382"/>
      <c r="M13" s="382"/>
      <c r="N13" s="383"/>
      <c r="O13" s="381">
        <f>SUM('04'!L50:'04'!L54)</f>
        <v>95.8</v>
      </c>
      <c r="P13" s="382"/>
      <c r="Q13" s="382"/>
      <c r="R13" s="383"/>
      <c r="S13" s="381">
        <f>SUM('05'!L50:'05'!L54)</f>
        <v>95.8</v>
      </c>
      <c r="T13" s="382"/>
      <c r="U13" s="382"/>
      <c r="V13" s="383"/>
      <c r="W13" s="381">
        <f>SUM('06'!L50:'06'!L54)</f>
        <v>95.8</v>
      </c>
      <c r="X13" s="382"/>
      <c r="Y13" s="382"/>
      <c r="Z13" s="383"/>
      <c r="AA13" s="381">
        <f>SUM('07'!L50:'07'!L54)</f>
        <v>95.8</v>
      </c>
      <c r="AB13" s="382"/>
      <c r="AC13" s="382"/>
      <c r="AD13" s="383"/>
      <c r="AE13" s="381">
        <f>SUM('08'!L50:'08'!L54)</f>
        <v>0</v>
      </c>
      <c r="AF13" s="382"/>
      <c r="AG13" s="382"/>
      <c r="AH13" s="383"/>
      <c r="AI13" s="381">
        <f>SUM('09'!L50:'09'!L54)</f>
        <v>0</v>
      </c>
      <c r="AJ13" s="382"/>
      <c r="AK13" s="382"/>
      <c r="AL13" s="383"/>
      <c r="AM13" s="381">
        <f>SUM('10'!L50:'10'!L54)</f>
        <v>0</v>
      </c>
      <c r="AN13" s="382"/>
      <c r="AO13" s="382"/>
      <c r="AP13" s="383"/>
      <c r="AQ13" s="381">
        <f>SUM('11'!L50:'11'!L54)</f>
        <v>0</v>
      </c>
      <c r="AR13" s="382"/>
      <c r="AS13" s="382"/>
      <c r="AT13" s="383"/>
      <c r="AU13" s="381">
        <f>SUM('12'!L50:'12'!L54)</f>
        <v>0</v>
      </c>
      <c r="AV13" s="382"/>
      <c r="AW13" s="382"/>
      <c r="AX13" s="383"/>
      <c r="AZ13" s="212">
        <f t="shared" si="1"/>
        <v>5092.5400000000009</v>
      </c>
      <c r="BA13" s="112">
        <f t="shared" ca="1" si="0"/>
        <v>727.50571428571436</v>
      </c>
      <c r="BB13" s="1"/>
      <c r="BC13" s="1"/>
    </row>
    <row r="14" spans="1:55" ht="15.75">
      <c r="A14" s="190" t="s">
        <v>216</v>
      </c>
      <c r="B14" s="194">
        <v>364.62</v>
      </c>
      <c r="C14" s="381">
        <f>SUM('01'!L55:'01'!L59)</f>
        <v>0</v>
      </c>
      <c r="D14" s="382"/>
      <c r="E14" s="382"/>
      <c r="F14" s="383"/>
      <c r="G14" s="381">
        <f>SUM('02'!L55:'02'!L59)</f>
        <v>0</v>
      </c>
      <c r="H14" s="382"/>
      <c r="I14" s="382"/>
      <c r="J14" s="383"/>
      <c r="K14" s="381">
        <f>SUM('03'!L55:'03'!L59)</f>
        <v>9.44</v>
      </c>
      <c r="L14" s="382"/>
      <c r="M14" s="382"/>
      <c r="N14" s="383"/>
      <c r="O14" s="381">
        <f>SUM('04'!L55:'04'!L59)</f>
        <v>37.980000000000004</v>
      </c>
      <c r="P14" s="382"/>
      <c r="Q14" s="382"/>
      <c r="R14" s="383"/>
      <c r="S14" s="381">
        <f>SUM('05'!L55:'05'!L59)</f>
        <v>17.350000000000001</v>
      </c>
      <c r="T14" s="382"/>
      <c r="U14" s="382"/>
      <c r="V14" s="383"/>
      <c r="W14" s="397">
        <f>SUM('06'!L55:'06'!L59)</f>
        <v>0</v>
      </c>
      <c r="X14" s="398"/>
      <c r="Y14" s="398"/>
      <c r="Z14" s="399"/>
      <c r="AA14" s="397">
        <f>SUM('07'!L55:'07'!L59)</f>
        <v>51.759999999999991</v>
      </c>
      <c r="AB14" s="398"/>
      <c r="AC14" s="398"/>
      <c r="AD14" s="399"/>
      <c r="AE14" s="397">
        <f>SUM('08'!L55:'08'!L59)</f>
        <v>0</v>
      </c>
      <c r="AF14" s="398"/>
      <c r="AG14" s="398"/>
      <c r="AH14" s="399"/>
      <c r="AI14" s="397">
        <f>SUM('09'!L55:'09'!L59)</f>
        <v>0</v>
      </c>
      <c r="AJ14" s="398"/>
      <c r="AK14" s="398"/>
      <c r="AL14" s="399"/>
      <c r="AM14" s="397">
        <f>SUM('10'!L55:'10'!L59)</f>
        <v>0</v>
      </c>
      <c r="AN14" s="398"/>
      <c r="AO14" s="398"/>
      <c r="AP14" s="399"/>
      <c r="AQ14" s="397">
        <f>SUM('11'!L55:'11'!L59)</f>
        <v>0</v>
      </c>
      <c r="AR14" s="398"/>
      <c r="AS14" s="398"/>
      <c r="AT14" s="399"/>
      <c r="AU14" s="397">
        <f>SUM('12'!L55:'12'!L59)</f>
        <v>0</v>
      </c>
      <c r="AV14" s="398"/>
      <c r="AW14" s="398"/>
      <c r="AX14" s="399"/>
      <c r="AZ14" s="211">
        <f t="shared" si="1"/>
        <v>116.53</v>
      </c>
      <c r="BA14" s="112">
        <f t="shared" ca="1" si="0"/>
        <v>16.647142857142857</v>
      </c>
      <c r="BB14" s="3"/>
      <c r="BC14" s="3"/>
    </row>
    <row r="15" spans="1:55" ht="15.75">
      <c r="A15" s="189" t="s">
        <v>217</v>
      </c>
      <c r="B15" s="193">
        <v>7756.04</v>
      </c>
      <c r="C15" s="381">
        <f>SUM('01'!L60:'01'!L64)</f>
        <v>0</v>
      </c>
      <c r="D15" s="382"/>
      <c r="E15" s="382"/>
      <c r="F15" s="383"/>
      <c r="G15" s="381">
        <f>SUM('02'!L60:'02'!L64)</f>
        <v>665.77</v>
      </c>
      <c r="H15" s="382"/>
      <c r="I15" s="382"/>
      <c r="J15" s="383"/>
      <c r="K15" s="381">
        <f>SUM('03'!L60:'03'!L64)</f>
        <v>682.39</v>
      </c>
      <c r="L15" s="382"/>
      <c r="M15" s="382"/>
      <c r="N15" s="383"/>
      <c r="O15" s="381">
        <f>SUM('04'!L60:'04'!L64)</f>
        <v>550</v>
      </c>
      <c r="P15" s="382"/>
      <c r="Q15" s="382"/>
      <c r="R15" s="383"/>
      <c r="S15" s="381">
        <f>SUM('05'!L60:'05'!L64)</f>
        <v>652.44000000000005</v>
      </c>
      <c r="T15" s="382"/>
      <c r="U15" s="382"/>
      <c r="V15" s="383"/>
      <c r="W15" s="381">
        <f>SUM('06'!L60:'06'!L64)</f>
        <v>511.74</v>
      </c>
      <c r="X15" s="382"/>
      <c r="Y15" s="382"/>
      <c r="Z15" s="383"/>
      <c r="AA15" s="381">
        <f>SUM('07'!L60:'07'!L64)</f>
        <v>649.1</v>
      </c>
      <c r="AB15" s="382"/>
      <c r="AC15" s="382"/>
      <c r="AD15" s="383"/>
      <c r="AE15" s="381">
        <f>SUM('08'!L60:'08'!L64)</f>
        <v>0</v>
      </c>
      <c r="AF15" s="382"/>
      <c r="AG15" s="382"/>
      <c r="AH15" s="383"/>
      <c r="AI15" s="381">
        <f>SUM('09'!L60:'09'!L64)</f>
        <v>0</v>
      </c>
      <c r="AJ15" s="382"/>
      <c r="AK15" s="382"/>
      <c r="AL15" s="383"/>
      <c r="AM15" s="381">
        <f>SUM('10'!L60:'10'!L64)</f>
        <v>0</v>
      </c>
      <c r="AN15" s="382"/>
      <c r="AO15" s="382"/>
      <c r="AP15" s="383"/>
      <c r="AQ15" s="381">
        <f>SUM('11'!L60:'11'!L64)</f>
        <v>0</v>
      </c>
      <c r="AR15" s="382"/>
      <c r="AS15" s="382"/>
      <c r="AT15" s="383"/>
      <c r="AU15" s="381">
        <f>SUM('12'!L60:'12'!L64)</f>
        <v>0</v>
      </c>
      <c r="AV15" s="382"/>
      <c r="AW15" s="382"/>
      <c r="AX15" s="383"/>
      <c r="AZ15" s="210">
        <f t="shared" si="1"/>
        <v>3711.44</v>
      </c>
      <c r="BA15" s="112">
        <f t="shared" ca="1" si="0"/>
        <v>530.20571428571429</v>
      </c>
      <c r="BB15" s="1"/>
      <c r="BC15" s="1"/>
    </row>
    <row r="16" spans="1:55" ht="16.5" thickBot="1">
      <c r="A16" s="191" t="s">
        <v>42</v>
      </c>
      <c r="B16" s="196">
        <v>2018.96</v>
      </c>
      <c r="C16" s="381">
        <f>SUM('01'!L65:'01'!L69)</f>
        <v>85</v>
      </c>
      <c r="D16" s="382"/>
      <c r="E16" s="382"/>
      <c r="F16" s="383"/>
      <c r="G16" s="381">
        <f>SUM('02'!L65:'02'!L69)</f>
        <v>0</v>
      </c>
      <c r="H16" s="382"/>
      <c r="I16" s="382"/>
      <c r="J16" s="383"/>
      <c r="K16" s="381">
        <f>SUM('03'!L65:'03'!L69)</f>
        <v>0</v>
      </c>
      <c r="L16" s="382"/>
      <c r="M16" s="382"/>
      <c r="N16" s="383"/>
      <c r="O16" s="381">
        <f>SUM('04'!L65:'04'!L69)</f>
        <v>0</v>
      </c>
      <c r="P16" s="382"/>
      <c r="Q16" s="382"/>
      <c r="R16" s="383"/>
      <c r="S16" s="381">
        <f>SUM('05'!L65:'05'!L69)</f>
        <v>0</v>
      </c>
      <c r="T16" s="382"/>
      <c r="U16" s="382"/>
      <c r="V16" s="383"/>
      <c r="W16" s="400">
        <f>SUM('06'!L65:'06'!L69)</f>
        <v>0</v>
      </c>
      <c r="X16" s="401"/>
      <c r="Y16" s="401"/>
      <c r="Z16" s="402"/>
      <c r="AA16" s="400">
        <f>SUM('07'!L65:'07'!L69)</f>
        <v>0</v>
      </c>
      <c r="AB16" s="401"/>
      <c r="AC16" s="401"/>
      <c r="AD16" s="402"/>
      <c r="AE16" s="400">
        <f>SUM('08'!L65:'08'!L69)</f>
        <v>0</v>
      </c>
      <c r="AF16" s="401"/>
      <c r="AG16" s="401"/>
      <c r="AH16" s="402"/>
      <c r="AI16" s="400">
        <f>SUM('09'!L65:'09'!L69)</f>
        <v>0</v>
      </c>
      <c r="AJ16" s="401"/>
      <c r="AK16" s="401"/>
      <c r="AL16" s="402"/>
      <c r="AM16" s="400">
        <f>SUM('10'!L65:'10'!L69)</f>
        <v>0</v>
      </c>
      <c r="AN16" s="401"/>
      <c r="AO16" s="401"/>
      <c r="AP16" s="402"/>
      <c r="AQ16" s="400">
        <f>SUM('11'!L65:'11'!L69)</f>
        <v>0</v>
      </c>
      <c r="AR16" s="401"/>
      <c r="AS16" s="401"/>
      <c r="AT16" s="402"/>
      <c r="AU16" s="400">
        <f>SUM('12'!L65:'12'!L69)</f>
        <v>0</v>
      </c>
      <c r="AV16" s="401"/>
      <c r="AW16" s="401"/>
      <c r="AX16" s="402"/>
      <c r="AZ16" s="213">
        <f t="shared" si="1"/>
        <v>85</v>
      </c>
      <c r="BA16" s="112">
        <f t="shared" ca="1" si="0"/>
        <v>12.142857142857142</v>
      </c>
      <c r="BB16" s="3"/>
      <c r="BC16" s="3"/>
    </row>
    <row r="17" spans="1:62" ht="16.5" thickBot="1">
      <c r="A17" s="215" t="s">
        <v>5</v>
      </c>
      <c r="B17" s="221">
        <f>SUM(B8:B16)</f>
        <v>61772.079999999994</v>
      </c>
      <c r="C17" s="377">
        <f>SUM(C8:C16)</f>
        <v>3691.57</v>
      </c>
      <c r="D17" s="378"/>
      <c r="E17" s="378"/>
      <c r="F17" s="379"/>
      <c r="G17" s="377">
        <f>SUM(G8:G16)</f>
        <v>4821.67</v>
      </c>
      <c r="H17" s="378"/>
      <c r="I17" s="378"/>
      <c r="J17" s="379"/>
      <c r="K17" s="377">
        <f>SUM(K8:K16)</f>
        <v>8724.6099999999988</v>
      </c>
      <c r="L17" s="378"/>
      <c r="M17" s="378"/>
      <c r="N17" s="379"/>
      <c r="O17" s="377">
        <f>SUM(O8:O16)</f>
        <v>4322.7000000000007</v>
      </c>
      <c r="P17" s="378"/>
      <c r="Q17" s="378"/>
      <c r="R17" s="379"/>
      <c r="S17" s="377">
        <f>SUM(S8:S16)</f>
        <v>5958.3200000000015</v>
      </c>
      <c r="T17" s="378"/>
      <c r="U17" s="378"/>
      <c r="V17" s="379"/>
      <c r="W17" s="377">
        <f>SUM(W8:W16)</f>
        <v>4093.3200000000006</v>
      </c>
      <c r="X17" s="378"/>
      <c r="Y17" s="378"/>
      <c r="Z17" s="379"/>
      <c r="AA17" s="377">
        <f>SUM(AA8:AA16)</f>
        <v>4513.7400000000007</v>
      </c>
      <c r="AB17" s="378"/>
      <c r="AC17" s="378"/>
      <c r="AD17" s="379"/>
      <c r="AE17" s="377">
        <f>SUM(AE8:AE16)</f>
        <v>0</v>
      </c>
      <c r="AF17" s="378"/>
      <c r="AG17" s="378"/>
      <c r="AH17" s="379"/>
      <c r="AI17" s="377">
        <f>SUM(AI8:AI16)</f>
        <v>0</v>
      </c>
      <c r="AJ17" s="378"/>
      <c r="AK17" s="378"/>
      <c r="AL17" s="379"/>
      <c r="AM17" s="377">
        <f>SUM(AM8:AM16)</f>
        <v>0</v>
      </c>
      <c r="AN17" s="378"/>
      <c r="AO17" s="378"/>
      <c r="AP17" s="379"/>
      <c r="AQ17" s="377">
        <f>SUM(AQ8:AQ16)</f>
        <v>0</v>
      </c>
      <c r="AR17" s="378"/>
      <c r="AS17" s="378"/>
      <c r="AT17" s="379"/>
      <c r="AU17" s="377">
        <f>SUM(AU8:AU16)</f>
        <v>0</v>
      </c>
      <c r="AV17" s="378"/>
      <c r="AW17" s="378"/>
      <c r="AX17" s="379"/>
      <c r="AZ17" s="227">
        <f>SUM(AZ8:AZ16)</f>
        <v>36125.93</v>
      </c>
      <c r="BA17" s="112">
        <f ca="1">AZ17/BC$17</f>
        <v>5160.8471428571429</v>
      </c>
      <c r="BB17" s="1" t="s">
        <v>83</v>
      </c>
      <c r="BC17" s="1">
        <f ca="1">MONTH(TODAY())</f>
        <v>7</v>
      </c>
      <c r="BD17" s="39"/>
    </row>
    <row r="18" spans="1:62" ht="32.25" customHeight="1" thickTop="1" thickBot="1">
      <c r="A18" s="10"/>
      <c r="B18" s="10"/>
      <c r="C18" s="380"/>
      <c r="D18" s="380"/>
      <c r="E18" s="380"/>
      <c r="F18" s="380"/>
      <c r="G18" s="380"/>
      <c r="H18" s="380"/>
      <c r="I18" s="380"/>
      <c r="J18" s="380"/>
      <c r="K18" s="380"/>
      <c r="L18" s="380"/>
      <c r="M18" s="380"/>
      <c r="N18" s="380"/>
      <c r="O18" s="380"/>
      <c r="P18" s="380"/>
      <c r="Q18" s="380"/>
      <c r="R18" s="380"/>
      <c r="S18" s="380"/>
      <c r="T18" s="380"/>
      <c r="U18" s="380"/>
      <c r="V18" s="380"/>
      <c r="W18" s="380"/>
      <c r="X18" s="380"/>
      <c r="Y18" s="380"/>
      <c r="Z18" s="380"/>
      <c r="AA18" s="380"/>
      <c r="AB18" s="380"/>
      <c r="AC18" s="380"/>
      <c r="AD18" s="380"/>
      <c r="AE18" s="380"/>
      <c r="AF18" s="380"/>
      <c r="AG18" s="380"/>
      <c r="AH18" s="380"/>
      <c r="AI18" s="380"/>
      <c r="AJ18" s="380"/>
      <c r="AK18" s="380"/>
      <c r="AL18" s="380"/>
      <c r="AM18" s="380"/>
      <c r="AN18" s="380"/>
      <c r="AO18" s="380"/>
      <c r="AP18" s="380"/>
      <c r="AQ18" s="380"/>
      <c r="AR18" s="380"/>
      <c r="AS18" s="380"/>
      <c r="AT18" s="380"/>
      <c r="AU18" s="380" t="s">
        <v>173</v>
      </c>
      <c r="AV18" s="380"/>
      <c r="AW18" s="380"/>
      <c r="AX18" s="380"/>
      <c r="AZ18" s="131">
        <f>(2500*13)+(600*12)+(550*12)+(95*12)</f>
        <v>47440</v>
      </c>
      <c r="BA18" s="131">
        <f ca="1">12*BA17</f>
        <v>61930.165714285715</v>
      </c>
      <c r="BB18" s="1"/>
      <c r="BC18" s="1"/>
    </row>
    <row r="19" spans="1:62" ht="17.25" thickTop="1" thickBot="1">
      <c r="A19" s="24" t="s">
        <v>7</v>
      </c>
      <c r="B19" s="24" t="s">
        <v>210</v>
      </c>
      <c r="C19" s="178" t="s">
        <v>54</v>
      </c>
      <c r="D19" s="179" t="s">
        <v>211</v>
      </c>
      <c r="E19" s="179" t="s">
        <v>9</v>
      </c>
      <c r="F19" s="180" t="s">
        <v>10</v>
      </c>
      <c r="G19" s="178" t="s">
        <v>54</v>
      </c>
      <c r="H19" s="179" t="s">
        <v>211</v>
      </c>
      <c r="I19" s="179" t="s">
        <v>9</v>
      </c>
      <c r="J19" s="180" t="s">
        <v>10</v>
      </c>
      <c r="K19" s="178" t="s">
        <v>54</v>
      </c>
      <c r="L19" s="179" t="s">
        <v>211</v>
      </c>
      <c r="M19" s="179" t="s">
        <v>9</v>
      </c>
      <c r="N19" s="180" t="s">
        <v>10</v>
      </c>
      <c r="O19" s="178" t="s">
        <v>54</v>
      </c>
      <c r="P19" s="179" t="s">
        <v>211</v>
      </c>
      <c r="Q19" s="179" t="s">
        <v>9</v>
      </c>
      <c r="R19" s="180" t="s">
        <v>10</v>
      </c>
      <c r="S19" s="178" t="s">
        <v>54</v>
      </c>
      <c r="T19" s="179" t="s">
        <v>211</v>
      </c>
      <c r="U19" s="179" t="s">
        <v>9</v>
      </c>
      <c r="V19" s="180" t="s">
        <v>10</v>
      </c>
      <c r="W19" s="178" t="s">
        <v>54</v>
      </c>
      <c r="X19" s="179" t="s">
        <v>211</v>
      </c>
      <c r="Y19" s="179" t="s">
        <v>9</v>
      </c>
      <c r="Z19" s="180" t="s">
        <v>10</v>
      </c>
      <c r="AA19" s="178" t="s">
        <v>54</v>
      </c>
      <c r="AB19" s="179" t="s">
        <v>211</v>
      </c>
      <c r="AC19" s="179" t="s">
        <v>9</v>
      </c>
      <c r="AD19" s="180" t="s">
        <v>10</v>
      </c>
      <c r="AE19" s="178" t="s">
        <v>54</v>
      </c>
      <c r="AF19" s="179" t="s">
        <v>211</v>
      </c>
      <c r="AG19" s="179" t="s">
        <v>9</v>
      </c>
      <c r="AH19" s="180" t="s">
        <v>10</v>
      </c>
      <c r="AI19" s="178" t="s">
        <v>54</v>
      </c>
      <c r="AJ19" s="179" t="s">
        <v>211</v>
      </c>
      <c r="AK19" s="179" t="s">
        <v>9</v>
      </c>
      <c r="AL19" s="180" t="s">
        <v>10</v>
      </c>
      <c r="AM19" s="178" t="s">
        <v>54</v>
      </c>
      <c r="AN19" s="179" t="s">
        <v>211</v>
      </c>
      <c r="AO19" s="179" t="s">
        <v>9</v>
      </c>
      <c r="AP19" s="180" t="s">
        <v>10</v>
      </c>
      <c r="AQ19" s="178" t="s">
        <v>54</v>
      </c>
      <c r="AR19" s="179" t="s">
        <v>211</v>
      </c>
      <c r="AS19" s="179" t="s">
        <v>9</v>
      </c>
      <c r="AT19" s="180" t="s">
        <v>10</v>
      </c>
      <c r="AU19" s="178" t="s">
        <v>54</v>
      </c>
      <c r="AV19" s="179" t="s">
        <v>211</v>
      </c>
      <c r="AW19" s="179" t="s">
        <v>9</v>
      </c>
      <c r="AX19" s="180" t="s">
        <v>10</v>
      </c>
      <c r="AZ19" s="12" t="s">
        <v>11</v>
      </c>
      <c r="BA19" s="13" t="s">
        <v>12</v>
      </c>
      <c r="BB19" s="13" t="s">
        <v>13</v>
      </c>
      <c r="BC19" s="13" t="s">
        <v>14</v>
      </c>
      <c r="BE19" s="12" t="s">
        <v>189</v>
      </c>
      <c r="BF19" s="13" t="s">
        <v>192</v>
      </c>
      <c r="BG19" s="13" t="s">
        <v>190</v>
      </c>
      <c r="BH19" s="13" t="s">
        <v>191</v>
      </c>
      <c r="BJ19" s="12" t="s">
        <v>231</v>
      </c>
    </row>
    <row r="20" spans="1:62" ht="15.75">
      <c r="A20" s="141" t="s">
        <v>176</v>
      </c>
      <c r="B20" s="142">
        <v>448.77999999999963</v>
      </c>
      <c r="C20" s="143" t="s">
        <v>0</v>
      </c>
      <c r="D20" s="144">
        <f>'01'!B20</f>
        <v>659.77</v>
      </c>
      <c r="E20" s="144">
        <f>SUM('01'!D20:F20)</f>
        <v>441.83</v>
      </c>
      <c r="F20" s="145">
        <f t="shared" ref="F20:F45" si="2">B20+D20-E20</f>
        <v>666.7199999999998</v>
      </c>
      <c r="G20" s="143" t="s">
        <v>1</v>
      </c>
      <c r="H20" s="144">
        <f>'02'!B20</f>
        <v>376.58</v>
      </c>
      <c r="I20" s="144">
        <f>SUM('02'!D20:F20)</f>
        <v>416.73</v>
      </c>
      <c r="J20" s="145">
        <f t="shared" ref="J20:J45" si="3">F20+H20-I20</f>
        <v>626.56999999999971</v>
      </c>
      <c r="K20" s="143" t="s">
        <v>2</v>
      </c>
      <c r="L20" s="144">
        <f>'03'!B20</f>
        <v>676.39</v>
      </c>
      <c r="M20" s="144">
        <f>SUM('03'!D20:F20)</f>
        <v>1277.6399999999999</v>
      </c>
      <c r="N20" s="145">
        <f t="shared" ref="N20:N45" si="4">J20+L20-M20</f>
        <v>25.319999999999709</v>
      </c>
      <c r="O20" s="143" t="s">
        <v>3</v>
      </c>
      <c r="P20" s="144">
        <f>'04'!B20</f>
        <v>544</v>
      </c>
      <c r="Q20" s="144">
        <f>SUM('04'!D20:F20)</f>
        <v>547.76</v>
      </c>
      <c r="R20" s="145">
        <f t="shared" ref="R20:R45" si="5">N20+P20-Q20</f>
        <v>21.559999999999718</v>
      </c>
      <c r="S20" s="143" t="s">
        <v>71</v>
      </c>
      <c r="T20" s="144">
        <f>'05'!B20</f>
        <v>646.44000000000005</v>
      </c>
      <c r="U20" s="144">
        <f>SUM('05'!D20:F20)</f>
        <v>445.32</v>
      </c>
      <c r="V20" s="145">
        <f t="shared" ref="V20:V45" si="6">R20+T20-U20</f>
        <v>222.67999999999978</v>
      </c>
      <c r="W20" s="143" t="s">
        <v>70</v>
      </c>
      <c r="X20" s="144">
        <f>'06'!B20</f>
        <v>560.74</v>
      </c>
      <c r="Y20" s="144">
        <f>SUM('06'!D20:F20)</f>
        <v>561.06999999999994</v>
      </c>
      <c r="Z20" s="145">
        <f t="shared" ref="Z20:Z45" si="7">V20+X20-Y20</f>
        <v>222.34999999999991</v>
      </c>
      <c r="AA20" s="143" t="s">
        <v>72</v>
      </c>
      <c r="AB20" s="144">
        <f>'07'!B20</f>
        <v>643.1</v>
      </c>
      <c r="AC20" s="144">
        <f>SUM('07'!D20:F20)</f>
        <v>42.230000000000004</v>
      </c>
      <c r="AD20" s="145">
        <f t="shared" ref="AD20:AD45" si="8">Z20+AB20-AC20</f>
        <v>823.21999999999991</v>
      </c>
      <c r="AE20" s="143" t="s">
        <v>73</v>
      </c>
      <c r="AF20" s="144">
        <f>'08'!B20</f>
        <v>544</v>
      </c>
      <c r="AG20" s="144">
        <f>SUM('08'!D20:F20)</f>
        <v>0</v>
      </c>
      <c r="AH20" s="145">
        <f t="shared" ref="AH20:AH45" si="9">AD20+AF20-AG20</f>
        <v>1367.2199999999998</v>
      </c>
      <c r="AI20" s="143" t="s">
        <v>76</v>
      </c>
      <c r="AJ20" s="144">
        <f>'09'!B20</f>
        <v>544</v>
      </c>
      <c r="AK20" s="144">
        <f>SUM('09'!D20:F20)</f>
        <v>0</v>
      </c>
      <c r="AL20" s="145">
        <f t="shared" ref="AL20:AL45" si="10">AH20+AJ20-AK20</f>
        <v>1911.2199999999998</v>
      </c>
      <c r="AM20" s="143" t="s">
        <v>77</v>
      </c>
      <c r="AN20" s="144">
        <f>'10'!B20</f>
        <v>544</v>
      </c>
      <c r="AO20" s="144">
        <f>SUM('10'!D20:F20)</f>
        <v>0</v>
      </c>
      <c r="AP20" s="145">
        <f t="shared" ref="AP20:AP45" si="11">AL20+AN20-AO20</f>
        <v>2455.2199999999998</v>
      </c>
      <c r="AQ20" s="143" t="s">
        <v>80</v>
      </c>
      <c r="AR20" s="144">
        <f>'11'!B20</f>
        <v>544</v>
      </c>
      <c r="AS20" s="144">
        <f>SUM('11'!D20:F20)</f>
        <v>0</v>
      </c>
      <c r="AT20" s="145">
        <f t="shared" ref="AT20:AT45" si="12">AP20+AR20-AS20</f>
        <v>2999.22</v>
      </c>
      <c r="AU20" s="143" t="s">
        <v>84</v>
      </c>
      <c r="AV20" s="144">
        <f>'12'!B20</f>
        <v>544</v>
      </c>
      <c r="AW20" s="144">
        <f>SUM('12'!D20:F20)</f>
        <v>0</v>
      </c>
      <c r="AX20" s="145">
        <f t="shared" ref="AX20:AX45" si="13">AT20+AV20-AW20</f>
        <v>3543.22</v>
      </c>
      <c r="AZ20" s="123">
        <f t="shared" ref="AZ20:AZ27" si="14">E20+I20+M20+Q20+U20+Y20+AC20+AG20+AK20+AO20+AS20+AW20</f>
        <v>3732.5800000000004</v>
      </c>
      <c r="BA20" s="21">
        <f t="shared" ref="BA20:BA45" si="15">AZ20/AZ$46</f>
        <v>0.11420058853729086</v>
      </c>
      <c r="BB20" s="22">
        <f>_xlfn.RANK.EQ(BA20,$BA$20:$BA$45,)</f>
        <v>3</v>
      </c>
      <c r="BC20" s="22">
        <f t="shared" ref="BC20:BC45" ca="1" si="16">AZ20/BC$17</f>
        <v>533.22571428571439</v>
      </c>
      <c r="BE20" s="223">
        <f t="shared" ref="BE20:BE45" ca="1" si="17">D20+IF(BC$17&lt;2,0,H20)+IF(BC$17&lt;3,0,L20)+IF(BC$17&lt;4,0,P20)+IF(BC$17&lt;5,0,T20)+IF(BC$17&lt;6,0,X20)+IF(BC$17&lt;7,0,AB20)+IF(BC$17&lt;8,0,AF20)+IF(BC$17&lt;9,0,AJ20)+IF(BC$17&lt;10,0,AN20)+IF(BC$17&lt;11,0,AR20)+IF(BC$17&lt;12,0,AV20)</f>
        <v>4107.0200000000004</v>
      </c>
      <c r="BF20" s="21">
        <f t="shared" ref="BF20:BF45" ca="1" si="18">BE20/BE$46</f>
        <v>0.11368620821664664</v>
      </c>
      <c r="BG20" s="22">
        <f ca="1">_xlfn.RANK.EQ(BF20,$BF$20:$BF$45,)</f>
        <v>3</v>
      </c>
      <c r="BH20" s="22">
        <f t="shared" ref="BH20:BH45" ca="1" si="19">BE20/BC$17</f>
        <v>586.7171428571429</v>
      </c>
      <c r="BJ20" s="223">
        <f ca="1">IF(BC$17&lt;2,F20,IF(BC$17&lt;3,J20,IF(BC$17&lt;4,N20,IF(BC$17&lt;5,R20,IF(BC$17&lt;6,V20,IF(BC$17&lt;7,Z20,IF(BC$17&lt;8,AD20,IF(BC$17&lt;9,AH20,IF(BC$17&lt;10,AL20,IF(BC$17&lt;11,AP20,IF(BC$17&lt;12,AT20,IF(BC$17&lt;13,AX20,0))))))))))))-B20</f>
        <v>374.44000000000028</v>
      </c>
    </row>
    <row r="21" spans="1:62" ht="15.75">
      <c r="A21" s="146" t="s">
        <v>49</v>
      </c>
      <c r="B21" s="147">
        <v>652.85999999999967</v>
      </c>
      <c r="C21" s="148" t="s">
        <v>0</v>
      </c>
      <c r="D21" s="149">
        <f>'01'!B40</f>
        <v>1213</v>
      </c>
      <c r="E21" s="150">
        <f>SUM('01'!D40:F40)</f>
        <v>1169.95</v>
      </c>
      <c r="F21" s="151">
        <f t="shared" si="2"/>
        <v>695.90999999999963</v>
      </c>
      <c r="G21" s="148" t="s">
        <v>1</v>
      </c>
      <c r="H21" s="149">
        <f>'02'!B40</f>
        <v>1128</v>
      </c>
      <c r="I21" s="150">
        <f>SUM('02'!D40:F40)</f>
        <v>1084.95</v>
      </c>
      <c r="J21" s="151">
        <f t="shared" si="3"/>
        <v>738.95999999999958</v>
      </c>
      <c r="K21" s="148" t="s">
        <v>2</v>
      </c>
      <c r="L21" s="149">
        <f>'03'!B40</f>
        <v>1128</v>
      </c>
      <c r="M21" s="150">
        <f>SUM('03'!D40:F40)</f>
        <v>1495.23</v>
      </c>
      <c r="N21" s="151">
        <f t="shared" si="4"/>
        <v>371.72999999999956</v>
      </c>
      <c r="O21" s="148" t="s">
        <v>3</v>
      </c>
      <c r="P21" s="149">
        <f>'04'!B40</f>
        <v>1148</v>
      </c>
      <c r="Q21" s="150">
        <f>SUM('04'!D40:F40)</f>
        <v>1103.94</v>
      </c>
      <c r="R21" s="151">
        <f t="shared" si="5"/>
        <v>415.78999999999951</v>
      </c>
      <c r="S21" s="148" t="s">
        <v>71</v>
      </c>
      <c r="T21" s="149">
        <f>'05'!B40</f>
        <v>1148</v>
      </c>
      <c r="U21" s="150">
        <f>SUM('05'!D40:F40)</f>
        <v>1271.76</v>
      </c>
      <c r="V21" s="151">
        <f t="shared" si="6"/>
        <v>292.02999999999952</v>
      </c>
      <c r="W21" s="148" t="s">
        <v>70</v>
      </c>
      <c r="X21" s="149">
        <f>'06'!B40</f>
        <v>1148</v>
      </c>
      <c r="Y21" s="150">
        <f>SUM('06'!D40:F40)</f>
        <v>1103.94</v>
      </c>
      <c r="Z21" s="151">
        <f t="shared" si="7"/>
        <v>336.08999999999946</v>
      </c>
      <c r="AA21" s="148" t="s">
        <v>72</v>
      </c>
      <c r="AB21" s="149">
        <f>'07'!B40</f>
        <v>1148</v>
      </c>
      <c r="AC21" s="150">
        <f>SUM('07'!D40:F40)</f>
        <v>1103.94</v>
      </c>
      <c r="AD21" s="151">
        <f t="shared" si="8"/>
        <v>380.14999999999941</v>
      </c>
      <c r="AE21" s="148" t="s">
        <v>73</v>
      </c>
      <c r="AF21" s="149">
        <f>'08'!B40</f>
        <v>1148</v>
      </c>
      <c r="AG21" s="150">
        <f>SUM('08'!D40:F40)</f>
        <v>0</v>
      </c>
      <c r="AH21" s="151">
        <f t="shared" si="9"/>
        <v>1528.1499999999994</v>
      </c>
      <c r="AI21" s="148" t="s">
        <v>76</v>
      </c>
      <c r="AJ21" s="149">
        <f>'09'!B40</f>
        <v>1128</v>
      </c>
      <c r="AK21" s="150">
        <f>SUM('09'!D40:F40)</f>
        <v>0</v>
      </c>
      <c r="AL21" s="151">
        <f t="shared" si="10"/>
        <v>2656.1499999999996</v>
      </c>
      <c r="AM21" s="148" t="s">
        <v>77</v>
      </c>
      <c r="AN21" s="149">
        <f>'10'!B40</f>
        <v>1128</v>
      </c>
      <c r="AO21" s="150">
        <f>SUM('10'!D40:F40)</f>
        <v>0</v>
      </c>
      <c r="AP21" s="151">
        <f t="shared" si="11"/>
        <v>3784.1499999999996</v>
      </c>
      <c r="AQ21" s="148" t="s">
        <v>80</v>
      </c>
      <c r="AR21" s="149">
        <f>'11'!B40</f>
        <v>1128</v>
      </c>
      <c r="AS21" s="150">
        <f>SUM('11'!D40:F40)</f>
        <v>0</v>
      </c>
      <c r="AT21" s="151">
        <f t="shared" si="12"/>
        <v>4912.1499999999996</v>
      </c>
      <c r="AU21" s="148" t="s">
        <v>84</v>
      </c>
      <c r="AV21" s="149">
        <f>'12'!B40</f>
        <v>1128</v>
      </c>
      <c r="AW21" s="150">
        <f>SUM('12'!D40:F40)</f>
        <v>0</v>
      </c>
      <c r="AX21" s="151">
        <f t="shared" si="13"/>
        <v>6040.15</v>
      </c>
      <c r="AZ21" s="152">
        <f t="shared" si="14"/>
        <v>8333.7100000000009</v>
      </c>
      <c r="BA21" s="21">
        <f t="shared" si="15"/>
        <v>0.25497500032125398</v>
      </c>
      <c r="BB21" s="22">
        <f t="shared" ref="BB21:BB45" si="20">_xlfn.RANK.EQ(BA21,$BA$20:$BA$45,)</f>
        <v>1</v>
      </c>
      <c r="BC21" s="22">
        <f t="shared" ca="1" si="16"/>
        <v>1190.5300000000002</v>
      </c>
      <c r="BE21" s="224">
        <f t="shared" ca="1" si="17"/>
        <v>8061</v>
      </c>
      <c r="BF21" s="21">
        <f t="shared" ca="1" si="18"/>
        <v>0.22313612410808528</v>
      </c>
      <c r="BG21" s="22">
        <f t="shared" ref="BG21:BG45" ca="1" si="21">_xlfn.RANK.EQ(BF21,$BF$20:$BF$45,)</f>
        <v>1</v>
      </c>
      <c r="BH21" s="22">
        <f t="shared" ca="1" si="19"/>
        <v>1151.5714285714287</v>
      </c>
      <c r="BJ21" s="224">
        <f t="shared" ref="BJ21:BJ45" ca="1" si="22">IF(BC$17&lt;2,F21,IF(BC$17&lt;3,J21,IF(BC$17&lt;4,N21,IF(BC$17&lt;5,R21,IF(BC$17&lt;6,V21,IF(BC$17&lt;7,Z21,IF(BC$17&lt;8,AD21,IF(BC$17&lt;9,AH21,IF(BC$17&lt;10,AL21,IF(BC$17&lt;11,AP21,IF(BC$17&lt;12,AT21,IF(BC$17&lt;13,AX21,0))))))))))))-B21</f>
        <v>-272.71000000000026</v>
      </c>
    </row>
    <row r="22" spans="1:62" ht="15.75">
      <c r="A22" s="153" t="s">
        <v>15</v>
      </c>
      <c r="B22" s="154">
        <v>246.07000000000016</v>
      </c>
      <c r="C22" s="143" t="s">
        <v>0</v>
      </c>
      <c r="D22" s="155">
        <f>'01'!B60</f>
        <v>470</v>
      </c>
      <c r="E22" s="155">
        <f>SUM('01'!D60:F60)</f>
        <v>508.36</v>
      </c>
      <c r="F22" s="156">
        <f t="shared" si="2"/>
        <v>207.71000000000015</v>
      </c>
      <c r="G22" s="143" t="s">
        <v>1</v>
      </c>
      <c r="H22" s="155">
        <f>'02'!B60</f>
        <v>450</v>
      </c>
      <c r="I22" s="155">
        <f>SUM('02'!D60:F60)</f>
        <v>396.26</v>
      </c>
      <c r="J22" s="156">
        <f t="shared" si="3"/>
        <v>261.45000000000016</v>
      </c>
      <c r="K22" s="143" t="s">
        <v>2</v>
      </c>
      <c r="L22" s="155">
        <f>'03'!B60</f>
        <v>440</v>
      </c>
      <c r="M22" s="155">
        <f>SUM('03'!D60:F60)</f>
        <v>345.88000000000005</v>
      </c>
      <c r="N22" s="156">
        <f t="shared" si="4"/>
        <v>355.57000000000011</v>
      </c>
      <c r="O22" s="143" t="s">
        <v>3</v>
      </c>
      <c r="P22" s="155">
        <f>'04'!B60</f>
        <v>194</v>
      </c>
      <c r="Q22" s="155">
        <f>SUM('04'!D60:F60)</f>
        <v>35.410000000000004</v>
      </c>
      <c r="R22" s="156">
        <f t="shared" si="5"/>
        <v>514.1600000000002</v>
      </c>
      <c r="S22" s="143" t="s">
        <v>71</v>
      </c>
      <c r="T22" s="155">
        <f>'05'!B60</f>
        <v>300</v>
      </c>
      <c r="U22" s="155">
        <f>SUM('05'!D60:F60)</f>
        <v>331.26</v>
      </c>
      <c r="V22" s="156">
        <f t="shared" si="6"/>
        <v>482.9000000000002</v>
      </c>
      <c r="W22" s="143" t="s">
        <v>70</v>
      </c>
      <c r="X22" s="155">
        <f>'06'!B60</f>
        <v>300</v>
      </c>
      <c r="Y22" s="155">
        <f>SUM('06'!D60:F60)</f>
        <v>293.22000000000003</v>
      </c>
      <c r="Z22" s="156">
        <f t="shared" si="7"/>
        <v>489.68000000000018</v>
      </c>
      <c r="AA22" s="143" t="s">
        <v>72</v>
      </c>
      <c r="AB22" s="155">
        <f>'07'!B60</f>
        <v>255.37</v>
      </c>
      <c r="AC22" s="155">
        <f>SUM('07'!D60:F60)</f>
        <v>33.099999999999994</v>
      </c>
      <c r="AD22" s="156">
        <f t="shared" si="8"/>
        <v>711.95000000000016</v>
      </c>
      <c r="AE22" s="143" t="s">
        <v>73</v>
      </c>
      <c r="AF22" s="155">
        <f>'08'!B60</f>
        <v>300</v>
      </c>
      <c r="AG22" s="155">
        <f>SUM('08'!D60:F60)</f>
        <v>0</v>
      </c>
      <c r="AH22" s="156">
        <f t="shared" si="9"/>
        <v>1011.9500000000002</v>
      </c>
      <c r="AI22" s="143" t="s">
        <v>76</v>
      </c>
      <c r="AJ22" s="155">
        <f>'09'!B60</f>
        <v>490</v>
      </c>
      <c r="AK22" s="155">
        <f>SUM('09'!D60:F60)</f>
        <v>0</v>
      </c>
      <c r="AL22" s="156">
        <f t="shared" si="10"/>
        <v>1501.9500000000003</v>
      </c>
      <c r="AM22" s="143" t="s">
        <v>77</v>
      </c>
      <c r="AN22" s="155">
        <f>'10'!B60</f>
        <v>490</v>
      </c>
      <c r="AO22" s="155">
        <f>SUM('10'!D60:F60)</f>
        <v>0</v>
      </c>
      <c r="AP22" s="156">
        <f t="shared" si="11"/>
        <v>1991.9500000000003</v>
      </c>
      <c r="AQ22" s="143" t="s">
        <v>80</v>
      </c>
      <c r="AR22" s="155">
        <f>'11'!B60</f>
        <v>490</v>
      </c>
      <c r="AS22" s="155">
        <f>SUM('11'!D60:F60)</f>
        <v>0</v>
      </c>
      <c r="AT22" s="156">
        <f t="shared" si="12"/>
        <v>2481.9500000000003</v>
      </c>
      <c r="AU22" s="143" t="s">
        <v>84</v>
      </c>
      <c r="AV22" s="155">
        <f>'12'!B60</f>
        <v>490</v>
      </c>
      <c r="AW22" s="155">
        <f>SUM('12'!D60:F60)</f>
        <v>0</v>
      </c>
      <c r="AX22" s="156">
        <f t="shared" si="13"/>
        <v>2971.9500000000003</v>
      </c>
      <c r="AZ22" s="157">
        <f t="shared" si="14"/>
        <v>1943.49</v>
      </c>
      <c r="BA22" s="21">
        <f t="shared" si="15"/>
        <v>5.9462275910051328E-2</v>
      </c>
      <c r="BB22" s="22">
        <f t="shared" si="20"/>
        <v>6</v>
      </c>
      <c r="BC22" s="22">
        <f t="shared" ca="1" si="16"/>
        <v>277.64142857142855</v>
      </c>
      <c r="BE22" s="225">
        <f t="shared" ca="1" si="17"/>
        <v>2409.37</v>
      </c>
      <c r="BF22" s="21">
        <f t="shared" ca="1" si="18"/>
        <v>6.6693646364259701E-2</v>
      </c>
      <c r="BG22" s="22">
        <f t="shared" ca="1" si="21"/>
        <v>6</v>
      </c>
      <c r="BH22" s="22">
        <f t="shared" ca="1" si="19"/>
        <v>344.19571428571425</v>
      </c>
      <c r="BJ22" s="225">
        <f t="shared" ca="1" si="22"/>
        <v>465.88</v>
      </c>
    </row>
    <row r="23" spans="1:62" ht="15.75">
      <c r="A23" s="146" t="s">
        <v>16</v>
      </c>
      <c r="B23" s="147">
        <v>42.130000000000024</v>
      </c>
      <c r="C23" s="148" t="s">
        <v>0</v>
      </c>
      <c r="D23" s="149">
        <f>'01'!B80</f>
        <v>170</v>
      </c>
      <c r="E23" s="150">
        <f>SUM('01'!D80:F80)</f>
        <v>166.79</v>
      </c>
      <c r="F23" s="151">
        <f t="shared" si="2"/>
        <v>45.340000000000032</v>
      </c>
      <c r="G23" s="148" t="s">
        <v>1</v>
      </c>
      <c r="H23" s="149">
        <f>'02'!B80</f>
        <v>180</v>
      </c>
      <c r="I23" s="150">
        <f>SUM('02'!D80:F80)</f>
        <v>175.64</v>
      </c>
      <c r="J23" s="151">
        <f t="shared" si="3"/>
        <v>49.700000000000045</v>
      </c>
      <c r="K23" s="148" t="s">
        <v>2</v>
      </c>
      <c r="L23" s="149">
        <f>'03'!B80</f>
        <v>280</v>
      </c>
      <c r="M23" s="150">
        <f>SUM('03'!D80:F80)</f>
        <v>256.52</v>
      </c>
      <c r="N23" s="151">
        <f t="shared" si="4"/>
        <v>73.180000000000064</v>
      </c>
      <c r="O23" s="148" t="s">
        <v>3</v>
      </c>
      <c r="P23" s="149">
        <f>'04'!B80</f>
        <v>120</v>
      </c>
      <c r="Q23" s="150">
        <f>SUM('04'!D80:F80)</f>
        <v>51</v>
      </c>
      <c r="R23" s="151">
        <f t="shared" si="5"/>
        <v>142.18000000000006</v>
      </c>
      <c r="S23" s="148" t="s">
        <v>71</v>
      </c>
      <c r="T23" s="149">
        <f>'05'!B80</f>
        <v>170</v>
      </c>
      <c r="U23" s="150">
        <f>SUM('05'!D80:F80)</f>
        <v>212.85</v>
      </c>
      <c r="V23" s="151">
        <f t="shared" si="6"/>
        <v>99.330000000000069</v>
      </c>
      <c r="W23" s="148" t="s">
        <v>70</v>
      </c>
      <c r="X23" s="149">
        <f>'06'!B80</f>
        <v>145</v>
      </c>
      <c r="Y23" s="150">
        <f>SUM('06'!D80:F80)</f>
        <v>142.65</v>
      </c>
      <c r="Z23" s="151">
        <f t="shared" si="7"/>
        <v>101.68000000000006</v>
      </c>
      <c r="AA23" s="148" t="s">
        <v>72</v>
      </c>
      <c r="AB23" s="149">
        <f>'07'!B80</f>
        <v>170</v>
      </c>
      <c r="AC23" s="150">
        <f>SUM('07'!D80:F80)</f>
        <v>113.3</v>
      </c>
      <c r="AD23" s="151">
        <f t="shared" si="8"/>
        <v>158.38000000000005</v>
      </c>
      <c r="AE23" s="148" t="s">
        <v>73</v>
      </c>
      <c r="AF23" s="149">
        <f>'08'!B80</f>
        <v>170</v>
      </c>
      <c r="AG23" s="150">
        <f>SUM('08'!D80:F80)</f>
        <v>0</v>
      </c>
      <c r="AH23" s="151">
        <f t="shared" si="9"/>
        <v>328.38000000000005</v>
      </c>
      <c r="AI23" s="148" t="s">
        <v>76</v>
      </c>
      <c r="AJ23" s="149">
        <f>'09'!B80</f>
        <v>150</v>
      </c>
      <c r="AK23" s="150">
        <f>SUM('09'!D80:F80)</f>
        <v>0</v>
      </c>
      <c r="AL23" s="151">
        <f t="shared" si="10"/>
        <v>478.38000000000005</v>
      </c>
      <c r="AM23" s="148" t="s">
        <v>77</v>
      </c>
      <c r="AN23" s="149">
        <f>'10'!B80</f>
        <v>150</v>
      </c>
      <c r="AO23" s="150">
        <f>SUM('10'!D80:F80)</f>
        <v>0</v>
      </c>
      <c r="AP23" s="151">
        <f t="shared" si="11"/>
        <v>628.38000000000011</v>
      </c>
      <c r="AQ23" s="148" t="s">
        <v>80</v>
      </c>
      <c r="AR23" s="149">
        <f>'11'!B80</f>
        <v>150</v>
      </c>
      <c r="AS23" s="150">
        <f>SUM('11'!D80:F80)</f>
        <v>0</v>
      </c>
      <c r="AT23" s="151">
        <f t="shared" si="12"/>
        <v>778.38000000000011</v>
      </c>
      <c r="AU23" s="148" t="s">
        <v>84</v>
      </c>
      <c r="AV23" s="149">
        <f>'12'!B80</f>
        <v>150</v>
      </c>
      <c r="AW23" s="150">
        <f>SUM('12'!D80:F80)</f>
        <v>0</v>
      </c>
      <c r="AX23" s="151">
        <f t="shared" si="13"/>
        <v>928.38000000000011</v>
      </c>
      <c r="AZ23" s="152">
        <f t="shared" si="14"/>
        <v>1118.75</v>
      </c>
      <c r="BA23" s="21">
        <f t="shared" si="15"/>
        <v>3.4228846649259799E-2</v>
      </c>
      <c r="BB23" s="22">
        <f t="shared" si="20"/>
        <v>8</v>
      </c>
      <c r="BC23" s="22">
        <f t="shared" ca="1" si="16"/>
        <v>159.82142857142858</v>
      </c>
      <c r="BE23" s="224">
        <f t="shared" ca="1" si="17"/>
        <v>1235</v>
      </c>
      <c r="BF23" s="21">
        <f t="shared" ca="1" si="18"/>
        <v>3.4185971129324567E-2</v>
      </c>
      <c r="BG23" s="22">
        <f t="shared" ca="1" si="21"/>
        <v>10</v>
      </c>
      <c r="BH23" s="22">
        <f t="shared" ca="1" si="19"/>
        <v>176.42857142857142</v>
      </c>
      <c r="BJ23" s="224">
        <f t="shared" ca="1" si="22"/>
        <v>116.25000000000003</v>
      </c>
    </row>
    <row r="24" spans="1:62" ht="15.75">
      <c r="A24" s="153" t="s">
        <v>17</v>
      </c>
      <c r="B24" s="154">
        <v>0</v>
      </c>
      <c r="C24" s="143" t="s">
        <v>0</v>
      </c>
      <c r="D24" s="155">
        <f>'01'!B100</f>
        <v>160</v>
      </c>
      <c r="E24" s="155">
        <f>SUM('01'!D100:F100)</f>
        <v>145.01000000000002</v>
      </c>
      <c r="F24" s="156">
        <f t="shared" si="2"/>
        <v>14.989999999999981</v>
      </c>
      <c r="G24" s="143" t="s">
        <v>1</v>
      </c>
      <c r="H24" s="155">
        <f>'02'!B100</f>
        <v>160</v>
      </c>
      <c r="I24" s="155">
        <f>SUM('02'!D100:F100)</f>
        <v>147.16</v>
      </c>
      <c r="J24" s="156">
        <f t="shared" si="3"/>
        <v>27.829999999999984</v>
      </c>
      <c r="K24" s="143" t="s">
        <v>2</v>
      </c>
      <c r="L24" s="155">
        <f>'03'!B100</f>
        <v>170</v>
      </c>
      <c r="M24" s="155">
        <f>SUM('03'!D100:F100)</f>
        <v>106.09</v>
      </c>
      <c r="N24" s="156">
        <f t="shared" si="4"/>
        <v>91.739999999999981</v>
      </c>
      <c r="O24" s="143" t="s">
        <v>3</v>
      </c>
      <c r="P24" s="155">
        <f>'04'!B100</f>
        <v>160</v>
      </c>
      <c r="Q24" s="155">
        <f>SUM('04'!D100:F100)</f>
        <v>113.39</v>
      </c>
      <c r="R24" s="156">
        <f t="shared" si="5"/>
        <v>138.34999999999997</v>
      </c>
      <c r="S24" s="143" t="s">
        <v>71</v>
      </c>
      <c r="T24" s="155">
        <f>'05'!B100</f>
        <v>160</v>
      </c>
      <c r="U24" s="155">
        <f>SUM('05'!D100:F100)</f>
        <v>175.48</v>
      </c>
      <c r="V24" s="156">
        <f t="shared" si="6"/>
        <v>122.86999999999998</v>
      </c>
      <c r="W24" s="143" t="s">
        <v>70</v>
      </c>
      <c r="X24" s="155">
        <f>'06'!B100</f>
        <v>180</v>
      </c>
      <c r="Y24" s="155">
        <f>SUM('06'!D100:F100)</f>
        <v>212.86</v>
      </c>
      <c r="Z24" s="156">
        <f t="shared" si="7"/>
        <v>90.009999999999991</v>
      </c>
      <c r="AA24" s="143" t="s">
        <v>72</v>
      </c>
      <c r="AB24" s="155">
        <f>'07'!B100</f>
        <v>160</v>
      </c>
      <c r="AC24" s="155">
        <f>SUM('07'!D100:F100)</f>
        <v>47.8</v>
      </c>
      <c r="AD24" s="156">
        <f t="shared" si="8"/>
        <v>202.20999999999998</v>
      </c>
      <c r="AE24" s="143" t="s">
        <v>73</v>
      </c>
      <c r="AF24" s="155">
        <f>'08'!B100</f>
        <v>160</v>
      </c>
      <c r="AG24" s="155">
        <f>SUM('08'!D100:F100)</f>
        <v>0</v>
      </c>
      <c r="AH24" s="156">
        <f t="shared" si="9"/>
        <v>362.21</v>
      </c>
      <c r="AI24" s="143" t="s">
        <v>76</v>
      </c>
      <c r="AJ24" s="155">
        <f>'09'!B100</f>
        <v>160</v>
      </c>
      <c r="AK24" s="155">
        <f>SUM('09'!D100:F100)</f>
        <v>0</v>
      </c>
      <c r="AL24" s="156">
        <f t="shared" si="10"/>
        <v>522.21</v>
      </c>
      <c r="AM24" s="143" t="s">
        <v>77</v>
      </c>
      <c r="AN24" s="155">
        <f>'10'!B100</f>
        <v>160</v>
      </c>
      <c r="AO24" s="155">
        <f>SUM('10'!D100:F100)</f>
        <v>0</v>
      </c>
      <c r="AP24" s="156">
        <f t="shared" si="11"/>
        <v>682.21</v>
      </c>
      <c r="AQ24" s="143" t="s">
        <v>80</v>
      </c>
      <c r="AR24" s="155">
        <f>'11'!B100</f>
        <v>160</v>
      </c>
      <c r="AS24" s="155">
        <f>SUM('11'!D100:F100)</f>
        <v>0</v>
      </c>
      <c r="AT24" s="156">
        <f t="shared" si="12"/>
        <v>842.21</v>
      </c>
      <c r="AU24" s="143" t="s">
        <v>84</v>
      </c>
      <c r="AV24" s="155">
        <f>'12'!B100</f>
        <v>160</v>
      </c>
      <c r="AW24" s="155">
        <f>SUM('12'!D100:F100)</f>
        <v>0</v>
      </c>
      <c r="AX24" s="156">
        <f t="shared" si="13"/>
        <v>1002.21</v>
      </c>
      <c r="AZ24" s="157">
        <f t="shared" si="14"/>
        <v>947.79</v>
      </c>
      <c r="BA24" s="21">
        <f t="shared" si="15"/>
        <v>2.899821994699615E-2</v>
      </c>
      <c r="BB24" s="22">
        <f t="shared" si="20"/>
        <v>10</v>
      </c>
      <c r="BC24" s="22">
        <f t="shared" ca="1" si="16"/>
        <v>135.39857142857142</v>
      </c>
      <c r="BE24" s="225">
        <f t="shared" ca="1" si="17"/>
        <v>1150</v>
      </c>
      <c r="BF24" s="21">
        <f t="shared" ca="1" si="18"/>
        <v>3.1833090525281986E-2</v>
      </c>
      <c r="BG24" s="22">
        <f t="shared" ca="1" si="21"/>
        <v>11</v>
      </c>
      <c r="BH24" s="22">
        <f t="shared" ca="1" si="19"/>
        <v>164.28571428571428</v>
      </c>
      <c r="BJ24" s="225">
        <f t="shared" ca="1" si="22"/>
        <v>202.20999999999998</v>
      </c>
    </row>
    <row r="25" spans="1:62" ht="15.75">
      <c r="A25" s="146" t="s">
        <v>50</v>
      </c>
      <c r="B25" s="147">
        <v>3162.5499999999984</v>
      </c>
      <c r="C25" s="148" t="s">
        <v>0</v>
      </c>
      <c r="D25" s="149">
        <f>'01'!B120</f>
        <v>405</v>
      </c>
      <c r="E25" s="150">
        <f>SUM('01'!D120:F120)</f>
        <v>327.38</v>
      </c>
      <c r="F25" s="151">
        <f t="shared" si="2"/>
        <v>3240.1699999999983</v>
      </c>
      <c r="G25" s="148" t="s">
        <v>1</v>
      </c>
      <c r="H25" s="149">
        <f>'02'!B120</f>
        <v>405</v>
      </c>
      <c r="I25" s="150">
        <f>SUM('02'!D120:F120)</f>
        <v>327.38</v>
      </c>
      <c r="J25" s="151">
        <f t="shared" si="3"/>
        <v>3317.7899999999981</v>
      </c>
      <c r="K25" s="148" t="s">
        <v>2</v>
      </c>
      <c r="L25" s="149">
        <f>'03'!B120</f>
        <v>-865</v>
      </c>
      <c r="M25" s="150">
        <f>SUM('03'!D120:F120)</f>
        <v>327.38</v>
      </c>
      <c r="N25" s="151">
        <f t="shared" si="4"/>
        <v>2125.409999999998</v>
      </c>
      <c r="O25" s="148" t="s">
        <v>3</v>
      </c>
      <c r="P25" s="149">
        <f>'04'!B120</f>
        <v>1933.35</v>
      </c>
      <c r="Q25" s="150">
        <f>SUM('04'!D120:F120)</f>
        <v>391.38</v>
      </c>
      <c r="R25" s="151">
        <f t="shared" si="5"/>
        <v>3667.3799999999978</v>
      </c>
      <c r="S25" s="148" t="s">
        <v>71</v>
      </c>
      <c r="T25" s="149">
        <f>'05'!B120</f>
        <v>-485</v>
      </c>
      <c r="U25" s="150">
        <f>SUM('05'!D120:F120)</f>
        <v>327.38</v>
      </c>
      <c r="V25" s="151">
        <f t="shared" si="6"/>
        <v>2854.9999999999977</v>
      </c>
      <c r="W25" s="148" t="s">
        <v>70</v>
      </c>
      <c r="X25" s="149">
        <f>'06'!B120</f>
        <v>445</v>
      </c>
      <c r="Y25" s="150">
        <f>SUM('06'!D120:F120)</f>
        <v>327.38</v>
      </c>
      <c r="Z25" s="151">
        <f t="shared" si="7"/>
        <v>2972.6199999999976</v>
      </c>
      <c r="AA25" s="148" t="s">
        <v>72</v>
      </c>
      <c r="AB25" s="149">
        <f>'07'!B120</f>
        <v>445</v>
      </c>
      <c r="AC25" s="150">
        <f>SUM('07'!D120:F120)</f>
        <v>327.38</v>
      </c>
      <c r="AD25" s="151">
        <f t="shared" si="8"/>
        <v>3090.2399999999975</v>
      </c>
      <c r="AE25" s="148" t="s">
        <v>73</v>
      </c>
      <c r="AF25" s="149">
        <f>'08'!B120</f>
        <v>445</v>
      </c>
      <c r="AG25" s="150">
        <f>SUM('08'!D120:F120)</f>
        <v>0</v>
      </c>
      <c r="AH25" s="151">
        <f t="shared" si="9"/>
        <v>3535.2399999999975</v>
      </c>
      <c r="AI25" s="148" t="s">
        <v>76</v>
      </c>
      <c r="AJ25" s="149">
        <f>'09'!B120</f>
        <v>405</v>
      </c>
      <c r="AK25" s="150">
        <f>SUM('09'!D120:F120)</f>
        <v>0</v>
      </c>
      <c r="AL25" s="151">
        <f t="shared" si="10"/>
        <v>3940.2399999999975</v>
      </c>
      <c r="AM25" s="148" t="s">
        <v>77</v>
      </c>
      <c r="AN25" s="149">
        <f>'10'!B120</f>
        <v>405</v>
      </c>
      <c r="AO25" s="150">
        <f>SUM('10'!D120:F120)</f>
        <v>0</v>
      </c>
      <c r="AP25" s="151">
        <f t="shared" si="11"/>
        <v>4345.239999999998</v>
      </c>
      <c r="AQ25" s="148" t="s">
        <v>80</v>
      </c>
      <c r="AR25" s="149">
        <f>'11'!B120</f>
        <v>405</v>
      </c>
      <c r="AS25" s="150">
        <f>SUM('11'!D120:F120)</f>
        <v>0</v>
      </c>
      <c r="AT25" s="151">
        <f t="shared" si="12"/>
        <v>4750.239999999998</v>
      </c>
      <c r="AU25" s="148" t="s">
        <v>84</v>
      </c>
      <c r="AV25" s="149">
        <f>'12'!B120</f>
        <v>405</v>
      </c>
      <c r="AW25" s="150">
        <f>SUM('12'!D120:F120)</f>
        <v>0</v>
      </c>
      <c r="AX25" s="151">
        <f t="shared" si="13"/>
        <v>5155.239999999998</v>
      </c>
      <c r="AZ25" s="152">
        <f t="shared" si="14"/>
        <v>2355.6600000000003</v>
      </c>
      <c r="BA25" s="21">
        <f t="shared" si="15"/>
        <v>7.2072871417023773E-2</v>
      </c>
      <c r="BB25" s="22">
        <f t="shared" si="20"/>
        <v>5</v>
      </c>
      <c r="BC25" s="22">
        <f t="shared" ca="1" si="16"/>
        <v>336.52285714285716</v>
      </c>
      <c r="BE25" s="224">
        <f t="shared" ca="1" si="17"/>
        <v>2283.35</v>
      </c>
      <c r="BF25" s="21">
        <f t="shared" ca="1" si="18"/>
        <v>6.3205293261654444E-2</v>
      </c>
      <c r="BG25" s="22">
        <f t="shared" ca="1" si="21"/>
        <v>7</v>
      </c>
      <c r="BH25" s="22">
        <f t="shared" ca="1" si="19"/>
        <v>326.19285714285712</v>
      </c>
      <c r="BJ25" s="224">
        <f t="shared" ca="1" si="22"/>
        <v>-72.310000000000855</v>
      </c>
    </row>
    <row r="26" spans="1:62" ht="15.75">
      <c r="A26" s="153" t="s">
        <v>51</v>
      </c>
      <c r="B26" s="154">
        <v>19.539999999999949</v>
      </c>
      <c r="C26" s="143" t="s">
        <v>0</v>
      </c>
      <c r="D26" s="155">
        <f>'01'!B140</f>
        <v>48</v>
      </c>
      <c r="E26" s="155">
        <f>SUM('01'!D140:F140)</f>
        <v>60.49</v>
      </c>
      <c r="F26" s="156">
        <f t="shared" si="2"/>
        <v>7.0499999999999474</v>
      </c>
      <c r="G26" s="143" t="s">
        <v>1</v>
      </c>
      <c r="H26" s="155">
        <f>'02'!B140</f>
        <v>48.45</v>
      </c>
      <c r="I26" s="155">
        <f>SUM('02'!D140:F140)</f>
        <v>55.5</v>
      </c>
      <c r="J26" s="156">
        <f t="shared" si="3"/>
        <v>0</v>
      </c>
      <c r="K26" s="143" t="s">
        <v>2</v>
      </c>
      <c r="L26" s="155">
        <f>'03'!B140</f>
        <v>58</v>
      </c>
      <c r="M26" s="155">
        <f>SUM('03'!D140:F140)</f>
        <v>50.5</v>
      </c>
      <c r="N26" s="156">
        <f t="shared" si="4"/>
        <v>7.5</v>
      </c>
      <c r="O26" s="143" t="s">
        <v>3</v>
      </c>
      <c r="P26" s="155">
        <f>'04'!B140</f>
        <v>53</v>
      </c>
      <c r="Q26" s="155">
        <f>SUM('04'!D140:F140)</f>
        <v>55.49</v>
      </c>
      <c r="R26" s="156">
        <f t="shared" si="5"/>
        <v>5.009999999999998</v>
      </c>
      <c r="S26" s="143" t="s">
        <v>71</v>
      </c>
      <c r="T26" s="155">
        <f>'05'!B140</f>
        <v>53</v>
      </c>
      <c r="U26" s="155">
        <f>SUM('05'!D140:F140)</f>
        <v>35.49</v>
      </c>
      <c r="V26" s="156">
        <f t="shared" si="6"/>
        <v>22.519999999999996</v>
      </c>
      <c r="W26" s="143" t="s">
        <v>70</v>
      </c>
      <c r="X26" s="155">
        <f>'06'!B140</f>
        <v>53</v>
      </c>
      <c r="Y26" s="155">
        <f>SUM('06'!D140:F140)</f>
        <v>55.49</v>
      </c>
      <c r="Z26" s="156">
        <f t="shared" si="7"/>
        <v>20.029999999999994</v>
      </c>
      <c r="AA26" s="143" t="s">
        <v>72</v>
      </c>
      <c r="AB26" s="155">
        <f>'07'!B140</f>
        <v>53</v>
      </c>
      <c r="AC26" s="155">
        <f>SUM('07'!D140:F140)</f>
        <v>7.99</v>
      </c>
      <c r="AD26" s="156">
        <f t="shared" si="8"/>
        <v>65.040000000000006</v>
      </c>
      <c r="AE26" s="143" t="s">
        <v>73</v>
      </c>
      <c r="AF26" s="155">
        <f>'08'!B140</f>
        <v>53</v>
      </c>
      <c r="AG26" s="155">
        <f>SUM('08'!D140:F140)</f>
        <v>0</v>
      </c>
      <c r="AH26" s="156">
        <f t="shared" si="9"/>
        <v>118.04</v>
      </c>
      <c r="AI26" s="143" t="s">
        <v>76</v>
      </c>
      <c r="AJ26" s="155">
        <f>'09'!B140</f>
        <v>48</v>
      </c>
      <c r="AK26" s="155">
        <f>SUM('09'!D140:F140)</f>
        <v>0</v>
      </c>
      <c r="AL26" s="156">
        <f t="shared" si="10"/>
        <v>166.04000000000002</v>
      </c>
      <c r="AM26" s="143" t="s">
        <v>77</v>
      </c>
      <c r="AN26" s="155">
        <f>'10'!B140</f>
        <v>48</v>
      </c>
      <c r="AO26" s="155">
        <f>SUM('10'!D140:F140)</f>
        <v>0</v>
      </c>
      <c r="AP26" s="156">
        <f t="shared" si="11"/>
        <v>214.04000000000002</v>
      </c>
      <c r="AQ26" s="143" t="s">
        <v>80</v>
      </c>
      <c r="AR26" s="155">
        <f>'11'!B140</f>
        <v>48</v>
      </c>
      <c r="AS26" s="155">
        <f>SUM('11'!D140:F140)</f>
        <v>0</v>
      </c>
      <c r="AT26" s="156">
        <f t="shared" si="12"/>
        <v>262.04000000000002</v>
      </c>
      <c r="AU26" s="143" t="s">
        <v>84</v>
      </c>
      <c r="AV26" s="155">
        <f>'12'!B140</f>
        <v>48</v>
      </c>
      <c r="AW26" s="155">
        <f>SUM('12'!D140:F140)</f>
        <v>0</v>
      </c>
      <c r="AX26" s="156">
        <f t="shared" si="13"/>
        <v>310.04000000000002</v>
      </c>
      <c r="AZ26" s="157">
        <f t="shared" si="14"/>
        <v>320.95000000000005</v>
      </c>
      <c r="BA26" s="21">
        <f t="shared" si="15"/>
        <v>9.8196633135910014E-3</v>
      </c>
      <c r="BB26" s="22">
        <f t="shared" si="20"/>
        <v>17</v>
      </c>
      <c r="BC26" s="22">
        <f t="shared" ca="1" si="16"/>
        <v>45.850000000000009</v>
      </c>
      <c r="BE26" s="225">
        <f t="shared" ca="1" si="17"/>
        <v>366.45</v>
      </c>
      <c r="BF26" s="21">
        <f t="shared" ca="1" si="18"/>
        <v>1.0143683498251812E-2</v>
      </c>
      <c r="BG26" s="22">
        <f t="shared" ca="1" si="21"/>
        <v>17</v>
      </c>
      <c r="BH26" s="22">
        <f t="shared" ca="1" si="19"/>
        <v>52.35</v>
      </c>
      <c r="BJ26" s="225">
        <f t="shared" ca="1" si="22"/>
        <v>45.500000000000057</v>
      </c>
    </row>
    <row r="27" spans="1:62" ht="16.5" thickBot="1">
      <c r="A27" s="183" t="s">
        <v>18</v>
      </c>
      <c r="B27" s="184">
        <v>303.95000000000005</v>
      </c>
      <c r="C27" s="185" t="s">
        <v>0</v>
      </c>
      <c r="D27" s="186">
        <f>'01'!B160</f>
        <v>50</v>
      </c>
      <c r="E27" s="186">
        <f>SUM('01'!D160:F160)</f>
        <v>23.67</v>
      </c>
      <c r="F27" s="187">
        <f t="shared" si="2"/>
        <v>330.28000000000003</v>
      </c>
      <c r="G27" s="185" t="s">
        <v>1</v>
      </c>
      <c r="H27" s="186">
        <f>'02'!B160</f>
        <v>50</v>
      </c>
      <c r="I27" s="186">
        <f>SUM('02'!D160:F160)</f>
        <v>53.47</v>
      </c>
      <c r="J27" s="187">
        <f t="shared" si="3"/>
        <v>326.81000000000006</v>
      </c>
      <c r="K27" s="185" t="s">
        <v>2</v>
      </c>
      <c r="L27" s="186">
        <f>'03'!B160</f>
        <v>50</v>
      </c>
      <c r="M27" s="186">
        <f>SUM('03'!D160:F160)</f>
        <v>103.66</v>
      </c>
      <c r="N27" s="187">
        <f t="shared" si="4"/>
        <v>273.15000000000009</v>
      </c>
      <c r="O27" s="185" t="s">
        <v>3</v>
      </c>
      <c r="P27" s="186">
        <f>'04'!B160</f>
        <v>50</v>
      </c>
      <c r="Q27" s="186">
        <f>SUM('04'!D160:F160)</f>
        <v>16.579999999999998</v>
      </c>
      <c r="R27" s="187">
        <f t="shared" si="5"/>
        <v>306.57000000000011</v>
      </c>
      <c r="S27" s="185" t="s">
        <v>71</v>
      </c>
      <c r="T27" s="186">
        <f>'05'!B160</f>
        <v>50</v>
      </c>
      <c r="U27" s="186">
        <f>SUM('05'!D160:F160)</f>
        <v>83.87</v>
      </c>
      <c r="V27" s="187">
        <f t="shared" si="6"/>
        <v>272.7000000000001</v>
      </c>
      <c r="W27" s="185" t="s">
        <v>70</v>
      </c>
      <c r="X27" s="186">
        <f>'06'!B160</f>
        <v>-10</v>
      </c>
      <c r="Y27" s="186">
        <f>SUM('06'!D160:F160)</f>
        <v>33.159999999999997</v>
      </c>
      <c r="Z27" s="187">
        <f t="shared" si="7"/>
        <v>229.54000000000011</v>
      </c>
      <c r="AA27" s="185" t="s">
        <v>72</v>
      </c>
      <c r="AB27" s="186">
        <f>'07'!B160</f>
        <v>50</v>
      </c>
      <c r="AC27" s="186">
        <f>SUM('07'!D160:F160)</f>
        <v>0</v>
      </c>
      <c r="AD27" s="187">
        <f t="shared" si="8"/>
        <v>279.54000000000008</v>
      </c>
      <c r="AE27" s="185" t="s">
        <v>73</v>
      </c>
      <c r="AF27" s="186">
        <f>'08'!B160</f>
        <v>50</v>
      </c>
      <c r="AG27" s="186">
        <f>SUM('08'!D160:F160)</f>
        <v>0</v>
      </c>
      <c r="AH27" s="187">
        <f t="shared" si="9"/>
        <v>329.54000000000008</v>
      </c>
      <c r="AI27" s="185" t="s">
        <v>76</v>
      </c>
      <c r="AJ27" s="186">
        <f>'09'!B160</f>
        <v>50</v>
      </c>
      <c r="AK27" s="186">
        <f>SUM('09'!D160:F160)</f>
        <v>0</v>
      </c>
      <c r="AL27" s="187">
        <f t="shared" si="10"/>
        <v>379.54000000000008</v>
      </c>
      <c r="AM27" s="185" t="s">
        <v>77</v>
      </c>
      <c r="AN27" s="186">
        <f>'10'!B160</f>
        <v>50</v>
      </c>
      <c r="AO27" s="186">
        <f>SUM('10'!D160:F160)</f>
        <v>0</v>
      </c>
      <c r="AP27" s="187">
        <f t="shared" si="11"/>
        <v>429.54000000000008</v>
      </c>
      <c r="AQ27" s="185" t="s">
        <v>80</v>
      </c>
      <c r="AR27" s="186">
        <f>'11'!B160</f>
        <v>50</v>
      </c>
      <c r="AS27" s="186">
        <f>SUM('11'!D160:F160)</f>
        <v>0</v>
      </c>
      <c r="AT27" s="187">
        <f t="shared" si="12"/>
        <v>479.54000000000008</v>
      </c>
      <c r="AU27" s="185" t="s">
        <v>84</v>
      </c>
      <c r="AV27" s="186">
        <f>'12'!B160</f>
        <v>50</v>
      </c>
      <c r="AW27" s="186">
        <f>SUM('12'!D160:F160)</f>
        <v>0</v>
      </c>
      <c r="AX27" s="187">
        <f t="shared" si="13"/>
        <v>529.54000000000008</v>
      </c>
      <c r="AZ27" s="188">
        <f t="shared" si="14"/>
        <v>314.40999999999997</v>
      </c>
      <c r="BA27" s="21">
        <f t="shared" si="15"/>
        <v>9.6195679776480639E-3</v>
      </c>
      <c r="BB27" s="22">
        <f t="shared" si="20"/>
        <v>18</v>
      </c>
      <c r="BC27" s="22">
        <f t="shared" ca="1" si="16"/>
        <v>44.91571428571428</v>
      </c>
      <c r="BE27" s="224">
        <f t="shared" ca="1" si="17"/>
        <v>290</v>
      </c>
      <c r="BF27" s="21">
        <f t="shared" ca="1" si="18"/>
        <v>8.0274750020276307E-3</v>
      </c>
      <c r="BG27" s="22">
        <f t="shared" ca="1" si="21"/>
        <v>18</v>
      </c>
      <c r="BH27" s="22">
        <f t="shared" ca="1" si="19"/>
        <v>41.428571428571431</v>
      </c>
      <c r="BJ27" s="224">
        <f t="shared" ca="1" si="22"/>
        <v>-24.409999999999968</v>
      </c>
    </row>
    <row r="28" spans="1:62" ht="15.75">
      <c r="A28" s="163" t="s">
        <v>19</v>
      </c>
      <c r="B28" s="142">
        <v>609.05000000000007</v>
      </c>
      <c r="C28" s="181" t="s">
        <v>0</v>
      </c>
      <c r="D28" s="155">
        <f>'01'!B180</f>
        <v>200</v>
      </c>
      <c r="E28" s="155">
        <f>SUM('01'!D180:F180)</f>
        <v>381.4</v>
      </c>
      <c r="F28" s="159">
        <f t="shared" si="2"/>
        <v>427.65000000000009</v>
      </c>
      <c r="G28" s="181" t="s">
        <v>1</v>
      </c>
      <c r="H28" s="155">
        <f>'02'!B180</f>
        <v>800.04</v>
      </c>
      <c r="I28" s="155">
        <f>SUM('02'!D180:F180)</f>
        <v>680.55</v>
      </c>
      <c r="J28" s="159">
        <f t="shared" si="3"/>
        <v>547.1400000000001</v>
      </c>
      <c r="K28" s="181" t="s">
        <v>2</v>
      </c>
      <c r="L28" s="155">
        <f>'03'!B180</f>
        <v>390</v>
      </c>
      <c r="M28" s="155">
        <f>SUM('03'!D180:F180)</f>
        <v>0</v>
      </c>
      <c r="N28" s="159">
        <f t="shared" si="4"/>
        <v>937.1400000000001</v>
      </c>
      <c r="O28" s="181" t="s">
        <v>3</v>
      </c>
      <c r="P28" s="155">
        <f>'04'!B180</f>
        <v>240</v>
      </c>
      <c r="Q28" s="155">
        <f>SUM('04'!D180:F180)</f>
        <v>930.86</v>
      </c>
      <c r="R28" s="159">
        <f t="shared" si="5"/>
        <v>246.28000000000009</v>
      </c>
      <c r="S28" s="181" t="s">
        <v>71</v>
      </c>
      <c r="T28" s="155">
        <f>'05'!B180</f>
        <v>1050</v>
      </c>
      <c r="U28" s="155">
        <f>SUM('05'!D180:F180)</f>
        <v>0</v>
      </c>
      <c r="V28" s="159">
        <f t="shared" si="6"/>
        <v>1296.2800000000002</v>
      </c>
      <c r="W28" s="181" t="s">
        <v>70</v>
      </c>
      <c r="X28" s="155">
        <f>'06'!B180</f>
        <v>200</v>
      </c>
      <c r="Y28" s="155">
        <f>SUM('06'!D180:F180)</f>
        <v>0</v>
      </c>
      <c r="Z28" s="159">
        <f t="shared" si="7"/>
        <v>1496.2800000000002</v>
      </c>
      <c r="AA28" s="181" t="s">
        <v>72</v>
      </c>
      <c r="AB28" s="155">
        <f>'07'!B180</f>
        <v>200</v>
      </c>
      <c r="AC28" s="155">
        <f>SUM('07'!D180:F180)</f>
        <v>1363.28</v>
      </c>
      <c r="AD28" s="159">
        <f t="shared" si="8"/>
        <v>333.00000000000023</v>
      </c>
      <c r="AE28" s="181" t="s">
        <v>73</v>
      </c>
      <c r="AF28" s="155">
        <f>'08'!B180</f>
        <v>200</v>
      </c>
      <c r="AG28" s="155">
        <f>SUM('08'!D180:F180)</f>
        <v>0</v>
      </c>
      <c r="AH28" s="159">
        <f t="shared" si="9"/>
        <v>533.00000000000023</v>
      </c>
      <c r="AI28" s="181" t="s">
        <v>76</v>
      </c>
      <c r="AJ28" s="155">
        <f>'09'!B180</f>
        <v>200</v>
      </c>
      <c r="AK28" s="155">
        <f>SUM('09'!D180:F180)</f>
        <v>0</v>
      </c>
      <c r="AL28" s="159">
        <f t="shared" si="10"/>
        <v>733.00000000000023</v>
      </c>
      <c r="AM28" s="181" t="s">
        <v>77</v>
      </c>
      <c r="AN28" s="155">
        <f>'10'!B180</f>
        <v>200</v>
      </c>
      <c r="AO28" s="155">
        <f>SUM('10'!D180:F180)</f>
        <v>0</v>
      </c>
      <c r="AP28" s="159">
        <f t="shared" si="11"/>
        <v>933.00000000000023</v>
      </c>
      <c r="AQ28" s="181" t="s">
        <v>80</v>
      </c>
      <c r="AR28" s="155">
        <f>'11'!B180</f>
        <v>200</v>
      </c>
      <c r="AS28" s="155">
        <f>SUM('11'!D180:F180)</f>
        <v>0</v>
      </c>
      <c r="AT28" s="159">
        <f t="shared" si="12"/>
        <v>1133.0000000000002</v>
      </c>
      <c r="AU28" s="181" t="s">
        <v>84</v>
      </c>
      <c r="AV28" s="155">
        <f>'12'!B180</f>
        <v>200</v>
      </c>
      <c r="AW28" s="155">
        <f>SUM('12'!D180:F180)</f>
        <v>0</v>
      </c>
      <c r="AX28" s="159">
        <f t="shared" si="13"/>
        <v>1333.0000000000002</v>
      </c>
      <c r="AZ28" s="182">
        <f t="shared" ref="AZ28:AZ45" si="23">E28+I28+M28+Q28+U28+Y28+AC28+AG28+AK28+AO28+AS28+AW28</f>
        <v>3356.09</v>
      </c>
      <c r="BA28" s="21">
        <f t="shared" si="15"/>
        <v>0.10268164464904074</v>
      </c>
      <c r="BB28" s="22">
        <f t="shared" si="20"/>
        <v>4</v>
      </c>
      <c r="BC28" s="22">
        <f t="shared" ca="1" si="16"/>
        <v>479.44142857142862</v>
      </c>
      <c r="BE28" s="223">
        <f t="shared" ca="1" si="17"/>
        <v>3080.04</v>
      </c>
      <c r="BF28" s="21">
        <f t="shared" ca="1" si="18"/>
        <v>8.5258427949121321E-2</v>
      </c>
      <c r="BG28" s="22">
        <f t="shared" ca="1" si="21"/>
        <v>5</v>
      </c>
      <c r="BH28" s="22">
        <f t="shared" ca="1" si="19"/>
        <v>440.0057142857143</v>
      </c>
      <c r="BJ28" s="223">
        <f t="shared" ca="1" si="22"/>
        <v>-276.04999999999984</v>
      </c>
    </row>
    <row r="29" spans="1:62" ht="15.75">
      <c r="A29" s="146" t="s">
        <v>20</v>
      </c>
      <c r="B29" s="147">
        <v>-46.669999999999931</v>
      </c>
      <c r="C29" s="148" t="s">
        <v>0</v>
      </c>
      <c r="D29" s="149">
        <f>'01'!B200</f>
        <v>70</v>
      </c>
      <c r="E29" s="150">
        <f>SUM('01'!D200:F200)</f>
        <v>45.97</v>
      </c>
      <c r="F29" s="160">
        <f t="shared" si="2"/>
        <v>-22.63999999999993</v>
      </c>
      <c r="G29" s="148" t="s">
        <v>1</v>
      </c>
      <c r="H29" s="149">
        <f>'02'!B200</f>
        <v>70</v>
      </c>
      <c r="I29" s="150">
        <f>SUM('02'!D200:F200)</f>
        <v>14.440000000000001</v>
      </c>
      <c r="J29" s="160">
        <f t="shared" si="3"/>
        <v>32.920000000000073</v>
      </c>
      <c r="K29" s="148" t="s">
        <v>2</v>
      </c>
      <c r="L29" s="149">
        <f>'03'!B200</f>
        <v>80</v>
      </c>
      <c r="M29" s="150">
        <f>SUM('03'!D200:F200)</f>
        <v>40.5</v>
      </c>
      <c r="N29" s="160">
        <f t="shared" si="4"/>
        <v>72.420000000000073</v>
      </c>
      <c r="O29" s="148" t="s">
        <v>3</v>
      </c>
      <c r="P29" s="149">
        <f>'04'!B200</f>
        <v>30</v>
      </c>
      <c r="Q29" s="150">
        <f>SUM('04'!D200:F200)</f>
        <v>25.99</v>
      </c>
      <c r="R29" s="160">
        <f t="shared" si="5"/>
        <v>76.430000000000078</v>
      </c>
      <c r="S29" s="148" t="s">
        <v>71</v>
      </c>
      <c r="T29" s="149">
        <f>'05'!B200</f>
        <v>74</v>
      </c>
      <c r="U29" s="150">
        <f>SUM('05'!D200:F200)</f>
        <v>47.63</v>
      </c>
      <c r="V29" s="160">
        <f t="shared" si="6"/>
        <v>102.80000000000007</v>
      </c>
      <c r="W29" s="148" t="s">
        <v>70</v>
      </c>
      <c r="X29" s="149">
        <f>'06'!B200</f>
        <v>80</v>
      </c>
      <c r="Y29" s="150">
        <f>SUM('06'!D200:F200)</f>
        <v>137.78</v>
      </c>
      <c r="Z29" s="160">
        <f t="shared" si="7"/>
        <v>45.020000000000067</v>
      </c>
      <c r="AA29" s="148" t="s">
        <v>72</v>
      </c>
      <c r="AB29" s="149">
        <f>'07'!B200</f>
        <v>70</v>
      </c>
      <c r="AC29" s="150">
        <f>SUM('07'!D200:F200)</f>
        <v>58.239999999999995</v>
      </c>
      <c r="AD29" s="160">
        <f t="shared" si="8"/>
        <v>56.780000000000072</v>
      </c>
      <c r="AE29" s="148" t="s">
        <v>73</v>
      </c>
      <c r="AF29" s="149">
        <f>'08'!B200</f>
        <v>70</v>
      </c>
      <c r="AG29" s="150">
        <f>SUM('08'!D200:F200)</f>
        <v>0</v>
      </c>
      <c r="AH29" s="160">
        <f t="shared" si="9"/>
        <v>126.78000000000007</v>
      </c>
      <c r="AI29" s="148" t="s">
        <v>76</v>
      </c>
      <c r="AJ29" s="149">
        <f>'09'!B200</f>
        <v>70</v>
      </c>
      <c r="AK29" s="150">
        <f>SUM('09'!D200:F200)</f>
        <v>0</v>
      </c>
      <c r="AL29" s="160">
        <f t="shared" si="10"/>
        <v>196.78000000000009</v>
      </c>
      <c r="AM29" s="148" t="s">
        <v>77</v>
      </c>
      <c r="AN29" s="149">
        <f>'10'!B200</f>
        <v>70</v>
      </c>
      <c r="AO29" s="150">
        <f>SUM('10'!D200:F200)</f>
        <v>0</v>
      </c>
      <c r="AP29" s="160">
        <f t="shared" si="11"/>
        <v>266.78000000000009</v>
      </c>
      <c r="AQ29" s="148" t="s">
        <v>80</v>
      </c>
      <c r="AR29" s="149">
        <f>'11'!B200</f>
        <v>70</v>
      </c>
      <c r="AS29" s="150">
        <f>SUM('11'!D200:F200)</f>
        <v>0</v>
      </c>
      <c r="AT29" s="160">
        <f t="shared" si="12"/>
        <v>336.78000000000009</v>
      </c>
      <c r="AU29" s="148" t="s">
        <v>84</v>
      </c>
      <c r="AV29" s="149">
        <f>'12'!B200</f>
        <v>70</v>
      </c>
      <c r="AW29" s="150">
        <f>SUM('12'!D200:F200)</f>
        <v>0</v>
      </c>
      <c r="AX29" s="160">
        <f t="shared" si="13"/>
        <v>406.78000000000009</v>
      </c>
      <c r="AZ29" s="152">
        <f t="shared" si="23"/>
        <v>370.55</v>
      </c>
      <c r="BA29" s="21">
        <f t="shared" si="15"/>
        <v>1.1337205922577179E-2</v>
      </c>
      <c r="BB29" s="22">
        <f t="shared" si="20"/>
        <v>16</v>
      </c>
      <c r="BC29" s="22">
        <f t="shared" ca="1" si="16"/>
        <v>52.93571428571429</v>
      </c>
      <c r="BE29" s="224">
        <f t="shared" ca="1" si="17"/>
        <v>474</v>
      </c>
      <c r="BF29" s="21">
        <f t="shared" ca="1" si="18"/>
        <v>1.3120769486072749E-2</v>
      </c>
      <c r="BG29" s="22">
        <f t="shared" ca="1" si="21"/>
        <v>15</v>
      </c>
      <c r="BH29" s="22">
        <f t="shared" ca="1" si="19"/>
        <v>67.714285714285708</v>
      </c>
      <c r="BJ29" s="224">
        <f t="shared" ca="1" si="22"/>
        <v>103.45</v>
      </c>
    </row>
    <row r="30" spans="1:62" ht="15.75">
      <c r="A30" s="153" t="s">
        <v>21</v>
      </c>
      <c r="B30" s="154">
        <v>-26.830000000000027</v>
      </c>
      <c r="C30" s="143" t="s">
        <v>0</v>
      </c>
      <c r="D30" s="155">
        <f>'01'!B220</f>
        <v>35</v>
      </c>
      <c r="E30" s="155">
        <f>SUM('01'!D220:F220)</f>
        <v>42.06</v>
      </c>
      <c r="F30" s="161">
        <f t="shared" si="2"/>
        <v>-33.890000000000029</v>
      </c>
      <c r="G30" s="143" t="s">
        <v>1</v>
      </c>
      <c r="H30" s="155">
        <f>'02'!B220</f>
        <v>35</v>
      </c>
      <c r="I30" s="155">
        <f>SUM('02'!D220:F220)</f>
        <v>0</v>
      </c>
      <c r="J30" s="161">
        <f t="shared" si="3"/>
        <v>1.109999999999971</v>
      </c>
      <c r="K30" s="143" t="s">
        <v>2</v>
      </c>
      <c r="L30" s="155">
        <f>'03'!B220</f>
        <v>60</v>
      </c>
      <c r="M30" s="155">
        <f>SUM('03'!D220:F220)</f>
        <v>27.13</v>
      </c>
      <c r="N30" s="161">
        <f t="shared" si="4"/>
        <v>33.979999999999976</v>
      </c>
      <c r="O30" s="143" t="s">
        <v>3</v>
      </c>
      <c r="P30" s="155">
        <f>'04'!B220</f>
        <v>35</v>
      </c>
      <c r="Q30" s="155">
        <f>SUM('04'!D220:F220)</f>
        <v>34.33</v>
      </c>
      <c r="R30" s="161">
        <f t="shared" si="5"/>
        <v>34.649999999999977</v>
      </c>
      <c r="S30" s="143" t="s">
        <v>71</v>
      </c>
      <c r="T30" s="155">
        <f>'05'!B220</f>
        <v>50</v>
      </c>
      <c r="U30" s="155">
        <f>SUM('05'!D220:F220)</f>
        <v>27.56</v>
      </c>
      <c r="V30" s="161">
        <f t="shared" si="6"/>
        <v>57.089999999999975</v>
      </c>
      <c r="W30" s="143" t="s">
        <v>70</v>
      </c>
      <c r="X30" s="155">
        <f>'06'!B220</f>
        <v>35</v>
      </c>
      <c r="Y30" s="155">
        <f>SUM('06'!D220:F220)</f>
        <v>0</v>
      </c>
      <c r="Z30" s="161">
        <f t="shared" si="7"/>
        <v>92.089999999999975</v>
      </c>
      <c r="AA30" s="143" t="s">
        <v>72</v>
      </c>
      <c r="AB30" s="155">
        <f>'07'!B220</f>
        <v>35</v>
      </c>
      <c r="AC30" s="155">
        <f>SUM('07'!D220:F220)</f>
        <v>76.17</v>
      </c>
      <c r="AD30" s="161">
        <f t="shared" si="8"/>
        <v>50.919999999999973</v>
      </c>
      <c r="AE30" s="143" t="s">
        <v>73</v>
      </c>
      <c r="AF30" s="155">
        <f>'08'!B220</f>
        <v>35</v>
      </c>
      <c r="AG30" s="155">
        <f>SUM('08'!D220:F220)</f>
        <v>0</v>
      </c>
      <c r="AH30" s="161">
        <f t="shared" si="9"/>
        <v>85.919999999999973</v>
      </c>
      <c r="AI30" s="143" t="s">
        <v>76</v>
      </c>
      <c r="AJ30" s="155">
        <f>'09'!B220</f>
        <v>35</v>
      </c>
      <c r="AK30" s="155">
        <f>SUM('09'!D220:F220)</f>
        <v>0</v>
      </c>
      <c r="AL30" s="161">
        <f t="shared" si="10"/>
        <v>120.91999999999997</v>
      </c>
      <c r="AM30" s="143" t="s">
        <v>77</v>
      </c>
      <c r="AN30" s="155">
        <f>'10'!B220</f>
        <v>35</v>
      </c>
      <c r="AO30" s="155">
        <f>SUM('10'!D220:F220)</f>
        <v>0</v>
      </c>
      <c r="AP30" s="161">
        <f t="shared" si="11"/>
        <v>155.91999999999996</v>
      </c>
      <c r="AQ30" s="143" t="s">
        <v>80</v>
      </c>
      <c r="AR30" s="155">
        <f>'11'!B220</f>
        <v>35</v>
      </c>
      <c r="AS30" s="155">
        <f>SUM('11'!D220:F220)</f>
        <v>0</v>
      </c>
      <c r="AT30" s="161">
        <f t="shared" si="12"/>
        <v>190.91999999999996</v>
      </c>
      <c r="AU30" s="143" t="s">
        <v>84</v>
      </c>
      <c r="AV30" s="155">
        <f>'12'!B220</f>
        <v>35</v>
      </c>
      <c r="AW30" s="155">
        <f>SUM('12'!D220:F220)</f>
        <v>0</v>
      </c>
      <c r="AX30" s="161">
        <f t="shared" si="13"/>
        <v>225.91999999999996</v>
      </c>
      <c r="AZ30" s="157">
        <f t="shared" si="23"/>
        <v>207.25</v>
      </c>
      <c r="BA30" s="21">
        <f t="shared" si="15"/>
        <v>6.3409416474271224E-3</v>
      </c>
      <c r="BB30" s="22">
        <f t="shared" si="20"/>
        <v>19</v>
      </c>
      <c r="BC30" s="22">
        <f t="shared" ca="1" si="16"/>
        <v>29.607142857142858</v>
      </c>
      <c r="BE30" s="225">
        <f t="shared" ca="1" si="17"/>
        <v>285</v>
      </c>
      <c r="BF30" s="21">
        <f t="shared" ca="1" si="18"/>
        <v>7.8890702606133623E-3</v>
      </c>
      <c r="BG30" s="22">
        <f t="shared" ca="1" si="21"/>
        <v>19</v>
      </c>
      <c r="BH30" s="22">
        <f t="shared" ca="1" si="19"/>
        <v>40.714285714285715</v>
      </c>
      <c r="BJ30" s="225">
        <f t="shared" ca="1" si="22"/>
        <v>77.75</v>
      </c>
    </row>
    <row r="31" spans="1:62" ht="15.75">
      <c r="A31" s="146" t="s">
        <v>22</v>
      </c>
      <c r="B31" s="147">
        <v>76.040000000000006</v>
      </c>
      <c r="C31" s="148" t="s">
        <v>0</v>
      </c>
      <c r="D31" s="149">
        <f>'01'!B240</f>
        <v>20</v>
      </c>
      <c r="E31" s="150">
        <f>SUM('01'!D240:F240)</f>
        <v>7</v>
      </c>
      <c r="F31" s="160">
        <f t="shared" si="2"/>
        <v>89.04</v>
      </c>
      <c r="G31" s="148" t="s">
        <v>1</v>
      </c>
      <c r="H31" s="149">
        <f>'02'!B240</f>
        <v>20</v>
      </c>
      <c r="I31" s="150">
        <f>SUM('02'!D240:F240)</f>
        <v>24.48</v>
      </c>
      <c r="J31" s="160">
        <f t="shared" si="3"/>
        <v>84.56</v>
      </c>
      <c r="K31" s="148" t="s">
        <v>2</v>
      </c>
      <c r="L31" s="149">
        <f>'03'!B240</f>
        <v>20</v>
      </c>
      <c r="M31" s="150">
        <f>SUM('03'!D240:F240)</f>
        <v>41.96</v>
      </c>
      <c r="N31" s="160">
        <f t="shared" si="4"/>
        <v>62.6</v>
      </c>
      <c r="O31" s="148" t="s">
        <v>3</v>
      </c>
      <c r="P31" s="149">
        <f>'04'!B240</f>
        <v>20</v>
      </c>
      <c r="Q31" s="150">
        <f>SUM('04'!D240:F240)</f>
        <v>0</v>
      </c>
      <c r="R31" s="160">
        <f t="shared" si="5"/>
        <v>82.6</v>
      </c>
      <c r="S31" s="148" t="s">
        <v>71</v>
      </c>
      <c r="T31" s="149">
        <f>'05'!B240</f>
        <v>20</v>
      </c>
      <c r="U31" s="150">
        <f>SUM('05'!D240:F240)</f>
        <v>41.96</v>
      </c>
      <c r="V31" s="160">
        <f t="shared" si="6"/>
        <v>60.639999999999993</v>
      </c>
      <c r="W31" s="148" t="s">
        <v>70</v>
      </c>
      <c r="X31" s="149">
        <f>'06'!B240</f>
        <v>20</v>
      </c>
      <c r="Y31" s="150">
        <f>SUM('06'!D240:F240)</f>
        <v>20.98</v>
      </c>
      <c r="Z31" s="160">
        <f t="shared" si="7"/>
        <v>59.659999999999982</v>
      </c>
      <c r="AA31" s="148" t="s">
        <v>72</v>
      </c>
      <c r="AB31" s="149">
        <f>'07'!B240</f>
        <v>20</v>
      </c>
      <c r="AC31" s="150">
        <f>SUM('07'!D240:F240)</f>
        <v>0</v>
      </c>
      <c r="AD31" s="160">
        <f t="shared" si="8"/>
        <v>79.659999999999982</v>
      </c>
      <c r="AE31" s="148" t="s">
        <v>73</v>
      </c>
      <c r="AF31" s="149">
        <f>'08'!B240</f>
        <v>20</v>
      </c>
      <c r="AG31" s="150">
        <f>SUM('08'!D240:F240)</f>
        <v>0</v>
      </c>
      <c r="AH31" s="160">
        <f t="shared" si="9"/>
        <v>99.659999999999982</v>
      </c>
      <c r="AI31" s="148" t="s">
        <v>76</v>
      </c>
      <c r="AJ31" s="149">
        <f>'09'!B240</f>
        <v>20</v>
      </c>
      <c r="AK31" s="150">
        <f>SUM('09'!D240:F240)</f>
        <v>0</v>
      </c>
      <c r="AL31" s="160">
        <f t="shared" si="10"/>
        <v>119.65999999999998</v>
      </c>
      <c r="AM31" s="148" t="s">
        <v>77</v>
      </c>
      <c r="AN31" s="149">
        <f>'10'!B240</f>
        <v>20</v>
      </c>
      <c r="AO31" s="150">
        <f>SUM('10'!D240:F240)</f>
        <v>0</v>
      </c>
      <c r="AP31" s="160">
        <f t="shared" si="11"/>
        <v>139.65999999999997</v>
      </c>
      <c r="AQ31" s="148" t="s">
        <v>80</v>
      </c>
      <c r="AR31" s="149">
        <f>'11'!B240</f>
        <v>20</v>
      </c>
      <c r="AS31" s="150">
        <f>SUM('11'!D240:F240)</f>
        <v>0</v>
      </c>
      <c r="AT31" s="160">
        <f t="shared" si="12"/>
        <v>159.65999999999997</v>
      </c>
      <c r="AU31" s="148" t="s">
        <v>84</v>
      </c>
      <c r="AV31" s="149">
        <f>'12'!B240</f>
        <v>20</v>
      </c>
      <c r="AW31" s="150">
        <f>SUM('12'!D240:F240)</f>
        <v>0</v>
      </c>
      <c r="AX31" s="160">
        <f t="shared" si="13"/>
        <v>179.65999999999997</v>
      </c>
      <c r="AZ31" s="152">
        <f t="shared" si="23"/>
        <v>136.38</v>
      </c>
      <c r="BA31" s="21">
        <f t="shared" si="15"/>
        <v>4.1726302623696547E-3</v>
      </c>
      <c r="BB31" s="22">
        <f t="shared" si="20"/>
        <v>21</v>
      </c>
      <c r="BC31" s="22">
        <f t="shared" ca="1" si="16"/>
        <v>19.482857142857142</v>
      </c>
      <c r="BE31" s="224">
        <f t="shared" ca="1" si="17"/>
        <v>140</v>
      </c>
      <c r="BF31" s="21">
        <f t="shared" ca="1" si="18"/>
        <v>3.875332759599546E-3</v>
      </c>
      <c r="BG31" s="22">
        <f t="shared" ca="1" si="21"/>
        <v>21</v>
      </c>
      <c r="BH31" s="22">
        <f t="shared" ca="1" si="19"/>
        <v>20</v>
      </c>
      <c r="BJ31" s="224">
        <f t="shared" ca="1" si="22"/>
        <v>3.6199999999999761</v>
      </c>
    </row>
    <row r="32" spans="1:62" ht="15.75">
      <c r="A32" s="153" t="s">
        <v>152</v>
      </c>
      <c r="B32" s="154">
        <v>-14.249999999999972</v>
      </c>
      <c r="C32" s="143" t="s">
        <v>0</v>
      </c>
      <c r="D32" s="155">
        <f>'01'!B260</f>
        <v>50</v>
      </c>
      <c r="E32" s="155">
        <f>SUM('01'!D260:F260)</f>
        <v>61.75</v>
      </c>
      <c r="F32" s="161">
        <f t="shared" si="2"/>
        <v>-25.999999999999972</v>
      </c>
      <c r="G32" s="143" t="s">
        <v>1</v>
      </c>
      <c r="H32" s="155">
        <f>'02'!B260</f>
        <v>90</v>
      </c>
      <c r="I32" s="155">
        <f>SUM('02'!D260:F260)</f>
        <v>4</v>
      </c>
      <c r="J32" s="161">
        <f t="shared" si="3"/>
        <v>60.000000000000028</v>
      </c>
      <c r="K32" s="143" t="s">
        <v>2</v>
      </c>
      <c r="L32" s="155">
        <f>'03'!B260</f>
        <v>150</v>
      </c>
      <c r="M32" s="155">
        <f>SUM('03'!D260:F260)</f>
        <v>65.28</v>
      </c>
      <c r="N32" s="161">
        <f t="shared" si="4"/>
        <v>144.72000000000003</v>
      </c>
      <c r="O32" s="143" t="s">
        <v>3</v>
      </c>
      <c r="P32" s="155">
        <f>'04'!B260</f>
        <v>269.13</v>
      </c>
      <c r="Q32" s="155">
        <f>SUM('04'!D260:F260)</f>
        <v>0</v>
      </c>
      <c r="R32" s="161">
        <f t="shared" si="5"/>
        <v>413.85</v>
      </c>
      <c r="S32" s="143" t="s">
        <v>71</v>
      </c>
      <c r="T32" s="155">
        <f>'05'!B260</f>
        <v>664</v>
      </c>
      <c r="U32" s="155">
        <f>SUM('05'!D260:F260)</f>
        <v>159.24</v>
      </c>
      <c r="V32" s="161">
        <f t="shared" si="6"/>
        <v>918.6099999999999</v>
      </c>
      <c r="W32" s="143" t="s">
        <v>70</v>
      </c>
      <c r="X32" s="155">
        <f>'06'!B260</f>
        <v>90</v>
      </c>
      <c r="Y32" s="155">
        <f>SUM('06'!D260:F260)</f>
        <v>195.32</v>
      </c>
      <c r="Z32" s="161">
        <f t="shared" si="7"/>
        <v>813.29</v>
      </c>
      <c r="AA32" s="143" t="s">
        <v>72</v>
      </c>
      <c r="AB32" s="155">
        <f>'07'!B260</f>
        <v>144.63</v>
      </c>
      <c r="AC32" s="155">
        <f>SUM('07'!D260:F260)</f>
        <v>349</v>
      </c>
      <c r="AD32" s="161">
        <f t="shared" si="8"/>
        <v>608.91999999999996</v>
      </c>
      <c r="AE32" s="143" t="s">
        <v>73</v>
      </c>
      <c r="AF32" s="155">
        <f>'08'!B260</f>
        <v>100</v>
      </c>
      <c r="AG32" s="155">
        <f>SUM('08'!D260:F260)</f>
        <v>0</v>
      </c>
      <c r="AH32" s="161">
        <f t="shared" si="9"/>
        <v>708.92</v>
      </c>
      <c r="AI32" s="143" t="s">
        <v>76</v>
      </c>
      <c r="AJ32" s="155">
        <f>'09'!B260</f>
        <v>50</v>
      </c>
      <c r="AK32" s="155">
        <f>SUM('09'!D260:F260)</f>
        <v>0</v>
      </c>
      <c r="AL32" s="161">
        <f t="shared" si="10"/>
        <v>758.92</v>
      </c>
      <c r="AM32" s="143" t="s">
        <v>77</v>
      </c>
      <c r="AN32" s="155">
        <f>'10'!B260</f>
        <v>50</v>
      </c>
      <c r="AO32" s="155">
        <f>SUM('10'!D260:F260)</f>
        <v>0</v>
      </c>
      <c r="AP32" s="161">
        <f t="shared" si="11"/>
        <v>808.92</v>
      </c>
      <c r="AQ32" s="143" t="s">
        <v>80</v>
      </c>
      <c r="AR32" s="155">
        <f>'11'!B260</f>
        <v>50</v>
      </c>
      <c r="AS32" s="155">
        <f>SUM('11'!D260:F260)</f>
        <v>0</v>
      </c>
      <c r="AT32" s="161">
        <f t="shared" si="12"/>
        <v>858.92</v>
      </c>
      <c r="AU32" s="143" t="s">
        <v>84</v>
      </c>
      <c r="AV32" s="155">
        <f>'12'!B260</f>
        <v>50</v>
      </c>
      <c r="AW32" s="155">
        <f>SUM('12'!D260:F260)</f>
        <v>0</v>
      </c>
      <c r="AX32" s="161">
        <f t="shared" si="13"/>
        <v>908.92</v>
      </c>
      <c r="AZ32" s="157">
        <f t="shared" si="23"/>
        <v>834.58999999999992</v>
      </c>
      <c r="BA32" s="21">
        <f t="shared" si="15"/>
        <v>2.5534796089390598E-2</v>
      </c>
      <c r="BB32" s="22">
        <f t="shared" si="20"/>
        <v>11</v>
      </c>
      <c r="BC32" s="22">
        <f t="shared" ca="1" si="16"/>
        <v>119.22714285714285</v>
      </c>
      <c r="BE32" s="225">
        <f t="shared" ca="1" si="17"/>
        <v>1457.7600000000002</v>
      </c>
      <c r="BF32" s="21">
        <f t="shared" ca="1" si="18"/>
        <v>4.0352179168813104E-2</v>
      </c>
      <c r="BG32" s="22">
        <f t="shared" ca="1" si="21"/>
        <v>8</v>
      </c>
      <c r="BH32" s="22">
        <f t="shared" ca="1" si="19"/>
        <v>208.25142857142859</v>
      </c>
      <c r="BJ32" s="225">
        <f t="shared" ca="1" si="22"/>
        <v>623.16999999999996</v>
      </c>
    </row>
    <row r="33" spans="1:62" ht="15.75">
      <c r="A33" s="146" t="s">
        <v>85</v>
      </c>
      <c r="B33" s="147">
        <v>420</v>
      </c>
      <c r="C33" s="148" t="s">
        <v>0</v>
      </c>
      <c r="D33" s="149">
        <f>'01'!B280</f>
        <v>50</v>
      </c>
      <c r="E33" s="150">
        <f>SUM('01'!D280:F280)</f>
        <v>640</v>
      </c>
      <c r="F33" s="160">
        <f t="shared" si="2"/>
        <v>-170</v>
      </c>
      <c r="G33" s="148" t="s">
        <v>1</v>
      </c>
      <c r="H33" s="149">
        <f>'02'!B280</f>
        <v>50</v>
      </c>
      <c r="I33" s="150">
        <f>SUM('02'!D280:F280)</f>
        <v>83.41</v>
      </c>
      <c r="J33" s="160">
        <f t="shared" si="3"/>
        <v>-203.41</v>
      </c>
      <c r="K33" s="148" t="s">
        <v>2</v>
      </c>
      <c r="L33" s="149">
        <f>'03'!B280</f>
        <v>4071.94</v>
      </c>
      <c r="M33" s="150">
        <f>SUM('03'!D280:F280)</f>
        <v>3377.6</v>
      </c>
      <c r="N33" s="160">
        <f t="shared" si="4"/>
        <v>490.93000000000029</v>
      </c>
      <c r="O33" s="148" t="s">
        <v>3</v>
      </c>
      <c r="P33" s="149">
        <f>'04'!B280</f>
        <v>50</v>
      </c>
      <c r="Q33" s="150">
        <f>SUM('04'!D280:F280)</f>
        <v>10.45</v>
      </c>
      <c r="R33" s="160">
        <f t="shared" si="5"/>
        <v>530.48000000000025</v>
      </c>
      <c r="S33" s="148" t="s">
        <v>71</v>
      </c>
      <c r="T33" s="149">
        <f>'05'!B280</f>
        <v>50</v>
      </c>
      <c r="U33" s="150">
        <f>SUM('05'!D280:F280)</f>
        <v>92.89</v>
      </c>
      <c r="V33" s="160">
        <f t="shared" si="6"/>
        <v>487.59000000000026</v>
      </c>
      <c r="W33" s="148" t="s">
        <v>70</v>
      </c>
      <c r="X33" s="149">
        <f>'06'!B280</f>
        <v>50</v>
      </c>
      <c r="Y33" s="150">
        <f>SUM('06'!D280:F280)</f>
        <v>191.5</v>
      </c>
      <c r="Z33" s="160">
        <f t="shared" si="7"/>
        <v>346.09000000000026</v>
      </c>
      <c r="AA33" s="148" t="s">
        <v>72</v>
      </c>
      <c r="AB33" s="149">
        <f>'07'!B280</f>
        <v>50</v>
      </c>
      <c r="AC33" s="150">
        <f>SUM('07'!D280:F280)</f>
        <v>0</v>
      </c>
      <c r="AD33" s="160">
        <f t="shared" si="8"/>
        <v>396.09000000000026</v>
      </c>
      <c r="AE33" s="148" t="s">
        <v>73</v>
      </c>
      <c r="AF33" s="149">
        <f>'08'!B280</f>
        <v>50</v>
      </c>
      <c r="AG33" s="150">
        <f>SUM('08'!D280:F280)</f>
        <v>0</v>
      </c>
      <c r="AH33" s="160">
        <f t="shared" si="9"/>
        <v>446.09000000000026</v>
      </c>
      <c r="AI33" s="148" t="s">
        <v>76</v>
      </c>
      <c r="AJ33" s="149">
        <f>'09'!B280</f>
        <v>50</v>
      </c>
      <c r="AK33" s="150">
        <f>SUM('09'!D280:F280)</f>
        <v>0</v>
      </c>
      <c r="AL33" s="160">
        <f t="shared" si="10"/>
        <v>496.09000000000026</v>
      </c>
      <c r="AM33" s="148" t="s">
        <v>77</v>
      </c>
      <c r="AN33" s="149">
        <f>'10'!B280</f>
        <v>50</v>
      </c>
      <c r="AO33" s="150">
        <f>SUM('10'!D280:F280)</f>
        <v>0</v>
      </c>
      <c r="AP33" s="160">
        <f t="shared" si="11"/>
        <v>546.09000000000026</v>
      </c>
      <c r="AQ33" s="148" t="s">
        <v>80</v>
      </c>
      <c r="AR33" s="149">
        <f>'11'!B280</f>
        <v>50</v>
      </c>
      <c r="AS33" s="150">
        <f>SUM('11'!D280:F280)</f>
        <v>0</v>
      </c>
      <c r="AT33" s="160">
        <f t="shared" si="12"/>
        <v>596.09000000000026</v>
      </c>
      <c r="AU33" s="148" t="s">
        <v>84</v>
      </c>
      <c r="AV33" s="149">
        <f>'12'!B280</f>
        <v>50</v>
      </c>
      <c r="AW33" s="150">
        <f>SUM('12'!D280:F280)</f>
        <v>0</v>
      </c>
      <c r="AX33" s="160">
        <f t="shared" si="13"/>
        <v>646.09000000000026</v>
      </c>
      <c r="AZ33" s="152">
        <f t="shared" si="23"/>
        <v>4395.8500000000004</v>
      </c>
      <c r="BA33" s="21">
        <f t="shared" si="15"/>
        <v>0.13449374350225582</v>
      </c>
      <c r="BB33" s="22">
        <f t="shared" si="20"/>
        <v>2</v>
      </c>
      <c r="BC33" s="22">
        <f t="shared" ca="1" si="16"/>
        <v>627.97857142857151</v>
      </c>
      <c r="BE33" s="224">
        <f t="shared" ca="1" si="17"/>
        <v>4371.9400000000005</v>
      </c>
      <c r="BF33" s="21">
        <f t="shared" ca="1" si="18"/>
        <v>0.12101944503574029</v>
      </c>
      <c r="BG33" s="22">
        <f t="shared" ca="1" si="21"/>
        <v>2</v>
      </c>
      <c r="BH33" s="22">
        <f t="shared" ca="1" si="19"/>
        <v>624.56285714285718</v>
      </c>
      <c r="BJ33" s="224">
        <f t="shared" ca="1" si="22"/>
        <v>-23.909999999999741</v>
      </c>
    </row>
    <row r="34" spans="1:62" ht="15.75">
      <c r="A34" s="153" t="s">
        <v>23</v>
      </c>
      <c r="B34" s="154">
        <v>101.59999999999991</v>
      </c>
      <c r="C34" s="143" t="s">
        <v>0</v>
      </c>
      <c r="D34" s="155">
        <f>'01'!B300</f>
        <v>227</v>
      </c>
      <c r="E34" s="155">
        <f>SUM('01'!D300:F300)</f>
        <v>336.05</v>
      </c>
      <c r="F34" s="161">
        <f t="shared" si="2"/>
        <v>-7.4500000000001023</v>
      </c>
      <c r="G34" s="143" t="s">
        <v>1</v>
      </c>
      <c r="H34" s="155">
        <f>'02'!B300</f>
        <v>90</v>
      </c>
      <c r="I34" s="155">
        <f>SUM('02'!D300:F300)</f>
        <v>0</v>
      </c>
      <c r="J34" s="161">
        <f t="shared" si="3"/>
        <v>82.549999999999898</v>
      </c>
      <c r="K34" s="143" t="s">
        <v>2</v>
      </c>
      <c r="L34" s="155">
        <f>'03'!B300</f>
        <v>90</v>
      </c>
      <c r="M34" s="155">
        <f>SUM('03'!D300:F300)</f>
        <v>0</v>
      </c>
      <c r="N34" s="161">
        <f t="shared" si="4"/>
        <v>172.5499999999999</v>
      </c>
      <c r="O34" s="143" t="s">
        <v>3</v>
      </c>
      <c r="P34" s="155">
        <f>'04'!B300</f>
        <v>90</v>
      </c>
      <c r="Q34" s="155">
        <f>SUM('04'!D300:F300)</f>
        <v>44</v>
      </c>
      <c r="R34" s="161">
        <f t="shared" si="5"/>
        <v>218.5499999999999</v>
      </c>
      <c r="S34" s="143" t="s">
        <v>71</v>
      </c>
      <c r="T34" s="155">
        <f>'05'!B300</f>
        <v>125</v>
      </c>
      <c r="U34" s="155">
        <f>SUM('05'!D300:F300)</f>
        <v>360.64000000000004</v>
      </c>
      <c r="V34" s="161">
        <f t="shared" si="6"/>
        <v>-17.090000000000146</v>
      </c>
      <c r="W34" s="143" t="s">
        <v>70</v>
      </c>
      <c r="X34" s="155">
        <f>'06'!B300</f>
        <v>342.40999999999997</v>
      </c>
      <c r="Y34" s="155">
        <f>SUM('06'!D300:F300)</f>
        <v>242.41000000000003</v>
      </c>
      <c r="Z34" s="161">
        <f t="shared" si="7"/>
        <v>82.909999999999798</v>
      </c>
      <c r="AA34" s="143" t="s">
        <v>72</v>
      </c>
      <c r="AB34" s="155">
        <f>'07'!B300</f>
        <v>90</v>
      </c>
      <c r="AC34" s="155">
        <f>SUM('07'!D300:F300)</f>
        <v>183.26</v>
      </c>
      <c r="AD34" s="161">
        <f t="shared" si="8"/>
        <v>-10.350000000000193</v>
      </c>
      <c r="AE34" s="143" t="s">
        <v>73</v>
      </c>
      <c r="AF34" s="155">
        <f>'08'!B300</f>
        <v>90</v>
      </c>
      <c r="AG34" s="155">
        <f>SUM('08'!D300:F300)</f>
        <v>0</v>
      </c>
      <c r="AH34" s="161">
        <f t="shared" si="9"/>
        <v>79.649999999999807</v>
      </c>
      <c r="AI34" s="143" t="s">
        <v>76</v>
      </c>
      <c r="AJ34" s="155">
        <f>'09'!B300</f>
        <v>90</v>
      </c>
      <c r="AK34" s="155">
        <f>SUM('09'!D300:F300)</f>
        <v>0</v>
      </c>
      <c r="AL34" s="161">
        <f t="shared" si="10"/>
        <v>169.64999999999981</v>
      </c>
      <c r="AM34" s="143" t="s">
        <v>77</v>
      </c>
      <c r="AN34" s="155">
        <f>'10'!B300</f>
        <v>90</v>
      </c>
      <c r="AO34" s="155">
        <f>SUM('10'!D300:F300)</f>
        <v>0</v>
      </c>
      <c r="AP34" s="161">
        <f t="shared" si="11"/>
        <v>259.64999999999981</v>
      </c>
      <c r="AQ34" s="143" t="s">
        <v>80</v>
      </c>
      <c r="AR34" s="155">
        <f>'11'!B300</f>
        <v>90</v>
      </c>
      <c r="AS34" s="155">
        <f>SUM('11'!D300:F300)</f>
        <v>0</v>
      </c>
      <c r="AT34" s="161">
        <f t="shared" si="12"/>
        <v>349.64999999999981</v>
      </c>
      <c r="AU34" s="143" t="s">
        <v>84</v>
      </c>
      <c r="AV34" s="155">
        <f>'12'!B300</f>
        <v>90</v>
      </c>
      <c r="AW34" s="155">
        <f>SUM('12'!D300:F300)</f>
        <v>0</v>
      </c>
      <c r="AX34" s="161">
        <f t="shared" si="13"/>
        <v>439.64999999999981</v>
      </c>
      <c r="AZ34" s="152">
        <f t="shared" si="23"/>
        <v>1166.3600000000001</v>
      </c>
      <c r="BA34" s="21">
        <f t="shared" si="15"/>
        <v>3.568550398018383E-2</v>
      </c>
      <c r="BB34" s="22">
        <f t="shared" si="20"/>
        <v>7</v>
      </c>
      <c r="BC34" s="22">
        <f t="shared" ca="1" si="16"/>
        <v>166.62285714285716</v>
      </c>
      <c r="BE34" s="225">
        <f t="shared" ca="1" si="17"/>
        <v>1054.4099999999999</v>
      </c>
      <c r="BF34" s="21">
        <f t="shared" ca="1" si="18"/>
        <v>2.9187068678923976E-2</v>
      </c>
      <c r="BG34" s="22">
        <f t="shared" ca="1" si="21"/>
        <v>12</v>
      </c>
      <c r="BH34" s="22">
        <f t="shared" ca="1" si="19"/>
        <v>150.62999999999997</v>
      </c>
      <c r="BJ34" s="225">
        <f t="shared" ca="1" si="22"/>
        <v>-111.9500000000001</v>
      </c>
    </row>
    <row r="35" spans="1:62" ht="16.5" thickBot="1">
      <c r="A35" s="183" t="s">
        <v>86</v>
      </c>
      <c r="B35" s="184">
        <v>1489.6000000000004</v>
      </c>
      <c r="C35" s="185" t="s">
        <v>0</v>
      </c>
      <c r="D35" s="186">
        <f>'01'!B320</f>
        <v>115</v>
      </c>
      <c r="E35" s="186">
        <f>SUM('01'!D320:F320)</f>
        <v>75</v>
      </c>
      <c r="F35" s="187">
        <f t="shared" si="2"/>
        <v>1529.6000000000004</v>
      </c>
      <c r="G35" s="185" t="s">
        <v>1</v>
      </c>
      <c r="H35" s="186">
        <f>'02'!B320</f>
        <v>176.11</v>
      </c>
      <c r="I35" s="186">
        <f>SUM('02'!D320:F320)</f>
        <v>39.72</v>
      </c>
      <c r="J35" s="187">
        <f t="shared" si="3"/>
        <v>1665.9900000000005</v>
      </c>
      <c r="K35" s="185" t="s">
        <v>2</v>
      </c>
      <c r="L35" s="186">
        <f>'03'!B320</f>
        <v>149.44</v>
      </c>
      <c r="M35" s="186">
        <f>SUM('03'!D320:F320)</f>
        <v>161.42000000000002</v>
      </c>
      <c r="N35" s="187">
        <f t="shared" si="4"/>
        <v>1654.0100000000004</v>
      </c>
      <c r="O35" s="185" t="s">
        <v>3</v>
      </c>
      <c r="P35" s="186">
        <f>'04'!B320</f>
        <v>167.98000000000002</v>
      </c>
      <c r="Q35" s="186">
        <f>SUM('04'!D320:F320)</f>
        <v>195.4</v>
      </c>
      <c r="R35" s="187">
        <f t="shared" si="5"/>
        <v>1626.5900000000004</v>
      </c>
      <c r="S35" s="185" t="s">
        <v>71</v>
      </c>
      <c r="T35" s="186">
        <f>'05'!B320</f>
        <v>317.45</v>
      </c>
      <c r="U35" s="186">
        <f>SUM('05'!D320:F320)</f>
        <v>190.96</v>
      </c>
      <c r="V35" s="187">
        <f t="shared" si="6"/>
        <v>1753.0800000000004</v>
      </c>
      <c r="W35" s="185" t="s">
        <v>70</v>
      </c>
      <c r="X35" s="186">
        <f>'06'!B320</f>
        <v>130</v>
      </c>
      <c r="Y35" s="186">
        <f>SUM('06'!D320:F320)</f>
        <v>152.6</v>
      </c>
      <c r="Z35" s="187">
        <f t="shared" si="7"/>
        <v>1730.4800000000005</v>
      </c>
      <c r="AA35" s="185" t="s">
        <v>72</v>
      </c>
      <c r="AB35" s="186">
        <f>'07'!B320</f>
        <v>196.03</v>
      </c>
      <c r="AC35" s="186">
        <f>SUM('07'!D320:F320)</f>
        <v>152.5</v>
      </c>
      <c r="AD35" s="187">
        <f t="shared" si="8"/>
        <v>1774.0100000000004</v>
      </c>
      <c r="AE35" s="185" t="s">
        <v>73</v>
      </c>
      <c r="AF35" s="186">
        <f>'08'!B320</f>
        <v>130</v>
      </c>
      <c r="AG35" s="186">
        <f>SUM('08'!D320:F320)</f>
        <v>0</v>
      </c>
      <c r="AH35" s="187">
        <f t="shared" si="9"/>
        <v>1904.0100000000004</v>
      </c>
      <c r="AI35" s="185" t="s">
        <v>76</v>
      </c>
      <c r="AJ35" s="186">
        <f>'09'!B320</f>
        <v>115</v>
      </c>
      <c r="AK35" s="186">
        <f>SUM('09'!D320:F320)</f>
        <v>0</v>
      </c>
      <c r="AL35" s="187">
        <f t="shared" si="10"/>
        <v>2019.0100000000004</v>
      </c>
      <c r="AM35" s="185" t="s">
        <v>77</v>
      </c>
      <c r="AN35" s="186">
        <f>'10'!B320</f>
        <v>115</v>
      </c>
      <c r="AO35" s="186">
        <f>SUM('10'!D320:F320)</f>
        <v>0</v>
      </c>
      <c r="AP35" s="187">
        <f t="shared" si="11"/>
        <v>2134.0100000000002</v>
      </c>
      <c r="AQ35" s="185" t="s">
        <v>80</v>
      </c>
      <c r="AR35" s="186">
        <f>'11'!B320</f>
        <v>115</v>
      </c>
      <c r="AS35" s="186">
        <f>SUM('11'!D320:F320)</f>
        <v>0</v>
      </c>
      <c r="AT35" s="187">
        <f t="shared" si="12"/>
        <v>2249.0100000000002</v>
      </c>
      <c r="AU35" s="185" t="s">
        <v>84</v>
      </c>
      <c r="AV35" s="186">
        <f>'12'!B320</f>
        <v>115</v>
      </c>
      <c r="AW35" s="186">
        <f>SUM('12'!D320:F320)</f>
        <v>0</v>
      </c>
      <c r="AX35" s="187">
        <f t="shared" si="13"/>
        <v>2364.0100000000002</v>
      </c>
      <c r="AZ35" s="188">
        <f t="shared" si="23"/>
        <v>967.6</v>
      </c>
      <c r="BA35" s="21">
        <f t="shared" si="15"/>
        <v>2.9604319122077123E-2</v>
      </c>
      <c r="BB35" s="22">
        <f t="shared" si="20"/>
        <v>9</v>
      </c>
      <c r="BC35" s="22">
        <f t="shared" ca="1" si="16"/>
        <v>138.22857142857143</v>
      </c>
      <c r="BE35" s="224">
        <f t="shared" ca="1" si="17"/>
        <v>1252.01</v>
      </c>
      <c r="BF35" s="21">
        <f t="shared" ca="1" si="18"/>
        <v>3.4656824059615912E-2</v>
      </c>
      <c r="BG35" s="22">
        <f t="shared" ca="1" si="21"/>
        <v>9</v>
      </c>
      <c r="BH35" s="22">
        <f t="shared" ca="1" si="19"/>
        <v>178.85857142857142</v>
      </c>
      <c r="BJ35" s="224">
        <f t="shared" ca="1" si="22"/>
        <v>284.41000000000008</v>
      </c>
    </row>
    <row r="36" spans="1:62" ht="15.75">
      <c r="A36" s="163" t="s">
        <v>570</v>
      </c>
      <c r="B36" s="142">
        <v>100.99000000000007</v>
      </c>
      <c r="C36" s="143" t="s">
        <v>0</v>
      </c>
      <c r="D36" s="164">
        <f>'01'!B340</f>
        <v>90</v>
      </c>
      <c r="E36" s="164">
        <f>SUM('01'!D340:F340)</f>
        <v>261</v>
      </c>
      <c r="F36" s="156">
        <f t="shared" si="2"/>
        <v>-70.009999999999934</v>
      </c>
      <c r="G36" s="143" t="s">
        <v>1</v>
      </c>
      <c r="H36" s="164">
        <f>'02'!B340</f>
        <v>90</v>
      </c>
      <c r="I36" s="164">
        <f>SUM('02'!D340:F340)</f>
        <v>5</v>
      </c>
      <c r="J36" s="156">
        <f t="shared" si="3"/>
        <v>14.990000000000066</v>
      </c>
      <c r="K36" s="143" t="s">
        <v>2</v>
      </c>
      <c r="L36" s="164">
        <f>'03'!B340</f>
        <v>200</v>
      </c>
      <c r="M36" s="164">
        <f>SUM('03'!D340:F340)</f>
        <v>9.09</v>
      </c>
      <c r="N36" s="156">
        <f t="shared" si="4"/>
        <v>205.90000000000006</v>
      </c>
      <c r="O36" s="143" t="s">
        <v>3</v>
      </c>
      <c r="P36" s="164">
        <f>'04'!B340</f>
        <v>90.02</v>
      </c>
      <c r="Q36" s="164">
        <f>SUM('04'!D340:F340)</f>
        <v>0</v>
      </c>
      <c r="R36" s="156">
        <f t="shared" si="5"/>
        <v>295.92000000000007</v>
      </c>
      <c r="S36" s="143" t="s">
        <v>71</v>
      </c>
      <c r="T36" s="164">
        <f>'05'!B340</f>
        <v>90</v>
      </c>
      <c r="U36" s="164">
        <f>SUM('05'!D340:F340)</f>
        <v>174</v>
      </c>
      <c r="V36" s="156">
        <f t="shared" si="6"/>
        <v>211.92000000000007</v>
      </c>
      <c r="W36" s="143" t="s">
        <v>70</v>
      </c>
      <c r="X36" s="164">
        <f>'06'!B340</f>
        <v>90</v>
      </c>
      <c r="Y36" s="164">
        <f>SUM('06'!D340:F340)</f>
        <v>82</v>
      </c>
      <c r="Z36" s="156">
        <f t="shared" si="7"/>
        <v>219.92000000000007</v>
      </c>
      <c r="AA36" s="143" t="s">
        <v>72</v>
      </c>
      <c r="AB36" s="164">
        <f>'07'!B340</f>
        <v>190</v>
      </c>
      <c r="AC36" s="164">
        <f>SUM('07'!D340:F340)</f>
        <v>15</v>
      </c>
      <c r="AD36" s="156">
        <f t="shared" si="8"/>
        <v>394.92000000000007</v>
      </c>
      <c r="AE36" s="143" t="s">
        <v>73</v>
      </c>
      <c r="AF36" s="164">
        <f>'08'!B340</f>
        <v>90</v>
      </c>
      <c r="AG36" s="164">
        <f>SUM('08'!D340:F340)</f>
        <v>0</v>
      </c>
      <c r="AH36" s="156">
        <f t="shared" si="9"/>
        <v>484.92000000000007</v>
      </c>
      <c r="AI36" s="143" t="s">
        <v>76</v>
      </c>
      <c r="AJ36" s="164">
        <f>'09'!B340</f>
        <v>90</v>
      </c>
      <c r="AK36" s="164">
        <f>SUM('09'!D340:F340)</f>
        <v>0</v>
      </c>
      <c r="AL36" s="156">
        <f t="shared" si="10"/>
        <v>574.92000000000007</v>
      </c>
      <c r="AM36" s="143" t="s">
        <v>77</v>
      </c>
      <c r="AN36" s="164">
        <f>'10'!B340</f>
        <v>90</v>
      </c>
      <c r="AO36" s="164">
        <f>SUM('10'!D340:F340)</f>
        <v>0</v>
      </c>
      <c r="AP36" s="156">
        <f t="shared" si="11"/>
        <v>664.92000000000007</v>
      </c>
      <c r="AQ36" s="143" t="s">
        <v>80</v>
      </c>
      <c r="AR36" s="164">
        <f>'11'!B340</f>
        <v>90</v>
      </c>
      <c r="AS36" s="164">
        <f>SUM('11'!D340:F340)</f>
        <v>0</v>
      </c>
      <c r="AT36" s="156">
        <f t="shared" si="12"/>
        <v>754.92000000000007</v>
      </c>
      <c r="AU36" s="143" t="s">
        <v>84</v>
      </c>
      <c r="AV36" s="164">
        <f>'12'!B340</f>
        <v>90</v>
      </c>
      <c r="AW36" s="164">
        <f>SUM('12'!D340:F340)</f>
        <v>0</v>
      </c>
      <c r="AX36" s="156">
        <f t="shared" si="13"/>
        <v>844.92000000000007</v>
      </c>
      <c r="AZ36" s="182">
        <f t="shared" si="23"/>
        <v>546.08999999999992</v>
      </c>
      <c r="BA36" s="21">
        <f t="shared" si="15"/>
        <v>1.6707960551235111E-2</v>
      </c>
      <c r="BB36" s="22">
        <f t="shared" si="20"/>
        <v>12</v>
      </c>
      <c r="BC36" s="22">
        <f t="shared" ca="1" si="16"/>
        <v>78.012857142857129</v>
      </c>
      <c r="BE36" s="223">
        <f t="shared" ca="1" si="17"/>
        <v>840.02</v>
      </c>
      <c r="BF36" s="21">
        <f t="shared" ca="1" si="18"/>
        <v>2.3252550176562931E-2</v>
      </c>
      <c r="BG36" s="22">
        <f t="shared" ca="1" si="21"/>
        <v>13</v>
      </c>
      <c r="BH36" s="22">
        <f t="shared" ca="1" si="19"/>
        <v>120.00285714285714</v>
      </c>
      <c r="BJ36" s="223">
        <f t="shared" ca="1" si="22"/>
        <v>293.93</v>
      </c>
    </row>
    <row r="37" spans="1:62" ht="15.75">
      <c r="A37" s="146" t="s">
        <v>24</v>
      </c>
      <c r="B37" s="147">
        <v>273.38</v>
      </c>
      <c r="C37" s="148" t="s">
        <v>0</v>
      </c>
      <c r="D37" s="165">
        <f>'01'!B360</f>
        <v>45</v>
      </c>
      <c r="E37" s="165">
        <f>SUM('01'!D360:F360)</f>
        <v>0</v>
      </c>
      <c r="F37" s="151">
        <f t="shared" si="2"/>
        <v>318.38</v>
      </c>
      <c r="G37" s="148" t="s">
        <v>1</v>
      </c>
      <c r="H37" s="165">
        <f>'02'!B360</f>
        <v>45</v>
      </c>
      <c r="I37" s="165">
        <f>SUM('02'!D360:F360)</f>
        <v>315.64999999999998</v>
      </c>
      <c r="J37" s="151">
        <f t="shared" si="3"/>
        <v>47.730000000000018</v>
      </c>
      <c r="K37" s="148" t="s">
        <v>2</v>
      </c>
      <c r="L37" s="165">
        <f>'03'!B360</f>
        <v>55</v>
      </c>
      <c r="M37" s="165">
        <f>SUM('03'!D360:F360)</f>
        <v>52</v>
      </c>
      <c r="N37" s="151">
        <f t="shared" si="4"/>
        <v>50.730000000000018</v>
      </c>
      <c r="O37" s="148" t="s">
        <v>3</v>
      </c>
      <c r="P37" s="165">
        <f>'04'!B360</f>
        <v>45</v>
      </c>
      <c r="Q37" s="165">
        <f>SUM('04'!D360:F360)</f>
        <v>0</v>
      </c>
      <c r="R37" s="151">
        <f t="shared" si="5"/>
        <v>95.730000000000018</v>
      </c>
      <c r="S37" s="148" t="s">
        <v>71</v>
      </c>
      <c r="T37" s="165">
        <f>'05'!B360</f>
        <v>45</v>
      </c>
      <c r="U37" s="165">
        <f>SUM('05'!D360:F360)</f>
        <v>0</v>
      </c>
      <c r="V37" s="151">
        <f t="shared" si="6"/>
        <v>140.73000000000002</v>
      </c>
      <c r="W37" s="148" t="s">
        <v>70</v>
      </c>
      <c r="X37" s="165">
        <f>'06'!B360</f>
        <v>85</v>
      </c>
      <c r="Y37" s="165">
        <f>SUM('06'!D360:F360)</f>
        <v>0</v>
      </c>
      <c r="Z37" s="151">
        <f t="shared" si="7"/>
        <v>225.73000000000002</v>
      </c>
      <c r="AA37" s="148" t="s">
        <v>72</v>
      </c>
      <c r="AB37" s="165">
        <f>'07'!B360</f>
        <v>50</v>
      </c>
      <c r="AC37" s="165">
        <f>SUM('07'!D360:F360)</f>
        <v>64.3</v>
      </c>
      <c r="AD37" s="151">
        <f t="shared" si="8"/>
        <v>211.43</v>
      </c>
      <c r="AE37" s="148" t="s">
        <v>73</v>
      </c>
      <c r="AF37" s="165">
        <f>'08'!B360</f>
        <v>50</v>
      </c>
      <c r="AG37" s="165">
        <f>SUM('08'!D360:F360)</f>
        <v>0</v>
      </c>
      <c r="AH37" s="151">
        <f t="shared" si="9"/>
        <v>261.43</v>
      </c>
      <c r="AI37" s="148" t="s">
        <v>76</v>
      </c>
      <c r="AJ37" s="165">
        <f>'09'!B360</f>
        <v>45</v>
      </c>
      <c r="AK37" s="165">
        <f>SUM('09'!D360:F360)</f>
        <v>0</v>
      </c>
      <c r="AL37" s="151">
        <f t="shared" si="10"/>
        <v>306.43</v>
      </c>
      <c r="AM37" s="148" t="s">
        <v>77</v>
      </c>
      <c r="AN37" s="165">
        <f>'10'!B360</f>
        <v>45</v>
      </c>
      <c r="AO37" s="165">
        <f>SUM('10'!D360:F360)</f>
        <v>0</v>
      </c>
      <c r="AP37" s="151">
        <f t="shared" si="11"/>
        <v>351.43</v>
      </c>
      <c r="AQ37" s="148" t="s">
        <v>80</v>
      </c>
      <c r="AR37" s="165">
        <f>'11'!B360</f>
        <v>45</v>
      </c>
      <c r="AS37" s="165">
        <f>SUM('11'!D360:F360)</f>
        <v>0</v>
      </c>
      <c r="AT37" s="151">
        <f t="shared" si="12"/>
        <v>396.43</v>
      </c>
      <c r="AU37" s="148" t="s">
        <v>84</v>
      </c>
      <c r="AV37" s="165">
        <f>'12'!B360</f>
        <v>45</v>
      </c>
      <c r="AW37" s="165">
        <f>SUM('12'!D360:F360)</f>
        <v>0</v>
      </c>
      <c r="AX37" s="151">
        <f t="shared" si="13"/>
        <v>441.43</v>
      </c>
      <c r="AZ37" s="152">
        <f t="shared" si="23"/>
        <v>431.95</v>
      </c>
      <c r="BA37" s="21">
        <f t="shared" si="15"/>
        <v>1.3215776813539906E-2</v>
      </c>
      <c r="BB37" s="22">
        <f t="shared" si="20"/>
        <v>15</v>
      </c>
      <c r="BC37" s="22">
        <f t="shared" ca="1" si="16"/>
        <v>61.707142857142856</v>
      </c>
      <c r="BE37" s="224">
        <f t="shared" ca="1" si="17"/>
        <v>370</v>
      </c>
      <c r="BF37" s="21">
        <f t="shared" ca="1" si="18"/>
        <v>1.0241950864655944E-2</v>
      </c>
      <c r="BG37" s="22">
        <f t="shared" ca="1" si="21"/>
        <v>16</v>
      </c>
      <c r="BH37" s="22">
        <f t="shared" ca="1" si="19"/>
        <v>52.857142857142854</v>
      </c>
      <c r="BJ37" s="224">
        <f t="shared" ca="1" si="22"/>
        <v>-61.949999999999989</v>
      </c>
    </row>
    <row r="38" spans="1:62" ht="15.75">
      <c r="A38" s="153" t="s">
        <v>25</v>
      </c>
      <c r="B38" s="154">
        <v>39.200000000000031</v>
      </c>
      <c r="C38" s="143" t="s">
        <v>0</v>
      </c>
      <c r="D38" s="166">
        <f>'01'!B380</f>
        <v>70</v>
      </c>
      <c r="E38" s="166">
        <f>SUM('01'!D380:F380)</f>
        <v>90.9</v>
      </c>
      <c r="F38" s="156">
        <f t="shared" si="2"/>
        <v>18.300000000000026</v>
      </c>
      <c r="G38" s="143" t="s">
        <v>1</v>
      </c>
      <c r="H38" s="166">
        <f>'02'!B380</f>
        <v>100</v>
      </c>
      <c r="I38" s="166">
        <f>SUM('02'!D380:F380)</f>
        <v>136.38</v>
      </c>
      <c r="J38" s="156">
        <f t="shared" si="3"/>
        <v>-18.07999999999997</v>
      </c>
      <c r="K38" s="143" t="s">
        <v>2</v>
      </c>
      <c r="L38" s="166">
        <f>'03'!B380</f>
        <v>70</v>
      </c>
      <c r="M38" s="166">
        <f>SUM('03'!D380:F380)</f>
        <v>44.599999999999994</v>
      </c>
      <c r="N38" s="156">
        <f t="shared" si="4"/>
        <v>7.3200000000000358</v>
      </c>
      <c r="O38" s="143" t="s">
        <v>3</v>
      </c>
      <c r="P38" s="166">
        <f>'04'!B380</f>
        <v>70</v>
      </c>
      <c r="Q38" s="166">
        <f>SUM('04'!D380:F380)</f>
        <v>24.3</v>
      </c>
      <c r="R38" s="156">
        <f t="shared" si="5"/>
        <v>53.020000000000039</v>
      </c>
      <c r="S38" s="143" t="s">
        <v>71</v>
      </c>
      <c r="T38" s="166">
        <f>'05'!B380</f>
        <v>70</v>
      </c>
      <c r="U38" s="166">
        <f>SUM('05'!D380:F380)</f>
        <v>82.289999999999992</v>
      </c>
      <c r="V38" s="156">
        <f t="shared" si="6"/>
        <v>40.730000000000047</v>
      </c>
      <c r="W38" s="143" t="s">
        <v>70</v>
      </c>
      <c r="X38" s="166">
        <f>'06'!B380</f>
        <v>70</v>
      </c>
      <c r="Y38" s="166">
        <f>SUM('06'!D380:F380)</f>
        <v>69.099999999999994</v>
      </c>
      <c r="Z38" s="156">
        <f t="shared" si="7"/>
        <v>41.630000000000052</v>
      </c>
      <c r="AA38" s="143" t="s">
        <v>72</v>
      </c>
      <c r="AB38" s="166">
        <f>'07'!B380</f>
        <v>70</v>
      </c>
      <c r="AC38" s="166">
        <f>SUM('07'!D380:F380)</f>
        <v>31.1</v>
      </c>
      <c r="AD38" s="156">
        <f t="shared" si="8"/>
        <v>80.530000000000058</v>
      </c>
      <c r="AE38" s="143" t="s">
        <v>73</v>
      </c>
      <c r="AF38" s="166">
        <f>'08'!B380</f>
        <v>70</v>
      </c>
      <c r="AG38" s="166">
        <f>SUM('08'!D380:F380)</f>
        <v>0</v>
      </c>
      <c r="AH38" s="156">
        <f t="shared" si="9"/>
        <v>150.53000000000006</v>
      </c>
      <c r="AI38" s="143" t="s">
        <v>76</v>
      </c>
      <c r="AJ38" s="166">
        <f>'09'!B380</f>
        <v>70</v>
      </c>
      <c r="AK38" s="166">
        <f>SUM('09'!D380:F380)</f>
        <v>0</v>
      </c>
      <c r="AL38" s="156">
        <f t="shared" si="10"/>
        <v>220.53000000000006</v>
      </c>
      <c r="AM38" s="143" t="s">
        <v>77</v>
      </c>
      <c r="AN38" s="166">
        <f>'10'!B380</f>
        <v>70</v>
      </c>
      <c r="AO38" s="166">
        <f>SUM('10'!D380:F380)</f>
        <v>0</v>
      </c>
      <c r="AP38" s="156">
        <f t="shared" si="11"/>
        <v>290.53000000000009</v>
      </c>
      <c r="AQ38" s="143" t="s">
        <v>80</v>
      </c>
      <c r="AR38" s="166">
        <f>'11'!B380</f>
        <v>70</v>
      </c>
      <c r="AS38" s="166">
        <f>SUM('11'!D380:F380)</f>
        <v>0</v>
      </c>
      <c r="AT38" s="156">
        <f t="shared" si="12"/>
        <v>360.53000000000009</v>
      </c>
      <c r="AU38" s="143" t="s">
        <v>84</v>
      </c>
      <c r="AV38" s="166">
        <f>'12'!B380</f>
        <v>70</v>
      </c>
      <c r="AW38" s="166">
        <f>SUM('12'!D380:F380)</f>
        <v>0</v>
      </c>
      <c r="AX38" s="156">
        <f t="shared" si="13"/>
        <v>430.53000000000009</v>
      </c>
      <c r="AZ38" s="157">
        <f t="shared" si="23"/>
        <v>478.67000000000007</v>
      </c>
      <c r="BA38" s="21">
        <f t="shared" si="15"/>
        <v>1.4645204045230113E-2</v>
      </c>
      <c r="BB38" s="22">
        <f t="shared" si="20"/>
        <v>14</v>
      </c>
      <c r="BC38" s="22">
        <f t="shared" ca="1" si="16"/>
        <v>68.381428571428586</v>
      </c>
      <c r="BE38" s="225">
        <f t="shared" ca="1" si="17"/>
        <v>520</v>
      </c>
      <c r="BF38" s="21">
        <f t="shared" ca="1" si="18"/>
        <v>1.4394093107084028E-2</v>
      </c>
      <c r="BG38" s="22">
        <f t="shared" ca="1" si="21"/>
        <v>14</v>
      </c>
      <c r="BH38" s="22">
        <f t="shared" ca="1" si="19"/>
        <v>74.285714285714292</v>
      </c>
      <c r="BJ38" s="225">
        <f t="shared" ca="1" si="22"/>
        <v>41.330000000000027</v>
      </c>
    </row>
    <row r="39" spans="1:62" ht="15.75">
      <c r="A39" s="146" t="s">
        <v>26</v>
      </c>
      <c r="B39" s="147">
        <v>1180</v>
      </c>
      <c r="C39" s="148" t="s">
        <v>0</v>
      </c>
      <c r="D39" s="165">
        <f>'01'!B400</f>
        <v>20</v>
      </c>
      <c r="E39" s="165">
        <f>SUM('01'!D400:F400)</f>
        <v>0</v>
      </c>
      <c r="F39" s="151">
        <f t="shared" si="2"/>
        <v>1200</v>
      </c>
      <c r="G39" s="148" t="s">
        <v>1</v>
      </c>
      <c r="H39" s="165">
        <f>'02'!B400</f>
        <v>20</v>
      </c>
      <c r="I39" s="165">
        <f>SUM('02'!D400:F400)</f>
        <v>0</v>
      </c>
      <c r="J39" s="151">
        <f t="shared" si="3"/>
        <v>1220</v>
      </c>
      <c r="K39" s="148" t="s">
        <v>2</v>
      </c>
      <c r="L39" s="165">
        <f>'03'!B400</f>
        <v>-1220</v>
      </c>
      <c r="M39" s="165">
        <f>SUM('03'!D400:F400)</f>
        <v>0</v>
      </c>
      <c r="N39" s="151">
        <f t="shared" si="4"/>
        <v>0</v>
      </c>
      <c r="O39" s="148" t="s">
        <v>3</v>
      </c>
      <c r="P39" s="165">
        <f>'04'!B400</f>
        <v>1351.26</v>
      </c>
      <c r="Q39" s="165">
        <f>SUM('04'!D400:F400)</f>
        <v>0</v>
      </c>
      <c r="R39" s="151">
        <f t="shared" si="5"/>
        <v>1351.26</v>
      </c>
      <c r="S39" s="148" t="s">
        <v>71</v>
      </c>
      <c r="T39" s="165">
        <f>'05'!B400</f>
        <v>-1335</v>
      </c>
      <c r="U39" s="165">
        <f>SUM('05'!D400:F400)</f>
        <v>0</v>
      </c>
      <c r="V39" s="151">
        <f t="shared" si="6"/>
        <v>16.259999999999991</v>
      </c>
      <c r="W39" s="148" t="s">
        <v>70</v>
      </c>
      <c r="X39" s="165">
        <f>'06'!B400</f>
        <v>20</v>
      </c>
      <c r="Y39" s="165">
        <f>SUM('06'!D400:F400)</f>
        <v>0</v>
      </c>
      <c r="Z39" s="151">
        <f t="shared" si="7"/>
        <v>36.259999999999991</v>
      </c>
      <c r="AA39" s="148" t="s">
        <v>72</v>
      </c>
      <c r="AB39" s="165">
        <f>'07'!B400</f>
        <v>10</v>
      </c>
      <c r="AC39" s="165">
        <f>SUM('07'!D400:F400)</f>
        <v>0</v>
      </c>
      <c r="AD39" s="151">
        <f t="shared" si="8"/>
        <v>46.259999999999991</v>
      </c>
      <c r="AE39" s="148" t="s">
        <v>73</v>
      </c>
      <c r="AF39" s="165">
        <f>'08'!B400</f>
        <v>10</v>
      </c>
      <c r="AG39" s="165">
        <f>SUM('08'!D400:F400)</f>
        <v>0</v>
      </c>
      <c r="AH39" s="151">
        <f t="shared" si="9"/>
        <v>56.259999999999991</v>
      </c>
      <c r="AI39" s="148" t="s">
        <v>76</v>
      </c>
      <c r="AJ39" s="165">
        <f>'09'!B400</f>
        <v>20</v>
      </c>
      <c r="AK39" s="165">
        <f>SUM('09'!D400:F400)</f>
        <v>0</v>
      </c>
      <c r="AL39" s="151">
        <f t="shared" si="10"/>
        <v>76.259999999999991</v>
      </c>
      <c r="AM39" s="148" t="s">
        <v>77</v>
      </c>
      <c r="AN39" s="165">
        <f>'10'!B400</f>
        <v>20</v>
      </c>
      <c r="AO39" s="165">
        <f>SUM('10'!D400:F400)</f>
        <v>0</v>
      </c>
      <c r="AP39" s="151">
        <f t="shared" si="11"/>
        <v>96.259999999999991</v>
      </c>
      <c r="AQ39" s="148" t="s">
        <v>80</v>
      </c>
      <c r="AR39" s="165">
        <f>'11'!B400</f>
        <v>20</v>
      </c>
      <c r="AS39" s="165">
        <f>SUM('11'!D400:F400)</f>
        <v>0</v>
      </c>
      <c r="AT39" s="151">
        <f t="shared" si="12"/>
        <v>116.25999999999999</v>
      </c>
      <c r="AU39" s="148" t="s">
        <v>84</v>
      </c>
      <c r="AV39" s="165">
        <f>'12'!B400</f>
        <v>20</v>
      </c>
      <c r="AW39" s="165">
        <f>SUM('12'!D400:F400)</f>
        <v>0</v>
      </c>
      <c r="AX39" s="151">
        <f t="shared" si="13"/>
        <v>136.26</v>
      </c>
      <c r="AZ39" s="152">
        <f t="shared" si="23"/>
        <v>0</v>
      </c>
      <c r="BA39" s="21">
        <f t="shared" si="15"/>
        <v>0</v>
      </c>
      <c r="BB39" s="22">
        <f t="shared" si="20"/>
        <v>23</v>
      </c>
      <c r="BC39" s="22">
        <f t="shared" ca="1" si="16"/>
        <v>0</v>
      </c>
      <c r="BE39" s="224">
        <f t="shared" ca="1" si="17"/>
        <v>-1133.74</v>
      </c>
      <c r="BF39" s="21">
        <f t="shared" ca="1" si="18"/>
        <v>-3.1382998306202781E-2</v>
      </c>
      <c r="BG39" s="22">
        <f t="shared" ca="1" si="21"/>
        <v>26</v>
      </c>
      <c r="BH39" s="22">
        <f t="shared" ca="1" si="19"/>
        <v>-161.96285714285713</v>
      </c>
      <c r="BJ39" s="224">
        <f t="shared" ca="1" si="22"/>
        <v>-1133.74</v>
      </c>
    </row>
    <row r="40" spans="1:62" ht="15.75">
      <c r="A40" s="153" t="s">
        <v>52</v>
      </c>
      <c r="B40" s="154">
        <v>804.51000000000045</v>
      </c>
      <c r="C40" s="143" t="s">
        <v>0</v>
      </c>
      <c r="D40" s="166">
        <f>'01'!B420</f>
        <v>21.87</v>
      </c>
      <c r="E40" s="166">
        <f>SUM('01'!D420:F420)</f>
        <v>35.870000000000005</v>
      </c>
      <c r="F40" s="156">
        <f t="shared" si="2"/>
        <v>790.51000000000045</v>
      </c>
      <c r="G40" s="143" t="s">
        <v>1</v>
      </c>
      <c r="H40" s="166">
        <f>'02'!B420</f>
        <v>80</v>
      </c>
      <c r="I40" s="166">
        <f>SUM('02'!D420:F420)</f>
        <v>2.1800000000000002</v>
      </c>
      <c r="J40" s="156">
        <f t="shared" si="3"/>
        <v>868.3300000000005</v>
      </c>
      <c r="K40" s="143" t="s">
        <v>2</v>
      </c>
      <c r="L40" s="166">
        <f>'03'!B420</f>
        <v>-889.2</v>
      </c>
      <c r="M40" s="166">
        <f>SUM('03'!D420:F420)</f>
        <v>47.19</v>
      </c>
      <c r="N40" s="156">
        <f>J40+L40-M40</f>
        <v>-68.059999999999548</v>
      </c>
      <c r="O40" s="143" t="s">
        <v>3</v>
      </c>
      <c r="P40" s="166">
        <f>'04'!B420</f>
        <v>1122.97</v>
      </c>
      <c r="Q40" s="166">
        <f>SUM('04'!D420:F420)</f>
        <v>23.09</v>
      </c>
      <c r="R40" s="156">
        <f t="shared" si="5"/>
        <v>1031.8200000000006</v>
      </c>
      <c r="S40" s="143" t="s">
        <v>71</v>
      </c>
      <c r="T40" s="166">
        <f>'05'!B420</f>
        <v>-949.11</v>
      </c>
      <c r="U40" s="166">
        <f>SUM('05'!D420:F420)</f>
        <v>46.75</v>
      </c>
      <c r="V40" s="156">
        <f t="shared" si="6"/>
        <v>35.960000000000605</v>
      </c>
      <c r="W40" s="143" t="s">
        <v>70</v>
      </c>
      <c r="X40" s="166">
        <f>'06'!B420</f>
        <v>50</v>
      </c>
      <c r="Y40" s="166">
        <f>SUM('06'!D420:F420)</f>
        <v>2.98</v>
      </c>
      <c r="Z40" s="156">
        <f t="shared" si="7"/>
        <v>82.980000000000601</v>
      </c>
      <c r="AA40" s="143" t="s">
        <v>72</v>
      </c>
      <c r="AB40" s="166">
        <f>'07'!B420</f>
        <v>51.02</v>
      </c>
      <c r="AC40" s="166">
        <f>SUM('07'!D420:F420)</f>
        <v>3.06</v>
      </c>
      <c r="AD40" s="156">
        <f t="shared" si="8"/>
        <v>130.94000000000059</v>
      </c>
      <c r="AE40" s="143" t="s">
        <v>73</v>
      </c>
      <c r="AF40" s="166">
        <f>'08'!B420</f>
        <v>50</v>
      </c>
      <c r="AG40" s="166">
        <f>SUM('08'!D420:F420)</f>
        <v>0</v>
      </c>
      <c r="AH40" s="156">
        <f t="shared" si="9"/>
        <v>180.94000000000059</v>
      </c>
      <c r="AI40" s="143" t="s">
        <v>76</v>
      </c>
      <c r="AJ40" s="166">
        <f>'09'!B420</f>
        <v>20</v>
      </c>
      <c r="AK40" s="166">
        <f>SUM('09'!D420:F420)</f>
        <v>0</v>
      </c>
      <c r="AL40" s="156">
        <f t="shared" si="10"/>
        <v>200.94000000000059</v>
      </c>
      <c r="AM40" s="143" t="s">
        <v>77</v>
      </c>
      <c r="AN40" s="166">
        <f>'10'!B420</f>
        <v>20</v>
      </c>
      <c r="AO40" s="166">
        <f>SUM('10'!D420:F420)</f>
        <v>0</v>
      </c>
      <c r="AP40" s="156">
        <f t="shared" si="11"/>
        <v>220.94000000000059</v>
      </c>
      <c r="AQ40" s="143" t="s">
        <v>80</v>
      </c>
      <c r="AR40" s="166">
        <f>'11'!B420</f>
        <v>20</v>
      </c>
      <c r="AS40" s="166">
        <f>SUM('11'!D420:F420)</f>
        <v>0</v>
      </c>
      <c r="AT40" s="156">
        <f t="shared" si="12"/>
        <v>240.94000000000059</v>
      </c>
      <c r="AU40" s="143" t="s">
        <v>84</v>
      </c>
      <c r="AV40" s="166">
        <f>'12'!B420</f>
        <v>20</v>
      </c>
      <c r="AW40" s="166">
        <f>SUM('12'!D420:F420)</f>
        <v>0</v>
      </c>
      <c r="AX40" s="156">
        <f t="shared" si="13"/>
        <v>260.94000000000062</v>
      </c>
      <c r="AZ40" s="157">
        <f t="shared" si="23"/>
        <v>161.12</v>
      </c>
      <c r="BA40" s="21">
        <f t="shared" si="15"/>
        <v>4.9295658298357439E-3</v>
      </c>
      <c r="BB40" s="22">
        <f t="shared" si="20"/>
        <v>20</v>
      </c>
      <c r="BC40" s="22">
        <f t="shared" ca="1" si="16"/>
        <v>23.017142857142858</v>
      </c>
      <c r="BE40" s="225">
        <f t="shared" ca="1" si="17"/>
        <v>-512.45000000000005</v>
      </c>
      <c r="BF40" s="21">
        <f t="shared" ca="1" si="18"/>
        <v>-1.4185101947548483E-2</v>
      </c>
      <c r="BG40" s="22">
        <f t="shared" ca="1" si="21"/>
        <v>25</v>
      </c>
      <c r="BH40" s="22">
        <f t="shared" ca="1" si="19"/>
        <v>-73.20714285714287</v>
      </c>
      <c r="BJ40" s="225">
        <f t="shared" ca="1" si="22"/>
        <v>-673.56999999999982</v>
      </c>
    </row>
    <row r="41" spans="1:62" ht="15.75">
      <c r="A41" s="146" t="s">
        <v>27</v>
      </c>
      <c r="B41" s="147">
        <v>8549.9999999999982</v>
      </c>
      <c r="C41" s="148" t="s">
        <v>0</v>
      </c>
      <c r="D41" s="165">
        <f>'01'!B440</f>
        <v>-550.06999999999925</v>
      </c>
      <c r="E41" s="165">
        <f>SUM('01'!D440:F440)</f>
        <v>0</v>
      </c>
      <c r="F41" s="151">
        <f t="shared" si="2"/>
        <v>7999.9299999999985</v>
      </c>
      <c r="G41" s="148" t="s">
        <v>1</v>
      </c>
      <c r="H41" s="165">
        <f>'02'!B440</f>
        <v>120.06999999999971</v>
      </c>
      <c r="I41" s="165">
        <f>SUM('02'!D440:F440)</f>
        <v>0</v>
      </c>
      <c r="J41" s="151">
        <f t="shared" si="3"/>
        <v>8119.9999999999982</v>
      </c>
      <c r="K41" s="148" t="s">
        <v>2</v>
      </c>
      <c r="L41" s="165">
        <f>'03'!B440</f>
        <v>-119.16000000000167</v>
      </c>
      <c r="M41" s="165">
        <f>SUM('03'!D440:F440)</f>
        <v>0</v>
      </c>
      <c r="N41" s="151">
        <f t="shared" si="4"/>
        <v>8000.8399999999965</v>
      </c>
      <c r="O41" s="148" t="s">
        <v>3</v>
      </c>
      <c r="P41" s="165">
        <f>'04'!B440</f>
        <v>1.4495071809506044E-12</v>
      </c>
      <c r="Q41" s="165">
        <f>SUM('04'!D440:F440)</f>
        <v>0</v>
      </c>
      <c r="R41" s="151">
        <f t="shared" si="5"/>
        <v>8000.8399999999983</v>
      </c>
      <c r="S41" s="148" t="s">
        <v>71</v>
      </c>
      <c r="T41" s="165">
        <f>'05'!B440</f>
        <v>0.28000000000156433</v>
      </c>
      <c r="U41" s="165">
        <f>SUM('05'!D440:F440)</f>
        <v>0</v>
      </c>
      <c r="V41" s="151">
        <f t="shared" si="6"/>
        <v>8001.12</v>
      </c>
      <c r="W41" s="148" t="s">
        <v>70</v>
      </c>
      <c r="X41" s="165">
        <f>'06'!B440</f>
        <v>-0.82999999999901775</v>
      </c>
      <c r="Y41" s="165">
        <f>SUM('06'!D440:F440)</f>
        <v>0</v>
      </c>
      <c r="Z41" s="151">
        <f t="shared" si="7"/>
        <v>8000.2900000000009</v>
      </c>
      <c r="AA41" s="148" t="s">
        <v>72</v>
      </c>
      <c r="AB41" s="165">
        <f>'07'!B440</f>
        <v>347.59000000000015</v>
      </c>
      <c r="AC41" s="165">
        <f>SUM('07'!D440:F440)</f>
        <v>0</v>
      </c>
      <c r="AD41" s="151">
        <f t="shared" si="8"/>
        <v>8347.880000000001</v>
      </c>
      <c r="AE41" s="148" t="s">
        <v>73</v>
      </c>
      <c r="AF41" s="165">
        <f>'08'!B440</f>
        <v>-3900</v>
      </c>
      <c r="AG41" s="165">
        <f>SUM('08'!D440:F440)</f>
        <v>0</v>
      </c>
      <c r="AH41" s="151">
        <f t="shared" si="9"/>
        <v>4447.880000000001</v>
      </c>
      <c r="AI41" s="148" t="s">
        <v>76</v>
      </c>
      <c r="AJ41" s="165">
        <f>'09'!B440</f>
        <v>-3900</v>
      </c>
      <c r="AK41" s="165">
        <f>SUM('09'!D440:F440)</f>
        <v>0</v>
      </c>
      <c r="AL41" s="151">
        <f t="shared" si="10"/>
        <v>547.88000000000102</v>
      </c>
      <c r="AM41" s="148" t="s">
        <v>77</v>
      </c>
      <c r="AN41" s="165">
        <f>'10'!B440</f>
        <v>-3900</v>
      </c>
      <c r="AO41" s="165">
        <f>SUM('10'!D440:F440)</f>
        <v>0</v>
      </c>
      <c r="AP41" s="151">
        <f t="shared" si="11"/>
        <v>-3352.119999999999</v>
      </c>
      <c r="AQ41" s="148" t="s">
        <v>80</v>
      </c>
      <c r="AR41" s="165">
        <f>'11'!B440</f>
        <v>-3900</v>
      </c>
      <c r="AS41" s="165">
        <f>SUM('11'!D440:F440)</f>
        <v>0</v>
      </c>
      <c r="AT41" s="151">
        <f t="shared" si="12"/>
        <v>-7252.119999999999</v>
      </c>
      <c r="AU41" s="148" t="s">
        <v>84</v>
      </c>
      <c r="AV41" s="165">
        <f>'12'!B440</f>
        <v>-3900</v>
      </c>
      <c r="AW41" s="165">
        <f>SUM('12'!D440:F440)</f>
        <v>0</v>
      </c>
      <c r="AX41" s="151">
        <f t="shared" si="13"/>
        <v>-11152.119999999999</v>
      </c>
      <c r="AZ41" s="152">
        <f t="shared" si="23"/>
        <v>0</v>
      </c>
      <c r="BA41" s="21">
        <f t="shared" si="15"/>
        <v>0</v>
      </c>
      <c r="BB41" s="22">
        <f t="shared" si="20"/>
        <v>23</v>
      </c>
      <c r="BC41" s="22">
        <f t="shared" ca="1" si="16"/>
        <v>0</v>
      </c>
      <c r="BE41" s="224">
        <f t="shared" ca="1" si="17"/>
        <v>-202.11999999999705</v>
      </c>
      <c r="BF41" s="21">
        <f t="shared" ca="1" si="18"/>
        <v>-5.5948732669303487E-3</v>
      </c>
      <c r="BG41" s="22">
        <f t="shared" ca="1" si="21"/>
        <v>24</v>
      </c>
      <c r="BH41" s="22">
        <f t="shared" ca="1" si="19"/>
        <v>-28.874285714285293</v>
      </c>
      <c r="BJ41" s="224">
        <f t="shared" ca="1" si="22"/>
        <v>-202.11999999999716</v>
      </c>
    </row>
    <row r="42" spans="1:62" ht="15.75">
      <c r="A42" s="153" t="s">
        <v>155</v>
      </c>
      <c r="B42" s="154">
        <v>6892.12</v>
      </c>
      <c r="C42" s="143" t="s">
        <v>0</v>
      </c>
      <c r="D42" s="166">
        <f>'01'!B460</f>
        <v>1.98</v>
      </c>
      <c r="E42" s="166">
        <f>SUM('01'!D460:F460)</f>
        <v>0</v>
      </c>
      <c r="F42" s="156">
        <f t="shared" si="2"/>
        <v>6894.0999999999995</v>
      </c>
      <c r="G42" s="143" t="s">
        <v>1</v>
      </c>
      <c r="H42" s="166">
        <f>'02'!B460</f>
        <v>0</v>
      </c>
      <c r="I42" s="166">
        <f>SUM('02'!D460:F460)</f>
        <v>0</v>
      </c>
      <c r="J42" s="156">
        <f t="shared" si="3"/>
        <v>6894.0999999999995</v>
      </c>
      <c r="K42" s="143" t="s">
        <v>2</v>
      </c>
      <c r="L42" s="166">
        <f>'03'!B460</f>
        <v>4084.2</v>
      </c>
      <c r="M42" s="166">
        <f>SUM('03'!D460:F460)</f>
        <v>0</v>
      </c>
      <c r="N42" s="156">
        <f t="shared" si="4"/>
        <v>10978.3</v>
      </c>
      <c r="O42" s="143" t="s">
        <v>3</v>
      </c>
      <c r="P42" s="166">
        <f>'04'!B460</f>
        <v>-4084.2</v>
      </c>
      <c r="Q42" s="166">
        <f>SUM('04'!D460:F460)</f>
        <v>0</v>
      </c>
      <c r="R42" s="156">
        <f t="shared" si="5"/>
        <v>6894.0999999999995</v>
      </c>
      <c r="S42" s="143" t="s">
        <v>71</v>
      </c>
      <c r="T42" s="166">
        <f>'05'!B460</f>
        <v>4044.26</v>
      </c>
      <c r="U42" s="166">
        <f>SUM('05'!D460:F460)</f>
        <v>0</v>
      </c>
      <c r="V42" s="156">
        <f t="shared" si="6"/>
        <v>10938.36</v>
      </c>
      <c r="W42" s="143" t="s">
        <v>70</v>
      </c>
      <c r="X42" s="166">
        <f>'06'!B460</f>
        <v>0</v>
      </c>
      <c r="Y42" s="166">
        <f>SUM('06'!D460:F460)</f>
        <v>0</v>
      </c>
      <c r="Z42" s="156">
        <f t="shared" si="7"/>
        <v>10938.36</v>
      </c>
      <c r="AA42" s="143" t="s">
        <v>72</v>
      </c>
      <c r="AB42" s="166">
        <f>'07'!B460</f>
        <v>0</v>
      </c>
      <c r="AC42" s="166">
        <f>SUM('07'!D460:F460)</f>
        <v>0</v>
      </c>
      <c r="AD42" s="156">
        <f t="shared" si="8"/>
        <v>10938.36</v>
      </c>
      <c r="AE42" s="143" t="s">
        <v>73</v>
      </c>
      <c r="AF42" s="166">
        <f>'08'!B460</f>
        <v>0</v>
      </c>
      <c r="AG42" s="166">
        <f>SUM('08'!D460:F460)</f>
        <v>0</v>
      </c>
      <c r="AH42" s="156">
        <f t="shared" si="9"/>
        <v>10938.36</v>
      </c>
      <c r="AI42" s="143" t="s">
        <v>76</v>
      </c>
      <c r="AJ42" s="166">
        <f>'09'!B460</f>
        <v>0</v>
      </c>
      <c r="AK42" s="166">
        <f>SUM('09'!D460:F460)</f>
        <v>0</v>
      </c>
      <c r="AL42" s="156">
        <f t="shared" si="10"/>
        <v>10938.36</v>
      </c>
      <c r="AM42" s="143" t="s">
        <v>77</v>
      </c>
      <c r="AN42" s="166">
        <f>'10'!B460</f>
        <v>0</v>
      </c>
      <c r="AO42" s="166">
        <f>SUM('10'!D460:F460)</f>
        <v>0</v>
      </c>
      <c r="AP42" s="156">
        <f t="shared" si="11"/>
        <v>10938.36</v>
      </c>
      <c r="AQ42" s="143" t="s">
        <v>80</v>
      </c>
      <c r="AR42" s="166">
        <f>'11'!B460</f>
        <v>0</v>
      </c>
      <c r="AS42" s="166">
        <f>SUM('11'!D460:F460)</f>
        <v>0</v>
      </c>
      <c r="AT42" s="156">
        <f t="shared" si="12"/>
        <v>10938.36</v>
      </c>
      <c r="AU42" s="143" t="s">
        <v>84</v>
      </c>
      <c r="AV42" s="166">
        <f>'12'!B460</f>
        <v>0</v>
      </c>
      <c r="AW42" s="166">
        <f>SUM('12'!D460:F460)</f>
        <v>0</v>
      </c>
      <c r="AX42" s="156">
        <f t="shared" si="13"/>
        <v>10938.36</v>
      </c>
      <c r="AZ42" s="157">
        <f t="shared" si="23"/>
        <v>0</v>
      </c>
      <c r="BA42" s="21">
        <f t="shared" si="15"/>
        <v>0</v>
      </c>
      <c r="BB42" s="22">
        <f t="shared" si="20"/>
        <v>23</v>
      </c>
      <c r="BC42" s="22">
        <f t="shared" ca="1" si="16"/>
        <v>0</v>
      </c>
      <c r="BE42" s="225">
        <f t="shared" ca="1" si="17"/>
        <v>4046.2400000000002</v>
      </c>
      <c r="BF42" s="21">
        <f t="shared" ca="1" si="18"/>
        <v>0.11200376018001477</v>
      </c>
      <c r="BG42" s="22">
        <f t="shared" ca="1" si="21"/>
        <v>4</v>
      </c>
      <c r="BH42" s="22">
        <f t="shared" ca="1" si="19"/>
        <v>578.03428571428572</v>
      </c>
      <c r="BJ42" s="225">
        <f t="shared" ca="1" si="22"/>
        <v>4046.2400000000007</v>
      </c>
    </row>
    <row r="43" spans="1:62" ht="15.75">
      <c r="A43" s="162" t="s">
        <v>171</v>
      </c>
      <c r="B43" s="158">
        <v>963</v>
      </c>
      <c r="C43" s="148" t="s">
        <v>0</v>
      </c>
      <c r="D43" s="149">
        <f>'01'!B480</f>
        <v>50.02</v>
      </c>
      <c r="E43" s="149">
        <f>SUM('01'!D480:F480)</f>
        <v>0</v>
      </c>
      <c r="F43" s="151">
        <f t="shared" si="2"/>
        <v>1013.02</v>
      </c>
      <c r="G43" s="148" t="s">
        <v>1</v>
      </c>
      <c r="H43" s="149">
        <f>'02'!B480</f>
        <v>237.42</v>
      </c>
      <c r="I43" s="149">
        <f>SUM('02'!D480:F480)</f>
        <v>500</v>
      </c>
      <c r="J43" s="151">
        <f t="shared" si="3"/>
        <v>750.44</v>
      </c>
      <c r="K43" s="148" t="s">
        <v>2</v>
      </c>
      <c r="L43" s="149">
        <f>'03'!B480</f>
        <v>-405</v>
      </c>
      <c r="M43" s="149">
        <f>SUM('03'!D480:F480)</f>
        <v>0</v>
      </c>
      <c r="N43" s="151">
        <f t="shared" si="4"/>
        <v>345.44000000000005</v>
      </c>
      <c r="O43" s="148" t="s">
        <v>3</v>
      </c>
      <c r="P43" s="149">
        <f>'04'!B480</f>
        <v>623.19000000000005</v>
      </c>
      <c r="Q43" s="149">
        <f>SUM('04'!D480:F480)</f>
        <v>0</v>
      </c>
      <c r="R43" s="151">
        <f t="shared" si="5"/>
        <v>968.63000000000011</v>
      </c>
      <c r="S43" s="148" t="s">
        <v>71</v>
      </c>
      <c r="T43" s="149">
        <f>'05'!B480</f>
        <v>-400</v>
      </c>
      <c r="U43" s="149">
        <f>SUM('05'!D480:F480)</f>
        <v>0</v>
      </c>
      <c r="V43" s="151">
        <f t="shared" si="6"/>
        <v>568.63000000000011</v>
      </c>
      <c r="W43" s="148" t="s">
        <v>70</v>
      </c>
      <c r="X43" s="149">
        <f>'06'!B480</f>
        <v>10</v>
      </c>
      <c r="Y43" s="149">
        <f>SUM('06'!D480:F480)</f>
        <v>0</v>
      </c>
      <c r="Z43" s="151">
        <f t="shared" si="7"/>
        <v>578.63000000000011</v>
      </c>
      <c r="AA43" s="148" t="s">
        <v>72</v>
      </c>
      <c r="AB43" s="149">
        <f>'07'!B480</f>
        <v>65</v>
      </c>
      <c r="AC43" s="149">
        <f>SUM('07'!D480:F480)</f>
        <v>0</v>
      </c>
      <c r="AD43" s="151">
        <f t="shared" si="8"/>
        <v>643.63000000000011</v>
      </c>
      <c r="AE43" s="148" t="s">
        <v>73</v>
      </c>
      <c r="AF43" s="149">
        <f>'08'!B480</f>
        <v>65</v>
      </c>
      <c r="AG43" s="149">
        <f>SUM('08'!D480:F480)</f>
        <v>0</v>
      </c>
      <c r="AH43" s="151">
        <f t="shared" si="9"/>
        <v>708.63000000000011</v>
      </c>
      <c r="AI43" s="148" t="s">
        <v>76</v>
      </c>
      <c r="AJ43" s="149">
        <f>'09'!B480</f>
        <v>50</v>
      </c>
      <c r="AK43" s="149">
        <f>SUM('09'!D480:F480)</f>
        <v>0</v>
      </c>
      <c r="AL43" s="151">
        <f t="shared" si="10"/>
        <v>758.63000000000011</v>
      </c>
      <c r="AM43" s="148" t="s">
        <v>77</v>
      </c>
      <c r="AN43" s="149">
        <f>'10'!B480</f>
        <v>50</v>
      </c>
      <c r="AO43" s="149">
        <f>SUM('10'!D480:F480)</f>
        <v>0</v>
      </c>
      <c r="AP43" s="151">
        <f t="shared" si="11"/>
        <v>808.63000000000011</v>
      </c>
      <c r="AQ43" s="148" t="s">
        <v>80</v>
      </c>
      <c r="AR43" s="149">
        <f>'11'!B480</f>
        <v>50</v>
      </c>
      <c r="AS43" s="149">
        <f>SUM('11'!D480:F480)</f>
        <v>0</v>
      </c>
      <c r="AT43" s="151">
        <f t="shared" si="12"/>
        <v>858.63000000000011</v>
      </c>
      <c r="AU43" s="148" t="s">
        <v>84</v>
      </c>
      <c r="AV43" s="149">
        <f>'12'!B480</f>
        <v>50</v>
      </c>
      <c r="AW43" s="149">
        <f>SUM('12'!D480:F480)</f>
        <v>0</v>
      </c>
      <c r="AX43" s="151">
        <f t="shared" si="13"/>
        <v>908.63000000000011</v>
      </c>
      <c r="AZ43" s="152">
        <f t="shared" si="23"/>
        <v>500</v>
      </c>
      <c r="BA43" s="21">
        <f t="shared" si="15"/>
        <v>1.5297808558328402E-2</v>
      </c>
      <c r="BB43" s="22">
        <f t="shared" si="20"/>
        <v>13</v>
      </c>
      <c r="BC43" s="22">
        <f t="shared" ca="1" si="16"/>
        <v>71.428571428571431</v>
      </c>
      <c r="BE43" s="224">
        <f t="shared" ca="1" si="17"/>
        <v>180.63000000000005</v>
      </c>
      <c r="BF43" s="21">
        <f t="shared" ca="1" si="18"/>
        <v>5.0000096883319016E-3</v>
      </c>
      <c r="BG43" s="22">
        <f t="shared" ca="1" si="21"/>
        <v>20</v>
      </c>
      <c r="BH43" s="22">
        <f t="shared" ca="1" si="19"/>
        <v>25.804285714285722</v>
      </c>
      <c r="BJ43" s="224">
        <f t="shared" ca="1" si="22"/>
        <v>-319.36999999999989</v>
      </c>
    </row>
    <row r="44" spans="1:62" ht="15.75">
      <c r="A44" s="167" t="s">
        <v>29</v>
      </c>
      <c r="B44" s="168">
        <v>0</v>
      </c>
      <c r="C44" s="143" t="s">
        <v>0</v>
      </c>
      <c r="D44" s="169">
        <f>'01'!B500</f>
        <v>0</v>
      </c>
      <c r="E44" s="169">
        <f>SUM('01'!D500:F500)</f>
        <v>0</v>
      </c>
      <c r="F44" s="170">
        <f t="shared" si="2"/>
        <v>0</v>
      </c>
      <c r="G44" s="143" t="s">
        <v>1</v>
      </c>
      <c r="H44" s="169">
        <f>'02'!B500</f>
        <v>0</v>
      </c>
      <c r="I44" s="169">
        <f>SUM('02'!D500:F500)</f>
        <v>0</v>
      </c>
      <c r="J44" s="170">
        <f t="shared" si="3"/>
        <v>0</v>
      </c>
      <c r="K44" s="143" t="s">
        <v>2</v>
      </c>
      <c r="L44" s="169">
        <f>'03'!B500</f>
        <v>0</v>
      </c>
      <c r="M44" s="169">
        <f>SUM('03'!D500:F500)</f>
        <v>0</v>
      </c>
      <c r="N44" s="170">
        <f t="shared" si="4"/>
        <v>0</v>
      </c>
      <c r="O44" s="143" t="s">
        <v>3</v>
      </c>
      <c r="P44" s="169">
        <f>'04'!B500</f>
        <v>0</v>
      </c>
      <c r="Q44" s="169">
        <f>SUM('04'!D500:F500)</f>
        <v>0</v>
      </c>
      <c r="R44" s="170">
        <f t="shared" si="5"/>
        <v>0</v>
      </c>
      <c r="S44" s="143" t="s">
        <v>71</v>
      </c>
      <c r="T44" s="169">
        <f>'05'!B500</f>
        <v>0</v>
      </c>
      <c r="U44" s="169">
        <f>SUM('05'!D500:F500)</f>
        <v>0</v>
      </c>
      <c r="V44" s="170">
        <f t="shared" si="6"/>
        <v>0</v>
      </c>
      <c r="W44" s="143" t="s">
        <v>70</v>
      </c>
      <c r="X44" s="169">
        <f>'06'!B500</f>
        <v>0</v>
      </c>
      <c r="Y44" s="169">
        <f>SUM('06'!D500:F500)</f>
        <v>0</v>
      </c>
      <c r="Z44" s="170">
        <f t="shared" si="7"/>
        <v>0</v>
      </c>
      <c r="AA44" s="143" t="s">
        <v>72</v>
      </c>
      <c r="AB44" s="169">
        <f>'07'!B500</f>
        <v>0</v>
      </c>
      <c r="AC44" s="169">
        <f>SUM('07'!D500:F500)</f>
        <v>0</v>
      </c>
      <c r="AD44" s="170">
        <f t="shared" si="8"/>
        <v>0</v>
      </c>
      <c r="AE44" s="143" t="s">
        <v>73</v>
      </c>
      <c r="AF44" s="169">
        <f>'08'!B500</f>
        <v>0</v>
      </c>
      <c r="AG44" s="169">
        <f>SUM('08'!D500:F500)</f>
        <v>0</v>
      </c>
      <c r="AH44" s="170">
        <f t="shared" si="9"/>
        <v>0</v>
      </c>
      <c r="AI44" s="143" t="s">
        <v>76</v>
      </c>
      <c r="AJ44" s="169">
        <f>'09'!B500</f>
        <v>0</v>
      </c>
      <c r="AK44" s="169">
        <f>SUM('09'!D500:F500)</f>
        <v>0</v>
      </c>
      <c r="AL44" s="170">
        <f t="shared" si="10"/>
        <v>0</v>
      </c>
      <c r="AM44" s="143" t="s">
        <v>77</v>
      </c>
      <c r="AN44" s="169">
        <f>'10'!B500</f>
        <v>0</v>
      </c>
      <c r="AO44" s="169">
        <f>SUM('10'!D500:F500)</f>
        <v>0</v>
      </c>
      <c r="AP44" s="170">
        <f t="shared" si="11"/>
        <v>0</v>
      </c>
      <c r="AQ44" s="143" t="s">
        <v>80</v>
      </c>
      <c r="AR44" s="169">
        <f>'11'!B500</f>
        <v>0</v>
      </c>
      <c r="AS44" s="169">
        <f>SUM('11'!D500:F500)</f>
        <v>0</v>
      </c>
      <c r="AT44" s="170">
        <f t="shared" si="12"/>
        <v>0</v>
      </c>
      <c r="AU44" s="143" t="s">
        <v>84</v>
      </c>
      <c r="AV44" s="169">
        <f>'12'!B500</f>
        <v>0</v>
      </c>
      <c r="AW44" s="169">
        <f>SUM('12'!D500:F500)</f>
        <v>0</v>
      </c>
      <c r="AX44" s="170">
        <f t="shared" si="13"/>
        <v>0</v>
      </c>
      <c r="AZ44" s="157">
        <f t="shared" si="23"/>
        <v>0</v>
      </c>
      <c r="BA44" s="21">
        <f t="shared" si="15"/>
        <v>0</v>
      </c>
      <c r="BB44" s="22">
        <f t="shared" si="20"/>
        <v>23</v>
      </c>
      <c r="BC44" s="22">
        <f t="shared" ca="1" si="16"/>
        <v>0</v>
      </c>
      <c r="BE44" s="225">
        <f t="shared" ca="1" si="17"/>
        <v>0</v>
      </c>
      <c r="BF44" s="21">
        <f t="shared" ca="1" si="18"/>
        <v>0</v>
      </c>
      <c r="BG44" s="22">
        <f t="shared" ca="1" si="21"/>
        <v>22</v>
      </c>
      <c r="BH44" s="22">
        <f t="shared" ca="1" si="19"/>
        <v>0</v>
      </c>
      <c r="BJ44" s="225">
        <f t="shared" ca="1" si="22"/>
        <v>0</v>
      </c>
    </row>
    <row r="45" spans="1:62" ht="16.5" thickBot="1">
      <c r="A45" s="171" t="s">
        <v>28</v>
      </c>
      <c r="B45" s="172">
        <v>95.92000000000003</v>
      </c>
      <c r="C45" s="173" t="s">
        <v>0</v>
      </c>
      <c r="D45" s="174">
        <f>'01'!B520</f>
        <v>0</v>
      </c>
      <c r="E45" s="175">
        <f>SUM('01'!D520:F520)</f>
        <v>25.25</v>
      </c>
      <c r="F45" s="176">
        <f t="shared" si="2"/>
        <v>70.67000000000003</v>
      </c>
      <c r="G45" s="173" t="s">
        <v>1</v>
      </c>
      <c r="H45" s="174">
        <f>'02'!B520</f>
        <v>0</v>
      </c>
      <c r="I45" s="175">
        <f>SUM('02'!D520:F520)</f>
        <v>13.39</v>
      </c>
      <c r="J45" s="176">
        <f t="shared" si="3"/>
        <v>57.28000000000003</v>
      </c>
      <c r="K45" s="173" t="s">
        <v>2</v>
      </c>
      <c r="L45" s="174">
        <f>'03'!B520</f>
        <v>0</v>
      </c>
      <c r="M45" s="175">
        <f>SUM('03'!D520:F520)</f>
        <v>25.94</v>
      </c>
      <c r="N45" s="176">
        <f t="shared" si="4"/>
        <v>31.340000000000028</v>
      </c>
      <c r="O45" s="173" t="s">
        <v>3</v>
      </c>
      <c r="P45" s="174">
        <f>'04'!B520</f>
        <v>0</v>
      </c>
      <c r="Q45" s="175">
        <f>SUM('04'!D520:F520)</f>
        <v>0</v>
      </c>
      <c r="R45" s="176">
        <f t="shared" si="5"/>
        <v>31.340000000000028</v>
      </c>
      <c r="S45" s="173" t="s">
        <v>71</v>
      </c>
      <c r="T45" s="174">
        <f>'05'!B520</f>
        <v>0</v>
      </c>
      <c r="U45" s="175">
        <f>SUM('05'!D520:F520)</f>
        <v>0</v>
      </c>
      <c r="V45" s="176">
        <f t="shared" si="6"/>
        <v>31.340000000000028</v>
      </c>
      <c r="W45" s="173" t="s">
        <v>70</v>
      </c>
      <c r="X45" s="174">
        <f>'06'!B520</f>
        <v>0</v>
      </c>
      <c r="Y45" s="175">
        <f>SUM('06'!D520:F520)</f>
        <v>0</v>
      </c>
      <c r="Z45" s="176">
        <f t="shared" si="7"/>
        <v>31.340000000000028</v>
      </c>
      <c r="AA45" s="173" t="s">
        <v>72</v>
      </c>
      <c r="AB45" s="174">
        <f>'07'!B520</f>
        <v>0</v>
      </c>
      <c r="AC45" s="175">
        <f>SUM('07'!D520:F520)</f>
        <v>0</v>
      </c>
      <c r="AD45" s="176">
        <f t="shared" si="8"/>
        <v>31.340000000000028</v>
      </c>
      <c r="AE45" s="173" t="s">
        <v>73</v>
      </c>
      <c r="AF45" s="174">
        <f>'08'!B520</f>
        <v>0</v>
      </c>
      <c r="AG45" s="175">
        <f>SUM('08'!D520:F520)</f>
        <v>0</v>
      </c>
      <c r="AH45" s="176">
        <f t="shared" si="9"/>
        <v>31.340000000000028</v>
      </c>
      <c r="AI45" s="173" t="s">
        <v>76</v>
      </c>
      <c r="AJ45" s="174">
        <f>'09'!B520</f>
        <v>0</v>
      </c>
      <c r="AK45" s="175">
        <f>SUM('09'!D520:F520)</f>
        <v>0</v>
      </c>
      <c r="AL45" s="176">
        <f t="shared" si="10"/>
        <v>31.340000000000028</v>
      </c>
      <c r="AM45" s="173" t="s">
        <v>77</v>
      </c>
      <c r="AN45" s="174">
        <f>'10'!B520</f>
        <v>0</v>
      </c>
      <c r="AO45" s="175">
        <f>SUM('10'!D520:F520)</f>
        <v>0</v>
      </c>
      <c r="AP45" s="176">
        <f t="shared" si="11"/>
        <v>31.340000000000028</v>
      </c>
      <c r="AQ45" s="173" t="s">
        <v>80</v>
      </c>
      <c r="AR45" s="174">
        <f>'11'!B520</f>
        <v>0</v>
      </c>
      <c r="AS45" s="175">
        <f>SUM('11'!D520:F520)</f>
        <v>0</v>
      </c>
      <c r="AT45" s="176">
        <f t="shared" si="12"/>
        <v>31.340000000000028</v>
      </c>
      <c r="AU45" s="173" t="s">
        <v>84</v>
      </c>
      <c r="AV45" s="174">
        <f>'12'!B520</f>
        <v>0</v>
      </c>
      <c r="AW45" s="175">
        <f>SUM('12'!D520:F520)</f>
        <v>0</v>
      </c>
      <c r="AX45" s="176">
        <f t="shared" si="13"/>
        <v>31.340000000000028</v>
      </c>
      <c r="AZ45" s="177">
        <f t="shared" si="23"/>
        <v>64.58</v>
      </c>
      <c r="BA45" s="21">
        <f t="shared" si="15"/>
        <v>1.9758649533936964E-3</v>
      </c>
      <c r="BB45" s="22">
        <f t="shared" si="20"/>
        <v>22</v>
      </c>
      <c r="BC45" s="22">
        <f t="shared" ca="1" si="16"/>
        <v>9.225714285714286</v>
      </c>
      <c r="BE45" s="226">
        <f t="shared" ca="1" si="17"/>
        <v>0</v>
      </c>
      <c r="BF45" s="21">
        <f t="shared" ca="1" si="18"/>
        <v>0</v>
      </c>
      <c r="BG45" s="22">
        <f t="shared" ca="1" si="21"/>
        <v>22</v>
      </c>
      <c r="BH45" s="22">
        <f t="shared" ca="1" si="19"/>
        <v>0</v>
      </c>
      <c r="BJ45" s="226">
        <f t="shared" ca="1" si="22"/>
        <v>-64.58</v>
      </c>
    </row>
    <row r="46" spans="1:62" ht="17.25" thickTop="1" thickBot="1">
      <c r="A46" s="216" t="s">
        <v>5</v>
      </c>
      <c r="B46" s="217">
        <f>SUM(B20:B45)</f>
        <v>26383.539999999994</v>
      </c>
      <c r="C46" s="218"/>
      <c r="D46" s="219">
        <f>SUM(D20:D45)</f>
        <v>3691.5700000000011</v>
      </c>
      <c r="E46" s="219">
        <f>SUM(E20:E45)</f>
        <v>4845.7299999999996</v>
      </c>
      <c r="F46" s="220">
        <f>SUM(F20:F45)</f>
        <v>25229.379999999994</v>
      </c>
      <c r="G46" s="218"/>
      <c r="H46" s="219">
        <f>SUM(H20:H45)</f>
        <v>4821.6699999999992</v>
      </c>
      <c r="I46" s="219">
        <f>SUM(I20:I45)</f>
        <v>4476.29</v>
      </c>
      <c r="J46" s="220">
        <f>SUM(J20:J45)</f>
        <v>25574.759999999991</v>
      </c>
      <c r="K46" s="218"/>
      <c r="L46" s="219">
        <f>SUM(L20:L45)</f>
        <v>8724.6099999999969</v>
      </c>
      <c r="M46" s="219">
        <f>SUM(M20:M45)</f>
        <v>7855.6100000000006</v>
      </c>
      <c r="N46" s="220">
        <f>SUM(N20:N45)</f>
        <v>26443.759999999995</v>
      </c>
      <c r="O46" s="218"/>
      <c r="P46" s="219">
        <f>SUM(P20:P45)</f>
        <v>4322.7000000000044</v>
      </c>
      <c r="Q46" s="219">
        <f>SUM(Q20:Q45)</f>
        <v>3603.37</v>
      </c>
      <c r="R46" s="220">
        <f>SUM(R20:R45)</f>
        <v>27163.089999999997</v>
      </c>
      <c r="S46" s="218"/>
      <c r="T46" s="219">
        <f>SUM(T20:T45)</f>
        <v>5958.3200000000015</v>
      </c>
      <c r="U46" s="219">
        <f>SUM(U20:U45)</f>
        <v>4107.33</v>
      </c>
      <c r="V46" s="220">
        <f>SUM(V20:V45)</f>
        <v>29014.080000000002</v>
      </c>
      <c r="W46" s="218"/>
      <c r="X46" s="219">
        <f>SUM(X20:X45)</f>
        <v>4093.3200000000006</v>
      </c>
      <c r="Y46" s="219">
        <f>SUM(Y20:Y45)</f>
        <v>3824.44</v>
      </c>
      <c r="Z46" s="220">
        <f>SUM(Z20:Z45)</f>
        <v>29282.959999999999</v>
      </c>
      <c r="AA46" s="218"/>
      <c r="AB46" s="219">
        <f>SUM(AB20:AB45)</f>
        <v>4513.7400000000007</v>
      </c>
      <c r="AC46" s="219">
        <f>SUM(AC20:AC45)</f>
        <v>3971.6499999999996</v>
      </c>
      <c r="AD46" s="220">
        <f>SUM(AD20:AD45)</f>
        <v>29825.050000000003</v>
      </c>
      <c r="AE46" s="218"/>
      <c r="AF46" s="219">
        <f>SUM(AF20:AF45)</f>
        <v>0</v>
      </c>
      <c r="AG46" s="219">
        <f>SUM(AG20:AG45)</f>
        <v>0</v>
      </c>
      <c r="AH46" s="220">
        <f>SUM(AH20:AH45)</f>
        <v>29825.050000000003</v>
      </c>
      <c r="AI46" s="218"/>
      <c r="AJ46" s="219">
        <f>SUM(AJ20:AJ45)</f>
        <v>0</v>
      </c>
      <c r="AK46" s="219">
        <f>SUM(AK20:AK45)</f>
        <v>0</v>
      </c>
      <c r="AL46" s="220">
        <f>SUM(AL20:AL45)</f>
        <v>29825.050000000003</v>
      </c>
      <c r="AM46" s="218"/>
      <c r="AN46" s="219">
        <f>SUM(AN20:AN45)</f>
        <v>0</v>
      </c>
      <c r="AO46" s="219">
        <f>SUM(AO20:AO45)</f>
        <v>0</v>
      </c>
      <c r="AP46" s="220">
        <f>SUM(AP20:AP45)</f>
        <v>29825.050000000003</v>
      </c>
      <c r="AQ46" s="218"/>
      <c r="AR46" s="219">
        <f>SUM(AR20:AR45)</f>
        <v>0</v>
      </c>
      <c r="AS46" s="219">
        <f>SUM(AS20:AS45)</f>
        <v>0</v>
      </c>
      <c r="AT46" s="220">
        <f>SUM(AT20:AT45)</f>
        <v>29825.049999999996</v>
      </c>
      <c r="AU46" s="218"/>
      <c r="AV46" s="219">
        <f>SUM(AV20:AV45)</f>
        <v>0</v>
      </c>
      <c r="AW46" s="219">
        <f>SUM(AW20:AW45)</f>
        <v>0</v>
      </c>
      <c r="AX46" s="220">
        <f>SUM(AX20:AX45)</f>
        <v>29825.049999999996</v>
      </c>
      <c r="AZ46" s="227">
        <f>SUM(AZ20:AZ45)</f>
        <v>32684.420000000002</v>
      </c>
      <c r="BA46" s="1"/>
      <c r="BB46" s="1"/>
      <c r="BC46" s="124">
        <f ca="1">SUM(BC20:BC45)</f>
        <v>4669.2028571428573</v>
      </c>
      <c r="BE46" s="227">
        <f ca="1">SUM(BE20:BE45)</f>
        <v>36125.929999999993</v>
      </c>
      <c r="BF46" s="1"/>
      <c r="BG46" s="1"/>
      <c r="BH46" s="124">
        <f ca="1">SUM(BH20:BH45)</f>
        <v>5160.8471428571456</v>
      </c>
      <c r="BJ46" s="227">
        <f ca="1">SUM(BJ20:BJ45)</f>
        <v>3441.5100000000034</v>
      </c>
    </row>
    <row r="47" spans="1:62" s="29" customFormat="1" ht="12.75">
      <c r="A47" s="207" t="s">
        <v>161</v>
      </c>
      <c r="B47" s="125"/>
      <c r="C47" s="125">
        <f>C5-B46</f>
        <v>0</v>
      </c>
      <c r="D47" s="125">
        <f>C17-D46</f>
        <v>0</v>
      </c>
      <c r="E47" s="125">
        <f>C17-E46</f>
        <v>-1154.1599999999994</v>
      </c>
      <c r="F47" s="125"/>
      <c r="G47" s="125">
        <f>G5-F46</f>
        <v>0</v>
      </c>
      <c r="H47" s="125">
        <f>G17-H46</f>
        <v>0</v>
      </c>
      <c r="I47" s="125">
        <f>G17-I46</f>
        <v>345.38000000000011</v>
      </c>
      <c r="J47" s="125"/>
      <c r="K47" s="125">
        <f>K5-J46</f>
        <v>0</v>
      </c>
      <c r="L47" s="125">
        <f>K17-L46</f>
        <v>0</v>
      </c>
      <c r="M47" s="125">
        <f>K17-M46</f>
        <v>868.99999999999818</v>
      </c>
      <c r="N47" s="125"/>
      <c r="O47" s="125">
        <f>O5-N46</f>
        <v>0</v>
      </c>
      <c r="P47" s="125">
        <f>O17-P46</f>
        <v>0</v>
      </c>
      <c r="Q47" s="125">
        <f>O17-Q46</f>
        <v>719.33000000000084</v>
      </c>
      <c r="R47" s="125"/>
      <c r="S47" s="125">
        <f>S5-R46</f>
        <v>0</v>
      </c>
      <c r="T47" s="125">
        <f>S17-T46</f>
        <v>0</v>
      </c>
      <c r="U47" s="125">
        <f>S17-U46</f>
        <v>1850.9900000000016</v>
      </c>
      <c r="V47" s="125"/>
      <c r="W47" s="125">
        <f>W5-V46</f>
        <v>0</v>
      </c>
      <c r="X47" s="125">
        <f>W17-X46</f>
        <v>0</v>
      </c>
      <c r="Y47" s="125">
        <f>W17-Y46</f>
        <v>268.88000000000056</v>
      </c>
      <c r="Z47" s="125"/>
      <c r="AA47" s="125">
        <f>AA5-Z46</f>
        <v>0</v>
      </c>
      <c r="AB47" s="125">
        <f>AA17-AB46</f>
        <v>0</v>
      </c>
      <c r="AC47" s="125">
        <f>AA17-AC46</f>
        <v>542.09000000000106</v>
      </c>
      <c r="AD47" s="125"/>
      <c r="AE47" s="125">
        <f>AE5-AD46</f>
        <v>-542.09000000000378</v>
      </c>
      <c r="AF47" s="125">
        <f>AE17-AF46</f>
        <v>0</v>
      </c>
      <c r="AG47" s="125">
        <f>AE17-AG46</f>
        <v>0</v>
      </c>
      <c r="AH47" s="125"/>
      <c r="AI47" s="125">
        <f>AI5-AH46</f>
        <v>-14723.160000000002</v>
      </c>
      <c r="AJ47" s="125">
        <f>AI17-AJ46</f>
        <v>0</v>
      </c>
      <c r="AK47" s="125">
        <f>AI17-AK46</f>
        <v>0</v>
      </c>
      <c r="AL47" s="125"/>
      <c r="AM47" s="125">
        <f>AM5-AL46</f>
        <v>-14723.160000000002</v>
      </c>
      <c r="AN47" s="125">
        <f>AM17-AN46</f>
        <v>0</v>
      </c>
      <c r="AO47" s="125">
        <f>AM17-AO46</f>
        <v>0</v>
      </c>
      <c r="AP47" s="125"/>
      <c r="AQ47" s="125">
        <f>AQ5-AP46</f>
        <v>-14723.160000000002</v>
      </c>
      <c r="AR47" s="125">
        <f>AQ17-AR46</f>
        <v>0</v>
      </c>
      <c r="AS47" s="125">
        <f>AQ17-AS46</f>
        <v>0</v>
      </c>
      <c r="AT47" s="140"/>
      <c r="AU47" s="125">
        <f>AU5-AT46</f>
        <v>-14723.159999999994</v>
      </c>
      <c r="AV47" s="125">
        <f>AU17-AV46</f>
        <v>0</v>
      </c>
      <c r="AW47" s="125">
        <f>AU17-AW46</f>
        <v>0</v>
      </c>
      <c r="AX47" s="125"/>
      <c r="AZ47" s="125"/>
      <c r="BA47" s="28"/>
      <c r="BB47" s="28"/>
      <c r="BC47" s="28"/>
    </row>
    <row r="48" spans="1:62" ht="15.75">
      <c r="A48" s="202"/>
      <c r="B48" s="1"/>
      <c r="C48" s="5"/>
      <c r="D48" s="5"/>
      <c r="E48" s="5"/>
      <c r="F48" s="5"/>
      <c r="G48" s="5"/>
      <c r="H48" s="14"/>
      <c r="I48" s="14"/>
      <c r="J48" s="14"/>
      <c r="K48" s="5"/>
      <c r="L48" s="14"/>
      <c r="M48" s="1"/>
      <c r="N48" s="1"/>
      <c r="O48" s="5"/>
      <c r="P48" s="5"/>
      <c r="Q48" s="5"/>
      <c r="R48" s="5"/>
      <c r="S48" s="5"/>
      <c r="T48" s="5"/>
      <c r="U48" s="5"/>
      <c r="V48" s="5"/>
      <c r="W48" s="5"/>
      <c r="X48" s="14"/>
      <c r="Y48" s="14"/>
      <c r="Z48" s="14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 t="s">
        <v>195</v>
      </c>
      <c r="AW48" s="5"/>
      <c r="AX48" s="5"/>
      <c r="AZ48" s="112">
        <f>4000*12</f>
        <v>48000</v>
      </c>
      <c r="BA48" s="112"/>
      <c r="BB48" s="1" t="s">
        <v>196</v>
      </c>
      <c r="BC48" s="112">
        <f ca="1">12*BC46</f>
        <v>56030.434285714291</v>
      </c>
    </row>
    <row r="49" spans="1:62">
      <c r="C49" s="38"/>
      <c r="AZ49" s="38"/>
      <c r="BE49" s="111"/>
      <c r="BJ49" s="111"/>
    </row>
    <row r="50" spans="1:62">
      <c r="A50" s="208" t="s">
        <v>154</v>
      </c>
      <c r="B50" s="119"/>
      <c r="C50" s="119"/>
      <c r="D50" s="119"/>
      <c r="E50" s="119">
        <f>E22-121.4+30.35</f>
        <v>417.31000000000006</v>
      </c>
      <c r="F50" s="119"/>
      <c r="G50" s="119"/>
      <c r="H50" s="119"/>
      <c r="I50" s="119">
        <f>I22+30.35</f>
        <v>426.61</v>
      </c>
      <c r="J50" s="119"/>
      <c r="K50" s="119"/>
      <c r="L50" s="119"/>
      <c r="M50" s="119">
        <f>M22+30.35-13.6</f>
        <v>362.63000000000005</v>
      </c>
      <c r="N50" s="119"/>
      <c r="O50" s="119"/>
      <c r="P50" s="119"/>
      <c r="Q50" s="119">
        <f>Q22+30.35</f>
        <v>65.760000000000005</v>
      </c>
      <c r="R50" s="119"/>
      <c r="S50" s="119"/>
      <c r="T50" s="119"/>
      <c r="U50" s="119">
        <f>U22+(N59/2)</f>
        <v>338.06</v>
      </c>
      <c r="V50" s="119" t="s">
        <v>611</v>
      </c>
      <c r="W50" s="119"/>
      <c r="X50" s="119"/>
      <c r="Y50" s="119">
        <f>Y22+(N59/2)</f>
        <v>300.02000000000004</v>
      </c>
      <c r="Z50" s="119" t="s">
        <v>653</v>
      </c>
      <c r="AA50" s="119"/>
      <c r="AB50" s="119"/>
      <c r="AC50" s="119">
        <f>AC22</f>
        <v>33.099999999999994</v>
      </c>
      <c r="AD50" s="119" t="s">
        <v>716</v>
      </c>
      <c r="AE50" s="119"/>
      <c r="AF50" s="119"/>
      <c r="AG50" s="119">
        <f>AG22</f>
        <v>0</v>
      </c>
      <c r="AH50" s="119"/>
      <c r="AI50" s="119"/>
      <c r="AJ50" s="119"/>
      <c r="AK50" s="119">
        <f>AK22</f>
        <v>0</v>
      </c>
      <c r="AL50" s="119"/>
      <c r="AM50" s="119"/>
      <c r="AN50" s="119"/>
      <c r="AO50" s="119">
        <f>AO22</f>
        <v>0</v>
      </c>
      <c r="AP50" s="119"/>
      <c r="AQ50" s="119"/>
      <c r="AR50" s="119"/>
      <c r="AS50" s="119">
        <f>AS22</f>
        <v>0</v>
      </c>
      <c r="AT50" s="119"/>
      <c r="AU50" s="119"/>
      <c r="AV50" s="119"/>
      <c r="AW50" s="119">
        <f>AW22</f>
        <v>0</v>
      </c>
      <c r="AX50" s="119"/>
      <c r="AZ50" s="119"/>
    </row>
    <row r="51" spans="1:62" ht="15.75" thickBot="1"/>
    <row r="52" spans="1:62">
      <c r="C52" s="347" t="s">
        <v>149</v>
      </c>
      <c r="D52" s="348"/>
      <c r="E52" s="348"/>
      <c r="F52" s="349"/>
      <c r="G52" s="347" t="s">
        <v>149</v>
      </c>
      <c r="H52" s="348"/>
      <c r="I52" s="348"/>
      <c r="J52" s="349"/>
      <c r="K52" s="347" t="s">
        <v>149</v>
      </c>
      <c r="L52" s="348"/>
      <c r="M52" s="348"/>
      <c r="N52" s="349"/>
      <c r="O52" s="347" t="s">
        <v>149</v>
      </c>
      <c r="P52" s="348"/>
      <c r="Q52" s="348"/>
      <c r="R52" s="349"/>
      <c r="S52" s="347" t="s">
        <v>149</v>
      </c>
      <c r="T52" s="348"/>
      <c r="U52" s="348"/>
      <c r="V52" s="349"/>
      <c r="W52" s="347" t="s">
        <v>149</v>
      </c>
      <c r="X52" s="348"/>
      <c r="Y52" s="348"/>
      <c r="Z52" s="349"/>
      <c r="AA52" s="347" t="s">
        <v>149</v>
      </c>
      <c r="AB52" s="348"/>
      <c r="AC52" s="348"/>
      <c r="AD52" s="349"/>
      <c r="AE52" s="347" t="s">
        <v>149</v>
      </c>
      <c r="AF52" s="348"/>
      <c r="AG52" s="348"/>
      <c r="AH52" s="349"/>
      <c r="AI52" s="347" t="s">
        <v>149</v>
      </c>
      <c r="AJ52" s="348"/>
      <c r="AK52" s="348"/>
      <c r="AL52" s="349"/>
      <c r="AM52" s="347" t="s">
        <v>149</v>
      </c>
      <c r="AN52" s="348"/>
      <c r="AO52" s="348"/>
      <c r="AP52" s="349"/>
      <c r="AQ52" s="347" t="s">
        <v>149</v>
      </c>
      <c r="AR52" s="348"/>
      <c r="AS52" s="348"/>
      <c r="AT52" s="349"/>
      <c r="AU52" s="347" t="s">
        <v>149</v>
      </c>
      <c r="AV52" s="348"/>
      <c r="AW52" s="348"/>
      <c r="AX52" s="349"/>
    </row>
    <row r="53" spans="1:62" ht="15.75" thickBot="1">
      <c r="C53" s="93" t="s">
        <v>150</v>
      </c>
      <c r="D53" s="350" t="s">
        <v>31</v>
      </c>
      <c r="E53" s="351"/>
      <c r="F53" s="94" t="s">
        <v>88</v>
      </c>
      <c r="G53" s="93" t="s">
        <v>150</v>
      </c>
      <c r="H53" s="350" t="s">
        <v>31</v>
      </c>
      <c r="I53" s="351"/>
      <c r="J53" s="94" t="s">
        <v>88</v>
      </c>
      <c r="K53" s="93" t="s">
        <v>150</v>
      </c>
      <c r="L53" s="350" t="s">
        <v>31</v>
      </c>
      <c r="M53" s="351"/>
      <c r="N53" s="94" t="s">
        <v>88</v>
      </c>
      <c r="O53" s="93" t="s">
        <v>150</v>
      </c>
      <c r="P53" s="350" t="s">
        <v>31</v>
      </c>
      <c r="Q53" s="351"/>
      <c r="R53" s="94" t="s">
        <v>88</v>
      </c>
      <c r="S53" s="93" t="s">
        <v>150</v>
      </c>
      <c r="T53" s="350" t="s">
        <v>31</v>
      </c>
      <c r="U53" s="351"/>
      <c r="V53" s="94" t="s">
        <v>88</v>
      </c>
      <c r="W53" s="93" t="s">
        <v>150</v>
      </c>
      <c r="X53" s="350" t="s">
        <v>31</v>
      </c>
      <c r="Y53" s="351"/>
      <c r="Z53" s="94" t="s">
        <v>88</v>
      </c>
      <c r="AA53" s="93" t="s">
        <v>150</v>
      </c>
      <c r="AB53" s="350" t="s">
        <v>31</v>
      </c>
      <c r="AC53" s="351"/>
      <c r="AD53" s="94" t="s">
        <v>88</v>
      </c>
      <c r="AE53" s="93" t="s">
        <v>150</v>
      </c>
      <c r="AF53" s="350" t="s">
        <v>31</v>
      </c>
      <c r="AG53" s="351"/>
      <c r="AH53" s="94" t="s">
        <v>88</v>
      </c>
      <c r="AI53" s="93" t="s">
        <v>150</v>
      </c>
      <c r="AJ53" s="350" t="s">
        <v>31</v>
      </c>
      <c r="AK53" s="351"/>
      <c r="AL53" s="94" t="s">
        <v>88</v>
      </c>
      <c r="AM53" s="93" t="s">
        <v>150</v>
      </c>
      <c r="AN53" s="350" t="s">
        <v>31</v>
      </c>
      <c r="AO53" s="351"/>
      <c r="AP53" s="94" t="s">
        <v>88</v>
      </c>
      <c r="AQ53" s="93" t="s">
        <v>150</v>
      </c>
      <c r="AR53" s="350" t="s">
        <v>31</v>
      </c>
      <c r="AS53" s="351"/>
      <c r="AT53" s="94" t="s">
        <v>88</v>
      </c>
      <c r="AU53" s="93" t="s">
        <v>150</v>
      </c>
      <c r="AV53" s="350" t="s">
        <v>31</v>
      </c>
      <c r="AW53" s="351"/>
      <c r="AX53" s="94" t="s">
        <v>88</v>
      </c>
    </row>
    <row r="54" spans="1:62">
      <c r="C54" s="95">
        <v>43495</v>
      </c>
      <c r="D54" s="352" t="s">
        <v>235</v>
      </c>
      <c r="E54" s="353"/>
      <c r="F54" s="98"/>
      <c r="G54" s="95">
        <v>43497</v>
      </c>
      <c r="H54" s="352" t="s">
        <v>270</v>
      </c>
      <c r="I54" s="353"/>
      <c r="J54" s="100">
        <v>500</v>
      </c>
      <c r="K54" s="95">
        <v>43539</v>
      </c>
      <c r="L54" s="372" t="s">
        <v>257</v>
      </c>
      <c r="M54" s="373"/>
      <c r="N54" s="100">
        <v>70</v>
      </c>
      <c r="O54" s="95"/>
      <c r="P54" s="358"/>
      <c r="Q54" s="359"/>
      <c r="R54" s="102"/>
      <c r="S54" s="95">
        <v>43594</v>
      </c>
      <c r="T54" s="372" t="s">
        <v>243</v>
      </c>
      <c r="U54" s="373"/>
      <c r="V54" s="103"/>
      <c r="W54" s="95">
        <v>43624</v>
      </c>
      <c r="X54" s="372" t="s">
        <v>153</v>
      </c>
      <c r="Y54" s="373"/>
      <c r="Z54" s="104">
        <v>10</v>
      </c>
      <c r="AA54" s="95"/>
      <c r="AB54" s="370" t="s">
        <v>477</v>
      </c>
      <c r="AC54" s="371"/>
      <c r="AD54" s="239">
        <v>15</v>
      </c>
      <c r="AE54" s="95"/>
      <c r="AF54" s="366"/>
      <c r="AG54" s="367"/>
      <c r="AH54" s="100"/>
      <c r="AI54" s="95"/>
      <c r="AJ54" s="362"/>
      <c r="AK54" s="363"/>
      <c r="AL54" s="100"/>
      <c r="AM54" s="95"/>
      <c r="AN54" s="362"/>
      <c r="AO54" s="363"/>
      <c r="AP54" s="100"/>
      <c r="AQ54" s="95"/>
      <c r="AR54" s="358"/>
      <c r="AS54" s="359"/>
      <c r="AT54" s="100"/>
      <c r="AU54" s="95"/>
      <c r="AV54" s="352"/>
      <c r="AW54" s="353"/>
      <c r="AX54" s="100"/>
    </row>
    <row r="55" spans="1:62">
      <c r="C55" s="96"/>
      <c r="D55" s="343" t="s">
        <v>236</v>
      </c>
      <c r="E55" s="344"/>
      <c r="F55" s="98">
        <v>121.4</v>
      </c>
      <c r="G55" s="96">
        <v>43516</v>
      </c>
      <c r="H55" s="343" t="s">
        <v>311</v>
      </c>
      <c r="I55" s="344"/>
      <c r="J55" s="100"/>
      <c r="K55" s="96">
        <v>43553</v>
      </c>
      <c r="L55" s="343" t="s">
        <v>297</v>
      </c>
      <c r="M55" s="344"/>
      <c r="N55" s="100">
        <v>4421.9399999999996</v>
      </c>
      <c r="O55" s="96">
        <v>43565</v>
      </c>
      <c r="P55" s="343" t="s">
        <v>323</v>
      </c>
      <c r="Q55" s="344"/>
      <c r="R55" s="100">
        <v>10</v>
      </c>
      <c r="S55" s="96">
        <v>43607</v>
      </c>
      <c r="T55" s="343" t="s">
        <v>311</v>
      </c>
      <c r="U55" s="344"/>
      <c r="V55" s="100"/>
      <c r="W55" s="96">
        <v>43637</v>
      </c>
      <c r="X55" s="343" t="s">
        <v>151</v>
      </c>
      <c r="Y55" s="344"/>
      <c r="Z55" s="100">
        <v>10</v>
      </c>
      <c r="AA55" s="96"/>
      <c r="AB55" s="343"/>
      <c r="AC55" s="344"/>
      <c r="AD55" s="100"/>
      <c r="AE55" s="96"/>
      <c r="AF55" s="360"/>
      <c r="AG55" s="361"/>
      <c r="AH55" s="100"/>
      <c r="AI55" s="96"/>
      <c r="AJ55" s="360"/>
      <c r="AK55" s="361"/>
      <c r="AL55" s="100"/>
      <c r="AM55" s="96"/>
      <c r="AN55" s="360"/>
      <c r="AO55" s="361"/>
      <c r="AP55" s="100"/>
      <c r="AQ55" s="96"/>
      <c r="AR55" s="343"/>
      <c r="AS55" s="344"/>
      <c r="AT55" s="100"/>
      <c r="AU55" s="96"/>
      <c r="AV55" s="343"/>
      <c r="AW55" s="344"/>
      <c r="AX55" s="100"/>
    </row>
    <row r="56" spans="1:62">
      <c r="B56" s="119"/>
      <c r="C56" s="96">
        <v>43472</v>
      </c>
      <c r="D56" s="343" t="s">
        <v>151</v>
      </c>
      <c r="E56" s="344"/>
      <c r="F56" s="98">
        <v>15</v>
      </c>
      <c r="G56" s="96">
        <v>43507</v>
      </c>
      <c r="H56" s="343" t="s">
        <v>323</v>
      </c>
      <c r="I56" s="344"/>
      <c r="J56" s="100">
        <v>10</v>
      </c>
      <c r="K56" s="96">
        <v>43529</v>
      </c>
      <c r="L56" s="343" t="s">
        <v>325</v>
      </c>
      <c r="M56" s="344"/>
      <c r="N56" s="100">
        <v>3362.6</v>
      </c>
      <c r="O56" s="96">
        <v>43576</v>
      </c>
      <c r="P56" s="370" t="s">
        <v>235</v>
      </c>
      <c r="Q56" s="371"/>
      <c r="R56" s="102"/>
      <c r="S56" s="96">
        <v>43615</v>
      </c>
      <c r="T56" s="343" t="s">
        <v>235</v>
      </c>
      <c r="U56" s="344"/>
      <c r="V56" s="100"/>
      <c r="W56" s="96"/>
      <c r="X56" s="343"/>
      <c r="Y56" s="344"/>
      <c r="Z56" s="100"/>
      <c r="AA56" s="96"/>
      <c r="AB56" s="343"/>
      <c r="AC56" s="344"/>
      <c r="AD56" s="100"/>
      <c r="AE56" s="96"/>
      <c r="AF56" s="360"/>
      <c r="AG56" s="361"/>
      <c r="AH56" s="100"/>
      <c r="AI56" s="96"/>
      <c r="AJ56" s="364"/>
      <c r="AK56" s="365"/>
      <c r="AL56" s="100"/>
      <c r="AM56" s="96"/>
      <c r="AN56" s="364"/>
      <c r="AO56" s="365"/>
      <c r="AP56" s="100"/>
      <c r="AQ56" s="96"/>
      <c r="AR56" s="360"/>
      <c r="AS56" s="361"/>
      <c r="AT56" s="100"/>
      <c r="AU56" s="96"/>
      <c r="AV56" s="343"/>
      <c r="AW56" s="344"/>
      <c r="AX56" s="100"/>
    </row>
    <row r="57" spans="1:62">
      <c r="C57" s="96">
        <v>43476</v>
      </c>
      <c r="D57" s="343" t="s">
        <v>153</v>
      </c>
      <c r="E57" s="344"/>
      <c r="F57" s="98">
        <v>10</v>
      </c>
      <c r="G57" s="96">
        <v>43516</v>
      </c>
      <c r="H57" s="343" t="s">
        <v>352</v>
      </c>
      <c r="I57" s="344"/>
      <c r="J57" s="100"/>
      <c r="K57" s="96">
        <v>43533</v>
      </c>
      <c r="L57" s="343" t="s">
        <v>235</v>
      </c>
      <c r="M57" s="344"/>
      <c r="N57" s="100"/>
      <c r="O57" s="96">
        <v>43578</v>
      </c>
      <c r="P57" s="374" t="s">
        <v>390</v>
      </c>
      <c r="Q57" s="375"/>
      <c r="R57" s="100">
        <v>10</v>
      </c>
      <c r="S57" s="96"/>
      <c r="T57" s="343"/>
      <c r="U57" s="344"/>
      <c r="V57" s="100"/>
      <c r="W57" s="96"/>
      <c r="X57" s="343"/>
      <c r="Y57" s="344"/>
      <c r="Z57" s="100"/>
      <c r="AA57" s="96"/>
      <c r="AB57" s="360"/>
      <c r="AC57" s="361"/>
      <c r="AD57" s="100"/>
      <c r="AE57" s="96"/>
      <c r="AF57" s="343"/>
      <c r="AG57" s="344"/>
      <c r="AH57" s="100"/>
      <c r="AI57" s="96"/>
      <c r="AJ57" s="354"/>
      <c r="AK57" s="355"/>
      <c r="AL57" s="100"/>
      <c r="AM57" s="96"/>
      <c r="AN57" s="364"/>
      <c r="AO57" s="365"/>
      <c r="AP57" s="100"/>
      <c r="AQ57" s="96"/>
      <c r="AR57" s="343"/>
      <c r="AS57" s="344"/>
      <c r="AT57" s="100"/>
      <c r="AU57" s="96"/>
      <c r="AV57" s="343"/>
      <c r="AW57" s="344"/>
      <c r="AX57" s="100"/>
    </row>
    <row r="58" spans="1:62">
      <c r="C58" s="96">
        <v>43478</v>
      </c>
      <c r="D58" s="343" t="s">
        <v>243</v>
      </c>
      <c r="E58" s="344"/>
      <c r="F58" s="98"/>
      <c r="G58" s="96"/>
      <c r="H58" s="343"/>
      <c r="I58" s="344"/>
      <c r="J58" s="100"/>
      <c r="K58" s="96">
        <v>43536</v>
      </c>
      <c r="L58" s="343" t="s">
        <v>243</v>
      </c>
      <c r="M58" s="344"/>
      <c r="N58" s="100"/>
      <c r="O58" s="96"/>
      <c r="P58" s="343"/>
      <c r="Q58" s="344"/>
      <c r="R58" s="100"/>
      <c r="S58" s="96"/>
      <c r="T58" s="343"/>
      <c r="U58" s="344"/>
      <c r="V58" s="100"/>
      <c r="W58" s="96"/>
      <c r="X58" s="343"/>
      <c r="Y58" s="344"/>
      <c r="Z58" s="100"/>
      <c r="AA58" s="96"/>
      <c r="AB58" s="360"/>
      <c r="AC58" s="361"/>
      <c r="AD58" s="100"/>
      <c r="AE58" s="96"/>
      <c r="AF58" s="343"/>
      <c r="AG58" s="344"/>
      <c r="AH58" s="100"/>
      <c r="AI58" s="96"/>
      <c r="AJ58" s="354"/>
      <c r="AK58" s="355"/>
      <c r="AL58" s="100"/>
      <c r="AM58" s="96"/>
      <c r="AN58" s="354"/>
      <c r="AO58" s="355"/>
      <c r="AP58" s="100"/>
      <c r="AQ58" s="96"/>
      <c r="AR58" s="343"/>
      <c r="AS58" s="344"/>
      <c r="AT58" s="100"/>
      <c r="AU58" s="96"/>
      <c r="AV58" s="343"/>
      <c r="AW58" s="344"/>
      <c r="AX58" s="100"/>
    </row>
    <row r="59" spans="1:62">
      <c r="C59" s="96">
        <v>43481</v>
      </c>
      <c r="D59" s="343" t="s">
        <v>271</v>
      </c>
      <c r="E59" s="344"/>
      <c r="F59" s="98">
        <v>50</v>
      </c>
      <c r="G59" s="96"/>
      <c r="H59" s="343"/>
      <c r="I59" s="344"/>
      <c r="J59" s="100"/>
      <c r="K59" s="96"/>
      <c r="L59" s="343" t="s">
        <v>386</v>
      </c>
      <c r="M59" s="344"/>
      <c r="N59" s="100">
        <f>3.1+10.5</f>
        <v>13.6</v>
      </c>
      <c r="O59" s="96"/>
      <c r="P59" s="343"/>
      <c r="Q59" s="344"/>
      <c r="R59" s="100"/>
      <c r="S59" s="96"/>
      <c r="T59" s="364"/>
      <c r="U59" s="365"/>
      <c r="V59" s="100"/>
      <c r="W59" s="96"/>
      <c r="X59" s="364"/>
      <c r="Y59" s="365"/>
      <c r="Z59" s="100"/>
      <c r="AA59" s="96"/>
      <c r="AB59" s="364"/>
      <c r="AC59" s="365"/>
      <c r="AD59" s="100"/>
      <c r="AE59" s="96"/>
      <c r="AF59" s="343"/>
      <c r="AG59" s="344"/>
      <c r="AH59" s="100"/>
      <c r="AI59" s="96"/>
      <c r="AJ59" s="354"/>
      <c r="AK59" s="355"/>
      <c r="AL59" s="100"/>
      <c r="AM59" s="96"/>
      <c r="AN59" s="354"/>
      <c r="AO59" s="355"/>
      <c r="AP59" s="100"/>
      <c r="AQ59" s="96"/>
      <c r="AR59" s="343"/>
      <c r="AS59" s="344"/>
      <c r="AT59" s="100"/>
      <c r="AU59" s="96"/>
      <c r="AV59" s="343"/>
      <c r="AW59" s="344"/>
      <c r="AX59" s="100"/>
    </row>
    <row r="60" spans="1:62">
      <c r="C60" s="96">
        <v>43488</v>
      </c>
      <c r="D60" s="343" t="s">
        <v>290</v>
      </c>
      <c r="E60" s="344"/>
      <c r="F60" s="98"/>
      <c r="G60" s="96"/>
      <c r="H60" s="343"/>
      <c r="I60" s="344"/>
      <c r="J60" s="100"/>
      <c r="K60" s="235">
        <v>43549</v>
      </c>
      <c r="L60" s="374" t="s">
        <v>390</v>
      </c>
      <c r="M60" s="375"/>
      <c r="N60" s="236">
        <v>15</v>
      </c>
      <c r="O60" s="96"/>
      <c r="P60" s="343"/>
      <c r="Q60" s="344"/>
      <c r="R60" s="100"/>
      <c r="S60" s="96"/>
      <c r="T60" s="364"/>
      <c r="U60" s="365"/>
      <c r="V60" s="100"/>
      <c r="W60" s="96"/>
      <c r="X60" s="354"/>
      <c r="Y60" s="355"/>
      <c r="Z60" s="100"/>
      <c r="AA60" s="96"/>
      <c r="AB60" s="354"/>
      <c r="AC60" s="355"/>
      <c r="AD60" s="100"/>
      <c r="AE60" s="96"/>
      <c r="AF60" s="364"/>
      <c r="AG60" s="365"/>
      <c r="AH60" s="100"/>
      <c r="AI60" s="96"/>
      <c r="AJ60" s="354"/>
      <c r="AK60" s="355"/>
      <c r="AL60" s="100"/>
      <c r="AM60" s="96"/>
      <c r="AN60" s="354"/>
      <c r="AO60" s="355"/>
      <c r="AP60" s="100"/>
      <c r="AQ60" s="96"/>
      <c r="AR60" s="343"/>
      <c r="AS60" s="344"/>
      <c r="AT60" s="100"/>
      <c r="AU60" s="96"/>
      <c r="AV60" s="343"/>
      <c r="AW60" s="344"/>
      <c r="AX60" s="100"/>
    </row>
    <row r="61" spans="1:62">
      <c r="C61" s="96">
        <v>43490</v>
      </c>
      <c r="D61" s="343" t="s">
        <v>292</v>
      </c>
      <c r="E61" s="344"/>
      <c r="F61" s="98">
        <v>40</v>
      </c>
      <c r="G61" s="96"/>
      <c r="H61" s="343"/>
      <c r="I61" s="344"/>
      <c r="J61" s="100"/>
      <c r="K61" s="96"/>
      <c r="L61" s="376"/>
      <c r="M61" s="344"/>
      <c r="N61" s="100"/>
      <c r="O61" s="96"/>
      <c r="P61" s="343"/>
      <c r="Q61" s="344"/>
      <c r="R61" s="100"/>
      <c r="S61" s="96"/>
      <c r="T61" s="364"/>
      <c r="U61" s="365"/>
      <c r="V61" s="100"/>
      <c r="W61" s="96"/>
      <c r="X61" s="354"/>
      <c r="Y61" s="355"/>
      <c r="Z61" s="100"/>
      <c r="AA61" s="96"/>
      <c r="AB61" s="354"/>
      <c r="AC61" s="355"/>
      <c r="AD61" s="100"/>
      <c r="AE61" s="96"/>
      <c r="AF61" s="354"/>
      <c r="AG61" s="355"/>
      <c r="AH61" s="100"/>
      <c r="AI61" s="96"/>
      <c r="AJ61" s="354"/>
      <c r="AK61" s="355"/>
      <c r="AL61" s="100"/>
      <c r="AM61" s="96"/>
      <c r="AN61" s="354"/>
      <c r="AO61" s="355"/>
      <c r="AP61" s="100"/>
      <c r="AQ61" s="96"/>
      <c r="AR61" s="343"/>
      <c r="AS61" s="344"/>
      <c r="AT61" s="100"/>
      <c r="AU61" s="96"/>
      <c r="AV61" s="343"/>
      <c r="AW61" s="344"/>
      <c r="AX61" s="100"/>
    </row>
    <row r="62" spans="1:62">
      <c r="C62" s="96"/>
      <c r="D62" s="343"/>
      <c r="E62" s="344"/>
      <c r="F62" s="98"/>
      <c r="G62" s="96"/>
      <c r="H62" s="343"/>
      <c r="I62" s="344"/>
      <c r="J62" s="100"/>
      <c r="K62" s="96"/>
      <c r="L62" s="343"/>
      <c r="M62" s="344"/>
      <c r="N62" s="100"/>
      <c r="O62" s="96"/>
      <c r="P62" s="343"/>
      <c r="Q62" s="344"/>
      <c r="R62" s="100"/>
      <c r="S62" s="96"/>
      <c r="T62" s="364"/>
      <c r="U62" s="365"/>
      <c r="V62" s="100"/>
      <c r="W62" s="96"/>
      <c r="X62" s="354"/>
      <c r="Y62" s="355"/>
      <c r="Z62" s="100"/>
      <c r="AA62" s="96"/>
      <c r="AB62" s="354"/>
      <c r="AC62" s="355"/>
      <c r="AD62" s="100"/>
      <c r="AE62" s="96"/>
      <c r="AF62" s="354"/>
      <c r="AG62" s="355"/>
      <c r="AH62" s="100"/>
      <c r="AI62" s="96"/>
      <c r="AJ62" s="354"/>
      <c r="AK62" s="355"/>
      <c r="AL62" s="100"/>
      <c r="AM62" s="96"/>
      <c r="AN62" s="354"/>
      <c r="AO62" s="355"/>
      <c r="AP62" s="100"/>
      <c r="AQ62" s="96"/>
      <c r="AR62" s="343"/>
      <c r="AS62" s="344"/>
      <c r="AT62" s="100"/>
      <c r="AU62" s="96"/>
      <c r="AV62" s="343"/>
      <c r="AW62" s="344"/>
      <c r="AX62" s="100"/>
    </row>
    <row r="63" spans="1:62">
      <c r="C63" s="96"/>
      <c r="D63" s="343"/>
      <c r="E63" s="344"/>
      <c r="F63" s="98"/>
      <c r="G63" s="96"/>
      <c r="H63" s="343"/>
      <c r="I63" s="344"/>
      <c r="J63" s="100"/>
      <c r="K63" s="96"/>
      <c r="L63" s="343"/>
      <c r="M63" s="344"/>
      <c r="N63" s="100"/>
      <c r="O63" s="96"/>
      <c r="P63" s="343"/>
      <c r="Q63" s="344"/>
      <c r="R63" s="100"/>
      <c r="S63" s="96"/>
      <c r="T63" s="364"/>
      <c r="U63" s="365"/>
      <c r="V63" s="100"/>
      <c r="W63" s="96"/>
      <c r="X63" s="354"/>
      <c r="Y63" s="355"/>
      <c r="Z63" s="100"/>
      <c r="AA63" s="96"/>
      <c r="AB63" s="354"/>
      <c r="AC63" s="355"/>
      <c r="AD63" s="100"/>
      <c r="AE63" s="96"/>
      <c r="AF63" s="354"/>
      <c r="AG63" s="355"/>
      <c r="AH63" s="100"/>
      <c r="AI63" s="96"/>
      <c r="AJ63" s="354"/>
      <c r="AK63" s="355"/>
      <c r="AL63" s="100"/>
      <c r="AM63" s="96"/>
      <c r="AN63" s="354"/>
      <c r="AO63" s="355"/>
      <c r="AP63" s="100"/>
      <c r="AQ63" s="96"/>
      <c r="AR63" s="343"/>
      <c r="AS63" s="344"/>
      <c r="AT63" s="100"/>
      <c r="AU63" s="96"/>
      <c r="AV63" s="343"/>
      <c r="AW63" s="344"/>
      <c r="AX63" s="100"/>
    </row>
    <row r="64" spans="1:62">
      <c r="C64" s="96"/>
      <c r="D64" s="343"/>
      <c r="E64" s="344"/>
      <c r="F64" s="98"/>
      <c r="G64" s="96"/>
      <c r="H64" s="343"/>
      <c r="I64" s="344"/>
      <c r="J64" s="100"/>
      <c r="K64" s="96"/>
      <c r="L64" s="343"/>
      <c r="M64" s="344"/>
      <c r="N64" s="100"/>
      <c r="O64" s="96"/>
      <c r="P64" s="343"/>
      <c r="Q64" s="344"/>
      <c r="R64" s="100"/>
      <c r="S64" s="96"/>
      <c r="T64" s="364"/>
      <c r="U64" s="365"/>
      <c r="V64" s="100"/>
      <c r="W64" s="96"/>
      <c r="X64" s="354"/>
      <c r="Y64" s="355"/>
      <c r="Z64" s="100"/>
      <c r="AA64" s="96"/>
      <c r="AB64" s="354"/>
      <c r="AC64" s="355"/>
      <c r="AD64" s="100"/>
      <c r="AE64" s="96"/>
      <c r="AF64" s="354"/>
      <c r="AG64" s="355"/>
      <c r="AH64" s="100"/>
      <c r="AI64" s="96"/>
      <c r="AJ64" s="354"/>
      <c r="AK64" s="355"/>
      <c r="AL64" s="100"/>
      <c r="AM64" s="96"/>
      <c r="AN64" s="354"/>
      <c r="AO64" s="355"/>
      <c r="AP64" s="100"/>
      <c r="AQ64" s="96"/>
      <c r="AR64" s="343"/>
      <c r="AS64" s="344"/>
      <c r="AT64" s="100"/>
      <c r="AU64" s="96"/>
      <c r="AV64" s="343"/>
      <c r="AW64" s="344"/>
      <c r="AX64" s="100"/>
    </row>
    <row r="65" spans="1:50">
      <c r="C65" s="96"/>
      <c r="D65" s="343"/>
      <c r="E65" s="344"/>
      <c r="F65" s="98"/>
      <c r="G65" s="96"/>
      <c r="H65" s="343"/>
      <c r="I65" s="344"/>
      <c r="J65" s="100"/>
      <c r="K65" s="96"/>
      <c r="L65" s="343"/>
      <c r="M65" s="344"/>
      <c r="N65" s="100"/>
      <c r="O65" s="96"/>
      <c r="P65" s="343"/>
      <c r="Q65" s="344"/>
      <c r="R65" s="100"/>
      <c r="S65" s="96"/>
      <c r="T65" s="364"/>
      <c r="U65" s="365"/>
      <c r="V65" s="100"/>
      <c r="W65" s="96"/>
      <c r="X65" s="354"/>
      <c r="Y65" s="355"/>
      <c r="Z65" s="100"/>
      <c r="AA65" s="96"/>
      <c r="AB65" s="354"/>
      <c r="AC65" s="355"/>
      <c r="AD65" s="100"/>
      <c r="AE65" s="96"/>
      <c r="AF65" s="354"/>
      <c r="AG65" s="355"/>
      <c r="AH65" s="100"/>
      <c r="AI65" s="96"/>
      <c r="AJ65" s="354"/>
      <c r="AK65" s="355"/>
      <c r="AL65" s="100"/>
      <c r="AM65" s="96"/>
      <c r="AN65" s="354"/>
      <c r="AO65" s="355"/>
      <c r="AP65" s="100"/>
      <c r="AQ65" s="96"/>
      <c r="AR65" s="343"/>
      <c r="AS65" s="344"/>
      <c r="AT65" s="100"/>
      <c r="AU65" s="96"/>
      <c r="AV65" s="343"/>
      <c r="AW65" s="344"/>
      <c r="AX65" s="100"/>
    </row>
    <row r="66" spans="1:50">
      <c r="C66" s="96"/>
      <c r="D66" s="343"/>
      <c r="E66" s="344"/>
      <c r="F66" s="98"/>
      <c r="G66" s="96"/>
      <c r="H66" s="343"/>
      <c r="I66" s="344"/>
      <c r="J66" s="100"/>
      <c r="K66" s="96"/>
      <c r="L66" s="343"/>
      <c r="M66" s="344"/>
      <c r="N66" s="100"/>
      <c r="O66" s="96"/>
      <c r="P66" s="343"/>
      <c r="Q66" s="344"/>
      <c r="R66" s="100"/>
      <c r="S66" s="96"/>
      <c r="T66" s="354"/>
      <c r="U66" s="355"/>
      <c r="V66" s="100"/>
      <c r="W66" s="96"/>
      <c r="X66" s="354"/>
      <c r="Y66" s="355"/>
      <c r="Z66" s="100"/>
      <c r="AA66" s="96"/>
      <c r="AB66" s="354"/>
      <c r="AC66" s="355"/>
      <c r="AD66" s="100"/>
      <c r="AE66" s="96"/>
      <c r="AF66" s="354"/>
      <c r="AG66" s="355"/>
      <c r="AH66" s="100"/>
      <c r="AI66" s="96"/>
      <c r="AJ66" s="354"/>
      <c r="AK66" s="355"/>
      <c r="AL66" s="100"/>
      <c r="AM66" s="96"/>
      <c r="AN66" s="354"/>
      <c r="AO66" s="355"/>
      <c r="AP66" s="100"/>
      <c r="AQ66" s="96"/>
      <c r="AR66" s="343"/>
      <c r="AS66" s="344"/>
      <c r="AT66" s="100"/>
      <c r="AU66" s="96"/>
      <c r="AV66" s="343"/>
      <c r="AW66" s="344"/>
      <c r="AX66" s="100"/>
    </row>
    <row r="67" spans="1:50">
      <c r="C67" s="96"/>
      <c r="D67" s="343"/>
      <c r="E67" s="344"/>
      <c r="F67" s="98"/>
      <c r="G67" s="96"/>
      <c r="H67" s="343"/>
      <c r="I67" s="344"/>
      <c r="J67" s="100"/>
      <c r="K67" s="96"/>
      <c r="L67" s="343"/>
      <c r="M67" s="344"/>
      <c r="N67" s="100"/>
      <c r="O67" s="96"/>
      <c r="P67" s="343"/>
      <c r="Q67" s="344"/>
      <c r="R67" s="100"/>
      <c r="S67" s="96"/>
      <c r="T67" s="354"/>
      <c r="U67" s="355"/>
      <c r="V67" s="100"/>
      <c r="W67" s="96"/>
      <c r="X67" s="354"/>
      <c r="Y67" s="355"/>
      <c r="Z67" s="100"/>
      <c r="AA67" s="96"/>
      <c r="AB67" s="354"/>
      <c r="AC67" s="355"/>
      <c r="AD67" s="100"/>
      <c r="AE67" s="96"/>
      <c r="AF67" s="354"/>
      <c r="AG67" s="355"/>
      <c r="AH67" s="100"/>
      <c r="AI67" s="96"/>
      <c r="AJ67" s="354"/>
      <c r="AK67" s="355"/>
      <c r="AL67" s="100"/>
      <c r="AM67" s="96"/>
      <c r="AN67" s="354"/>
      <c r="AO67" s="355"/>
      <c r="AP67" s="100"/>
      <c r="AQ67" s="96"/>
      <c r="AR67" s="343"/>
      <c r="AS67" s="344"/>
      <c r="AT67" s="100"/>
      <c r="AU67" s="96"/>
      <c r="AV67" s="343"/>
      <c r="AW67" s="344"/>
      <c r="AX67" s="100"/>
    </row>
    <row r="68" spans="1:50">
      <c r="C68" s="96"/>
      <c r="D68" s="343"/>
      <c r="E68" s="344"/>
      <c r="F68" s="98"/>
      <c r="G68" s="96"/>
      <c r="H68" s="343"/>
      <c r="I68" s="344"/>
      <c r="J68" s="100"/>
      <c r="K68" s="96"/>
      <c r="L68" s="343"/>
      <c r="M68" s="344"/>
      <c r="N68" s="100"/>
      <c r="O68" s="96"/>
      <c r="P68" s="343"/>
      <c r="Q68" s="344"/>
      <c r="R68" s="100"/>
      <c r="S68" s="96"/>
      <c r="T68" s="354"/>
      <c r="U68" s="355"/>
      <c r="V68" s="100"/>
      <c r="W68" s="96"/>
      <c r="X68" s="354"/>
      <c r="Y68" s="355"/>
      <c r="Z68" s="100"/>
      <c r="AA68" s="96"/>
      <c r="AB68" s="354"/>
      <c r="AC68" s="355"/>
      <c r="AD68" s="100"/>
      <c r="AE68" s="96"/>
      <c r="AF68" s="354"/>
      <c r="AG68" s="355"/>
      <c r="AH68" s="100"/>
      <c r="AI68" s="96"/>
      <c r="AJ68" s="354"/>
      <c r="AK68" s="355"/>
      <c r="AL68" s="100"/>
      <c r="AM68" s="96"/>
      <c r="AN68" s="354"/>
      <c r="AO68" s="355"/>
      <c r="AP68" s="100"/>
      <c r="AQ68" s="96"/>
      <c r="AR68" s="343"/>
      <c r="AS68" s="344"/>
      <c r="AT68" s="100"/>
      <c r="AU68" s="96"/>
      <c r="AV68" s="343"/>
      <c r="AW68" s="344"/>
      <c r="AX68" s="100"/>
    </row>
    <row r="69" spans="1:50">
      <c r="C69" s="96"/>
      <c r="D69" s="343"/>
      <c r="E69" s="344"/>
      <c r="F69" s="98"/>
      <c r="G69" s="96"/>
      <c r="H69" s="343"/>
      <c r="I69" s="344"/>
      <c r="J69" s="100"/>
      <c r="K69" s="96"/>
      <c r="L69" s="343"/>
      <c r="M69" s="344"/>
      <c r="N69" s="100"/>
      <c r="O69" s="96"/>
      <c r="P69" s="343"/>
      <c r="Q69" s="344"/>
      <c r="R69" s="100"/>
      <c r="S69" s="96"/>
      <c r="T69" s="354"/>
      <c r="U69" s="355"/>
      <c r="V69" s="100"/>
      <c r="W69" s="96"/>
      <c r="X69" s="354"/>
      <c r="Y69" s="355"/>
      <c r="Z69" s="100"/>
      <c r="AA69" s="96"/>
      <c r="AB69" s="354"/>
      <c r="AC69" s="355"/>
      <c r="AD69" s="100"/>
      <c r="AE69" s="96"/>
      <c r="AF69" s="354"/>
      <c r="AG69" s="355"/>
      <c r="AH69" s="100"/>
      <c r="AI69" s="96"/>
      <c r="AJ69" s="354"/>
      <c r="AK69" s="355"/>
      <c r="AL69" s="100"/>
      <c r="AM69" s="96"/>
      <c r="AN69" s="354"/>
      <c r="AO69" s="355"/>
      <c r="AP69" s="100"/>
      <c r="AQ69" s="96"/>
      <c r="AR69" s="343"/>
      <c r="AS69" s="344"/>
      <c r="AT69" s="100"/>
      <c r="AU69" s="96"/>
      <c r="AV69" s="343"/>
      <c r="AW69" s="344"/>
      <c r="AX69" s="100"/>
    </row>
    <row r="70" spans="1:50">
      <c r="C70" s="96"/>
      <c r="D70" s="343"/>
      <c r="E70" s="344"/>
      <c r="F70" s="98"/>
      <c r="G70" s="96"/>
      <c r="H70" s="343"/>
      <c r="I70" s="344"/>
      <c r="J70" s="100"/>
      <c r="K70" s="96"/>
      <c r="L70" s="343"/>
      <c r="M70" s="344"/>
      <c r="N70" s="100"/>
      <c r="O70" s="96"/>
      <c r="P70" s="343"/>
      <c r="Q70" s="344"/>
      <c r="R70" s="100"/>
      <c r="S70" s="96"/>
      <c r="T70" s="343" t="s">
        <v>566</v>
      </c>
      <c r="U70" s="344"/>
      <c r="V70" s="100">
        <v>3742.92</v>
      </c>
      <c r="W70" s="96"/>
      <c r="X70" s="343" t="s">
        <v>564</v>
      </c>
      <c r="Y70" s="344"/>
      <c r="Z70" s="100">
        <f>3289.11+270.87</f>
        <v>3559.98</v>
      </c>
      <c r="AA70" s="96"/>
      <c r="AB70" s="354"/>
      <c r="AC70" s="355"/>
      <c r="AD70" s="100"/>
      <c r="AE70" s="96"/>
      <c r="AF70" s="354"/>
      <c r="AG70" s="355"/>
      <c r="AH70" s="100"/>
      <c r="AI70" s="96"/>
      <c r="AJ70" s="354"/>
      <c r="AK70" s="355"/>
      <c r="AL70" s="100"/>
      <c r="AM70" s="96"/>
      <c r="AN70" s="354"/>
      <c r="AO70" s="355"/>
      <c r="AP70" s="100"/>
      <c r="AQ70" s="96"/>
      <c r="AR70" s="343"/>
      <c r="AS70" s="344"/>
      <c r="AT70" s="100"/>
      <c r="AU70" s="96"/>
      <c r="AV70" s="343"/>
      <c r="AW70" s="344"/>
      <c r="AX70" s="100"/>
    </row>
    <row r="71" spans="1:50" ht="15.75" thickBot="1">
      <c r="C71" s="97"/>
      <c r="D71" s="345"/>
      <c r="E71" s="346"/>
      <c r="F71" s="99"/>
      <c r="G71" s="97"/>
      <c r="H71" s="345"/>
      <c r="I71" s="346"/>
      <c r="J71" s="101"/>
      <c r="K71" s="97"/>
      <c r="L71" s="345"/>
      <c r="M71" s="346"/>
      <c r="N71" s="101"/>
      <c r="O71" s="97"/>
      <c r="P71" s="345"/>
      <c r="Q71" s="346"/>
      <c r="R71" s="101"/>
      <c r="S71" s="97"/>
      <c r="T71" s="368" t="s">
        <v>567</v>
      </c>
      <c r="U71" s="369"/>
      <c r="V71" s="101">
        <v>1872.17</v>
      </c>
      <c r="W71" s="97"/>
      <c r="X71" s="368" t="s">
        <v>565</v>
      </c>
      <c r="Y71" s="369"/>
      <c r="Z71" s="101">
        <f>Z70-1484.91-429.89</f>
        <v>1645.1799999999998</v>
      </c>
      <c r="AA71" s="97"/>
      <c r="AB71" s="356"/>
      <c r="AC71" s="357"/>
      <c r="AD71" s="101"/>
      <c r="AE71" s="97"/>
      <c r="AF71" s="356"/>
      <c r="AG71" s="357"/>
      <c r="AH71" s="101"/>
      <c r="AI71" s="97"/>
      <c r="AJ71" s="356"/>
      <c r="AK71" s="357"/>
      <c r="AL71" s="101"/>
      <c r="AM71" s="97"/>
      <c r="AN71" s="356"/>
      <c r="AO71" s="357"/>
      <c r="AP71" s="101"/>
      <c r="AQ71" s="97"/>
      <c r="AR71" s="345"/>
      <c r="AS71" s="346"/>
      <c r="AT71" s="101"/>
      <c r="AU71" s="97"/>
      <c r="AV71" s="345"/>
      <c r="AW71" s="346"/>
      <c r="AX71" s="101"/>
    </row>
    <row r="72" spans="1:50">
      <c r="F72">
        <f>8-6.91</f>
        <v>1.0899999999999999</v>
      </c>
      <c r="V72">
        <f>V71/V70</f>
        <v>0.50018969147083026</v>
      </c>
      <c r="Z72">
        <f>Z71/Z70</f>
        <v>0.46213180972926809</v>
      </c>
    </row>
    <row r="73" spans="1:50">
      <c r="D73">
        <v>83</v>
      </c>
      <c r="F73">
        <f>F72*20</f>
        <v>21.799999999999997</v>
      </c>
      <c r="L73" s="119"/>
    </row>
    <row r="74" spans="1:50">
      <c r="A74" t="s">
        <v>254</v>
      </c>
      <c r="C74">
        <v>30</v>
      </c>
      <c r="D74">
        <f>100/C74</f>
        <v>3.3333333333333335</v>
      </c>
    </row>
    <row r="75" spans="1:50">
      <c r="A75" t="s">
        <v>255</v>
      </c>
      <c r="C75">
        <v>27</v>
      </c>
      <c r="D75">
        <f>C75*D74</f>
        <v>90</v>
      </c>
      <c r="Z75" s="111"/>
    </row>
    <row r="76" spans="1:50">
      <c r="D76">
        <f>D75-D73</f>
        <v>7</v>
      </c>
    </row>
    <row r="78" spans="1:50">
      <c r="W78" t="s">
        <v>672</v>
      </c>
      <c r="X78">
        <v>4</v>
      </c>
      <c r="Y78">
        <v>10</v>
      </c>
      <c r="Z78">
        <f>SUM(X78:Y78)</f>
        <v>14</v>
      </c>
    </row>
    <row r="79" spans="1:50">
      <c r="W79" t="s">
        <v>673</v>
      </c>
      <c r="X79">
        <v>9</v>
      </c>
      <c r="Y79">
        <v>5</v>
      </c>
      <c r="Z79">
        <f t="shared" ref="Z79:Z81" si="24">SUM(X79:Y79)</f>
        <v>14</v>
      </c>
    </row>
    <row r="80" spans="1:50">
      <c r="G80" s="114"/>
      <c r="W80" t="s">
        <v>674</v>
      </c>
      <c r="X80">
        <v>4</v>
      </c>
      <c r="Y80">
        <v>10</v>
      </c>
      <c r="Z80">
        <f t="shared" si="24"/>
        <v>14</v>
      </c>
    </row>
    <row r="81" spans="7:26">
      <c r="G81" s="114"/>
      <c r="W81" t="s">
        <v>675</v>
      </c>
      <c r="X81">
        <v>4</v>
      </c>
      <c r="Y81">
        <v>10</v>
      </c>
      <c r="Z81">
        <f t="shared" si="24"/>
        <v>14</v>
      </c>
    </row>
    <row r="82" spans="7:26">
      <c r="G82" s="114"/>
    </row>
    <row r="83" spans="7:26">
      <c r="G83" s="114"/>
    </row>
    <row r="86" spans="7:26">
      <c r="G86" s="114"/>
    </row>
    <row r="87" spans="7:26">
      <c r="G87" s="114"/>
    </row>
    <row r="90" spans="7:26">
      <c r="G90" s="114"/>
    </row>
    <row r="91" spans="7:26">
      <c r="G91" s="114"/>
    </row>
  </sheetData>
  <mergeCells count="420">
    <mergeCell ref="AU8:AX8"/>
    <mergeCell ref="AU9:AX9"/>
    <mergeCell ref="AU10:AX10"/>
    <mergeCell ref="AU11:AX11"/>
    <mergeCell ref="AU12:AX12"/>
    <mergeCell ref="AU13:AX13"/>
    <mergeCell ref="AU14:AX14"/>
    <mergeCell ref="AU15:AX15"/>
    <mergeCell ref="AU16:AX16"/>
    <mergeCell ref="AQ8:AT8"/>
    <mergeCell ref="AQ9:AT9"/>
    <mergeCell ref="AQ10:AT10"/>
    <mergeCell ref="AQ11:AT11"/>
    <mergeCell ref="AQ12:AT12"/>
    <mergeCell ref="AQ13:AT13"/>
    <mergeCell ref="AQ14:AT14"/>
    <mergeCell ref="AQ15:AT15"/>
    <mergeCell ref="AQ16:AT16"/>
    <mergeCell ref="AM8:AP8"/>
    <mergeCell ref="AM9:AP9"/>
    <mergeCell ref="AM10:AP10"/>
    <mergeCell ref="AM11:AP11"/>
    <mergeCell ref="AM12:AP12"/>
    <mergeCell ref="AM13:AP13"/>
    <mergeCell ref="AM14:AP14"/>
    <mergeCell ref="AM15:AP15"/>
    <mergeCell ref="AM16:AP16"/>
    <mergeCell ref="AI8:AL8"/>
    <mergeCell ref="AI9:AL9"/>
    <mergeCell ref="AI10:AL10"/>
    <mergeCell ref="AI11:AL11"/>
    <mergeCell ref="AI12:AL12"/>
    <mergeCell ref="AI13:AL13"/>
    <mergeCell ref="AI14:AL14"/>
    <mergeCell ref="AI15:AL15"/>
    <mergeCell ref="AI16:AL16"/>
    <mergeCell ref="AE8:AH8"/>
    <mergeCell ref="AE9:AH9"/>
    <mergeCell ref="AE10:AH10"/>
    <mergeCell ref="AE11:AH11"/>
    <mergeCell ref="AE12:AH12"/>
    <mergeCell ref="AE13:AH13"/>
    <mergeCell ref="AE14:AH14"/>
    <mergeCell ref="AE15:AH15"/>
    <mergeCell ref="AE16:AH16"/>
    <mergeCell ref="AA8:AD8"/>
    <mergeCell ref="AA9:AD9"/>
    <mergeCell ref="AA10:AD10"/>
    <mergeCell ref="AA11:AD11"/>
    <mergeCell ref="AA12:AD12"/>
    <mergeCell ref="AA13:AD13"/>
    <mergeCell ref="AA14:AD14"/>
    <mergeCell ref="AA15:AD15"/>
    <mergeCell ref="AA16:AD16"/>
    <mergeCell ref="W8:Z8"/>
    <mergeCell ref="W9:Z9"/>
    <mergeCell ref="W10:Z10"/>
    <mergeCell ref="W11:Z11"/>
    <mergeCell ref="W12:Z12"/>
    <mergeCell ref="W13:Z13"/>
    <mergeCell ref="W14:Z14"/>
    <mergeCell ref="W15:Z15"/>
    <mergeCell ref="W16:Z16"/>
    <mergeCell ref="O13:R13"/>
    <mergeCell ref="O14:R14"/>
    <mergeCell ref="O15:R15"/>
    <mergeCell ref="O16:R16"/>
    <mergeCell ref="S8:V8"/>
    <mergeCell ref="S9:V9"/>
    <mergeCell ref="S10:V10"/>
    <mergeCell ref="S11:V11"/>
    <mergeCell ref="S12:V12"/>
    <mergeCell ref="S13:V13"/>
    <mergeCell ref="S14:V14"/>
    <mergeCell ref="S15:V15"/>
    <mergeCell ref="S16:V16"/>
    <mergeCell ref="O8:R8"/>
    <mergeCell ref="O9:R9"/>
    <mergeCell ref="O10:R10"/>
    <mergeCell ref="O11:R11"/>
    <mergeCell ref="O12:R12"/>
    <mergeCell ref="K8:N8"/>
    <mergeCell ref="K9:N9"/>
    <mergeCell ref="K10:N10"/>
    <mergeCell ref="K11:N11"/>
    <mergeCell ref="K12:N12"/>
    <mergeCell ref="K13:N13"/>
    <mergeCell ref="K14:N14"/>
    <mergeCell ref="K15:N15"/>
    <mergeCell ref="K16:N16"/>
    <mergeCell ref="G4:J4"/>
    <mergeCell ref="C4:F4"/>
    <mergeCell ref="C9:F9"/>
    <mergeCell ref="C10:F10"/>
    <mergeCell ref="C11:F11"/>
    <mergeCell ref="C12:F12"/>
    <mergeCell ref="C13:F13"/>
    <mergeCell ref="C14:F14"/>
    <mergeCell ref="C15:F15"/>
    <mergeCell ref="G10:J10"/>
    <mergeCell ref="G11:J11"/>
    <mergeCell ref="G12:J12"/>
    <mergeCell ref="G13:J13"/>
    <mergeCell ref="G14:J14"/>
    <mergeCell ref="G15:J15"/>
    <mergeCell ref="G5:J5"/>
    <mergeCell ref="G7:J7"/>
    <mergeCell ref="G8:J8"/>
    <mergeCell ref="C8:F8"/>
    <mergeCell ref="C7:F7"/>
    <mergeCell ref="C5:F5"/>
    <mergeCell ref="G9:J9"/>
    <mergeCell ref="C6:F6"/>
    <mergeCell ref="G6:J6"/>
    <mergeCell ref="W5:Z5"/>
    <mergeCell ref="AA5:AD5"/>
    <mergeCell ref="AE5:AH5"/>
    <mergeCell ref="K4:N4"/>
    <mergeCell ref="O4:R4"/>
    <mergeCell ref="K7:N7"/>
    <mergeCell ref="K5:N5"/>
    <mergeCell ref="O5:R5"/>
    <mergeCell ref="O7:R7"/>
    <mergeCell ref="K6:N6"/>
    <mergeCell ref="O6:R6"/>
    <mergeCell ref="S6:V6"/>
    <mergeCell ref="W6:Z6"/>
    <mergeCell ref="AA6:AD6"/>
    <mergeCell ref="AE6:AH6"/>
    <mergeCell ref="C16:F16"/>
    <mergeCell ref="G16:J16"/>
    <mergeCell ref="AE17:AH17"/>
    <mergeCell ref="AM4:AP4"/>
    <mergeCell ref="AQ4:AT4"/>
    <mergeCell ref="AU4:AX4"/>
    <mergeCell ref="AI7:AL7"/>
    <mergeCell ref="AM7:AP7"/>
    <mergeCell ref="AQ7:AT7"/>
    <mergeCell ref="AU7:AX7"/>
    <mergeCell ref="AU5:AX5"/>
    <mergeCell ref="AI5:AL5"/>
    <mergeCell ref="AM5:AP5"/>
    <mergeCell ref="AQ5:AT5"/>
    <mergeCell ref="AI4:AL4"/>
    <mergeCell ref="S4:V4"/>
    <mergeCell ref="W4:Z4"/>
    <mergeCell ref="AA4:AD4"/>
    <mergeCell ref="AE4:AH4"/>
    <mergeCell ref="S7:V7"/>
    <mergeCell ref="W7:Z7"/>
    <mergeCell ref="AA7:AD7"/>
    <mergeCell ref="AE7:AH7"/>
    <mergeCell ref="S5:V5"/>
    <mergeCell ref="AI17:AL17"/>
    <mergeCell ref="AM17:AP17"/>
    <mergeCell ref="AQ17:AT17"/>
    <mergeCell ref="AU17:AX17"/>
    <mergeCell ref="O18:R18"/>
    <mergeCell ref="K18:N18"/>
    <mergeCell ref="G18:J18"/>
    <mergeCell ref="C18:F18"/>
    <mergeCell ref="C17:F17"/>
    <mergeCell ref="G17:J17"/>
    <mergeCell ref="K17:N17"/>
    <mergeCell ref="O17:R17"/>
    <mergeCell ref="S17:V17"/>
    <mergeCell ref="AI18:AL18"/>
    <mergeCell ref="AE18:AH18"/>
    <mergeCell ref="AA18:AD18"/>
    <mergeCell ref="W18:Z18"/>
    <mergeCell ref="S18:V18"/>
    <mergeCell ref="AM18:AP18"/>
    <mergeCell ref="W17:Z17"/>
    <mergeCell ref="AA17:AD17"/>
    <mergeCell ref="AU18:AX18"/>
    <mergeCell ref="AQ18:AT18"/>
    <mergeCell ref="C52:F52"/>
    <mergeCell ref="D53:E53"/>
    <mergeCell ref="D54:E54"/>
    <mergeCell ref="D71:E71"/>
    <mergeCell ref="D70:E70"/>
    <mergeCell ref="D55:E55"/>
    <mergeCell ref="D56:E56"/>
    <mergeCell ref="D57:E57"/>
    <mergeCell ref="D58:E58"/>
    <mergeCell ref="D59:E59"/>
    <mergeCell ref="D60:E60"/>
    <mergeCell ref="D61:E61"/>
    <mergeCell ref="D62:E62"/>
    <mergeCell ref="D63:E63"/>
    <mergeCell ref="D64:E64"/>
    <mergeCell ref="D65:E65"/>
    <mergeCell ref="D66:E66"/>
    <mergeCell ref="D67:E67"/>
    <mergeCell ref="D68:E68"/>
    <mergeCell ref="D69:E69"/>
    <mergeCell ref="H63:I63"/>
    <mergeCell ref="H64:I64"/>
    <mergeCell ref="H65:I65"/>
    <mergeCell ref="H66:I66"/>
    <mergeCell ref="H67:I67"/>
    <mergeCell ref="H68:I68"/>
    <mergeCell ref="H69:I69"/>
    <mergeCell ref="G52:J52"/>
    <mergeCell ref="H53:I53"/>
    <mergeCell ref="H54:I54"/>
    <mergeCell ref="H55:I55"/>
    <mergeCell ref="H56:I56"/>
    <mergeCell ref="H57:I57"/>
    <mergeCell ref="H58:I58"/>
    <mergeCell ref="H59:I59"/>
    <mergeCell ref="H60:I60"/>
    <mergeCell ref="H70:I70"/>
    <mergeCell ref="H71:I71"/>
    <mergeCell ref="K52:N52"/>
    <mergeCell ref="L53:M53"/>
    <mergeCell ref="L54:M54"/>
    <mergeCell ref="L55:M55"/>
    <mergeCell ref="L56:M56"/>
    <mergeCell ref="L57:M57"/>
    <mergeCell ref="L58:M58"/>
    <mergeCell ref="L59:M59"/>
    <mergeCell ref="L60:M60"/>
    <mergeCell ref="L61:M61"/>
    <mergeCell ref="L62:M62"/>
    <mergeCell ref="L63:M63"/>
    <mergeCell ref="L64:M64"/>
    <mergeCell ref="L65:M65"/>
    <mergeCell ref="L66:M66"/>
    <mergeCell ref="L67:M67"/>
    <mergeCell ref="L68:M68"/>
    <mergeCell ref="L69:M69"/>
    <mergeCell ref="L70:M70"/>
    <mergeCell ref="L71:M71"/>
    <mergeCell ref="H61:I61"/>
    <mergeCell ref="H62:I62"/>
    <mergeCell ref="P63:Q63"/>
    <mergeCell ref="P64:Q64"/>
    <mergeCell ref="P65:Q65"/>
    <mergeCell ref="P66:Q66"/>
    <mergeCell ref="P67:Q67"/>
    <mergeCell ref="P68:Q68"/>
    <mergeCell ref="P69:Q69"/>
    <mergeCell ref="O52:R52"/>
    <mergeCell ref="P53:Q53"/>
    <mergeCell ref="P54:Q54"/>
    <mergeCell ref="P55:Q55"/>
    <mergeCell ref="P56:Q56"/>
    <mergeCell ref="P57:Q57"/>
    <mergeCell ref="P58:Q58"/>
    <mergeCell ref="P59:Q59"/>
    <mergeCell ref="P60:Q60"/>
    <mergeCell ref="P70:Q70"/>
    <mergeCell ref="P71:Q71"/>
    <mergeCell ref="S52:V52"/>
    <mergeCell ref="T53:U53"/>
    <mergeCell ref="T54:U54"/>
    <mergeCell ref="T55:U55"/>
    <mergeCell ref="T56:U56"/>
    <mergeCell ref="T57:U57"/>
    <mergeCell ref="T58:U58"/>
    <mergeCell ref="T59:U59"/>
    <mergeCell ref="T60:U60"/>
    <mergeCell ref="T61:U61"/>
    <mergeCell ref="T62:U62"/>
    <mergeCell ref="T63:U63"/>
    <mergeCell ref="T64:U64"/>
    <mergeCell ref="T65:U65"/>
    <mergeCell ref="T66:U66"/>
    <mergeCell ref="T67:U67"/>
    <mergeCell ref="T68:U68"/>
    <mergeCell ref="T69:U69"/>
    <mergeCell ref="T70:U70"/>
    <mergeCell ref="T71:U71"/>
    <mergeCell ref="P61:Q61"/>
    <mergeCell ref="P62:Q62"/>
    <mergeCell ref="X63:Y63"/>
    <mergeCell ref="X64:Y64"/>
    <mergeCell ref="X65:Y65"/>
    <mergeCell ref="X66:Y66"/>
    <mergeCell ref="X67:Y67"/>
    <mergeCell ref="X68:Y68"/>
    <mergeCell ref="X69:Y69"/>
    <mergeCell ref="W52:Z52"/>
    <mergeCell ref="X53:Y53"/>
    <mergeCell ref="X54:Y54"/>
    <mergeCell ref="X55:Y55"/>
    <mergeCell ref="X56:Y56"/>
    <mergeCell ref="X57:Y57"/>
    <mergeCell ref="X58:Y58"/>
    <mergeCell ref="X59:Y59"/>
    <mergeCell ref="X60:Y60"/>
    <mergeCell ref="X70:Y70"/>
    <mergeCell ref="X71:Y71"/>
    <mergeCell ref="AA52:AD52"/>
    <mergeCell ref="AB53:AC53"/>
    <mergeCell ref="AB54:AC54"/>
    <mergeCell ref="AB55:AC55"/>
    <mergeCell ref="AB56:AC56"/>
    <mergeCell ref="AB57:AC57"/>
    <mergeCell ref="AB58:AC58"/>
    <mergeCell ref="AB59:AC59"/>
    <mergeCell ref="AB60:AC60"/>
    <mergeCell ref="AB61:AC61"/>
    <mergeCell ref="AB62:AC62"/>
    <mergeCell ref="AB63:AC63"/>
    <mergeCell ref="AB64:AC64"/>
    <mergeCell ref="AB65:AC65"/>
    <mergeCell ref="AB66:AC66"/>
    <mergeCell ref="AB67:AC67"/>
    <mergeCell ref="AB68:AC68"/>
    <mergeCell ref="AB69:AC69"/>
    <mergeCell ref="AB70:AC70"/>
    <mergeCell ref="AB71:AC71"/>
    <mergeCell ref="X61:Y61"/>
    <mergeCell ref="X62:Y62"/>
    <mergeCell ref="AF63:AG63"/>
    <mergeCell ref="AF64:AG64"/>
    <mergeCell ref="AF65:AG65"/>
    <mergeCell ref="AF66:AG66"/>
    <mergeCell ref="AF67:AG67"/>
    <mergeCell ref="AF68:AG68"/>
    <mergeCell ref="AF69:AG69"/>
    <mergeCell ref="AE52:AH52"/>
    <mergeCell ref="AF53:AG53"/>
    <mergeCell ref="AF54:AG54"/>
    <mergeCell ref="AF55:AG55"/>
    <mergeCell ref="AF56:AG56"/>
    <mergeCell ref="AF57:AG57"/>
    <mergeCell ref="AF58:AG58"/>
    <mergeCell ref="AF59:AG59"/>
    <mergeCell ref="AF60:AG60"/>
    <mergeCell ref="AF70:AG70"/>
    <mergeCell ref="AF71:AG71"/>
    <mergeCell ref="AI52:AL52"/>
    <mergeCell ref="AJ53:AK53"/>
    <mergeCell ref="AJ54:AK54"/>
    <mergeCell ref="AJ55:AK55"/>
    <mergeCell ref="AJ56:AK56"/>
    <mergeCell ref="AJ57:AK57"/>
    <mergeCell ref="AJ58:AK58"/>
    <mergeCell ref="AJ59:AK59"/>
    <mergeCell ref="AJ60:AK60"/>
    <mergeCell ref="AJ61:AK61"/>
    <mergeCell ref="AJ62:AK62"/>
    <mergeCell ref="AJ63:AK63"/>
    <mergeCell ref="AJ64:AK64"/>
    <mergeCell ref="AJ65:AK65"/>
    <mergeCell ref="AJ66:AK66"/>
    <mergeCell ref="AJ67:AK67"/>
    <mergeCell ref="AJ68:AK68"/>
    <mergeCell ref="AJ69:AK69"/>
    <mergeCell ref="AJ70:AK70"/>
    <mergeCell ref="AJ71:AK71"/>
    <mergeCell ref="AF61:AG61"/>
    <mergeCell ref="AF62:AG62"/>
    <mergeCell ref="AN63:AO63"/>
    <mergeCell ref="AN64:AO64"/>
    <mergeCell ref="AN65:AO65"/>
    <mergeCell ref="AN66:AO66"/>
    <mergeCell ref="AN67:AO67"/>
    <mergeCell ref="AN68:AO68"/>
    <mergeCell ref="AN69:AO69"/>
    <mergeCell ref="AM52:AP52"/>
    <mergeCell ref="AN53:AO53"/>
    <mergeCell ref="AN54:AO54"/>
    <mergeCell ref="AN55:AO55"/>
    <mergeCell ref="AN56:AO56"/>
    <mergeCell ref="AN57:AO57"/>
    <mergeCell ref="AN58:AO58"/>
    <mergeCell ref="AN59:AO59"/>
    <mergeCell ref="AN60:AO60"/>
    <mergeCell ref="AN70:AO70"/>
    <mergeCell ref="AN71:AO71"/>
    <mergeCell ref="AQ52:AT52"/>
    <mergeCell ref="AR53:AS53"/>
    <mergeCell ref="AR54:AS54"/>
    <mergeCell ref="AR55:AS55"/>
    <mergeCell ref="AR56:AS56"/>
    <mergeCell ref="AR57:AS57"/>
    <mergeCell ref="AR58:AS58"/>
    <mergeCell ref="AR59:AS59"/>
    <mergeCell ref="AR60:AS60"/>
    <mergeCell ref="AR61:AS61"/>
    <mergeCell ref="AR62:AS62"/>
    <mergeCell ref="AR63:AS63"/>
    <mergeCell ref="AR64:AS64"/>
    <mergeCell ref="AR65:AS65"/>
    <mergeCell ref="AR66:AS66"/>
    <mergeCell ref="AR67:AS67"/>
    <mergeCell ref="AR68:AS68"/>
    <mergeCell ref="AR69:AS69"/>
    <mergeCell ref="AR70:AS70"/>
    <mergeCell ref="AR71:AS71"/>
    <mergeCell ref="AN61:AO61"/>
    <mergeCell ref="AN62:AO62"/>
    <mergeCell ref="AI6:AL6"/>
    <mergeCell ref="AM6:AP6"/>
    <mergeCell ref="AQ6:AT6"/>
    <mergeCell ref="AU6:AX6"/>
    <mergeCell ref="AV70:AW70"/>
    <mergeCell ref="AV71:AW71"/>
    <mergeCell ref="AV61:AW61"/>
    <mergeCell ref="AV62:AW62"/>
    <mergeCell ref="AV63:AW63"/>
    <mergeCell ref="AV64:AW64"/>
    <mergeCell ref="AV65:AW65"/>
    <mergeCell ref="AV66:AW66"/>
    <mergeCell ref="AV67:AW67"/>
    <mergeCell ref="AV68:AW68"/>
    <mergeCell ref="AV69:AW69"/>
    <mergeCell ref="AU52:AX52"/>
    <mergeCell ref="AV53:AW53"/>
    <mergeCell ref="AV54:AW54"/>
    <mergeCell ref="AV55:AW55"/>
    <mergeCell ref="AV56:AW56"/>
    <mergeCell ref="AV57:AW57"/>
    <mergeCell ref="AV58:AW58"/>
    <mergeCell ref="AV59:AW59"/>
    <mergeCell ref="AV60:AW60"/>
  </mergeCells>
  <hyperlinks>
    <hyperlink ref="C20" location="'01'!B2:G20" display="ENERO" xr:uid="{00000000-0004-0000-0000-000000000000}"/>
    <hyperlink ref="C21" location="'01'!B22:G40" display="ENERO" xr:uid="{00000000-0004-0000-0000-000001000000}"/>
    <hyperlink ref="C22" location="'01'!B42:G60" display="ENERO" xr:uid="{00000000-0004-0000-0000-000002000000}"/>
    <hyperlink ref="C25" location="'01'!B102:G120" display="ENERO" xr:uid="{00000000-0004-0000-0000-000003000000}"/>
    <hyperlink ref="C27" location="'01'!B142:G160" display="ENERO" xr:uid="{00000000-0004-0000-0000-000004000000}"/>
    <hyperlink ref="C29" location="'01'!B182:G200" display="ENERO" xr:uid="{00000000-0004-0000-0000-000005000000}"/>
    <hyperlink ref="C31" location="'01'!B222:G240" display="ENERO" xr:uid="{00000000-0004-0000-0000-000006000000}"/>
    <hyperlink ref="C33" location="'01'!B262:G280" display="ENERO" xr:uid="{00000000-0004-0000-0000-000007000000}"/>
    <hyperlink ref="C35" location="'01'!B302:G320" display="ENERO" xr:uid="{00000000-0004-0000-0000-000008000000}"/>
    <hyperlink ref="C37" location="'01'!B342:G360" display="ENERO" xr:uid="{00000000-0004-0000-0000-000009000000}"/>
    <hyperlink ref="C39" location="'01'!B382:G400" display="ENERO" xr:uid="{00000000-0004-0000-0000-00000A000000}"/>
    <hyperlink ref="C41" location="'01'!B422:G440" display="ENERO" xr:uid="{00000000-0004-0000-0000-00000B000000}"/>
    <hyperlink ref="C43" location="'01'!B462:G480" display="ENERO" xr:uid="{00000000-0004-0000-0000-00000C000000}"/>
    <hyperlink ref="C26" location="'01'!B122:G140" display="ENERO" xr:uid="{00000000-0004-0000-0000-00000D000000}"/>
    <hyperlink ref="C30" location="'01'!B202:G220" display="ENERO" xr:uid="{00000000-0004-0000-0000-00000E000000}"/>
    <hyperlink ref="C32" location="'01'!B242:G260" display="ENERO" xr:uid="{00000000-0004-0000-0000-00000F000000}"/>
    <hyperlink ref="C34" location="'01'!B282:G300" display="ENERO" xr:uid="{00000000-0004-0000-0000-000010000000}"/>
    <hyperlink ref="C38" location="'01'!B362:G380" display="ENERO" xr:uid="{00000000-0004-0000-0000-000011000000}"/>
    <hyperlink ref="C40" location="'01'!B402:G420" display="ENERO" xr:uid="{00000000-0004-0000-0000-000012000000}"/>
    <hyperlink ref="C42" location="'01'!B442:G460" display="ENERO" xr:uid="{00000000-0004-0000-0000-000013000000}"/>
    <hyperlink ref="C36" location="'01'!B322:G340" display="ENERO" xr:uid="{00000000-0004-0000-0000-000014000000}"/>
    <hyperlink ref="C28" location="'01'!B162:G180" display="ENERO" xr:uid="{00000000-0004-0000-0000-000015000000}"/>
    <hyperlink ref="C45" location="'01'!B502:G520" display="ENERO" xr:uid="{00000000-0004-0000-0000-000016000000}"/>
    <hyperlink ref="C44" location="'01'!B482:G500" display="ENERO" xr:uid="{00000000-0004-0000-0000-000017000000}"/>
    <hyperlink ref="C4:F4" location="'01'!I2:L19" display="ENERO" xr:uid="{00000000-0004-0000-0000-000018000000}"/>
    <hyperlink ref="C23" location="'01'!B62:G80" display="ENERO" xr:uid="{00000000-0004-0000-0000-000019000000}"/>
    <hyperlink ref="C24" location="'01'!B82:G100" display="ENERO" xr:uid="{00000000-0004-0000-0000-00001A000000}"/>
    <hyperlink ref="G4:J4" location="'02'!I2:L19" display="FEBRERO" xr:uid="{00000000-0004-0000-0000-00001B000000}"/>
    <hyperlink ref="K4:N4" location="'03'!I2:L19" display="MARZO" xr:uid="{00000000-0004-0000-0000-00001C000000}"/>
    <hyperlink ref="W4:Z4" location="'06'!I2:L19" display="JUNIO" xr:uid="{00000000-0004-0000-0000-00001D000000}"/>
    <hyperlink ref="G24" location="'02'!B82:G100" display="ENERO" xr:uid="{00000000-0004-0000-0000-00001E000000}"/>
    <hyperlink ref="G23" location="'02'!B62:G80" display="ENERO" xr:uid="{00000000-0004-0000-0000-00001F000000}"/>
    <hyperlink ref="G44" location="'02'!B482:G500" display="ENERO" xr:uid="{00000000-0004-0000-0000-000020000000}"/>
    <hyperlink ref="G45" location="'02'!B502:G520" display="ENERO" xr:uid="{00000000-0004-0000-0000-000021000000}"/>
    <hyperlink ref="G28" location="'02'!B162:G180" display="ENERO" xr:uid="{00000000-0004-0000-0000-000022000000}"/>
    <hyperlink ref="G36" location="'02'!B322:G340" display="ENERO" xr:uid="{00000000-0004-0000-0000-000023000000}"/>
    <hyperlink ref="G42" location="'02'!B442:G460" display="ENERO" xr:uid="{00000000-0004-0000-0000-000024000000}"/>
    <hyperlink ref="G40" location="'02'!B402:G420" display="ENERO" xr:uid="{00000000-0004-0000-0000-000025000000}"/>
    <hyperlink ref="G38" location="'02'!B362:G380" display="ENERO" xr:uid="{00000000-0004-0000-0000-000026000000}"/>
    <hyperlink ref="G34" location="'02'!B282:G300" display="ENERO" xr:uid="{00000000-0004-0000-0000-000027000000}"/>
    <hyperlink ref="G32" location="'02'!B242:G260" display="ENERO" xr:uid="{00000000-0004-0000-0000-000028000000}"/>
    <hyperlink ref="G30" location="'02'!B202:G220" display="ENERO" xr:uid="{00000000-0004-0000-0000-000029000000}"/>
    <hyperlink ref="G26" location="'02'!B122:G140" display="ENERO" xr:uid="{00000000-0004-0000-0000-00002A000000}"/>
    <hyperlink ref="G43" location="'02'!B462:G480" display="ENERO" xr:uid="{00000000-0004-0000-0000-00002B000000}"/>
    <hyperlink ref="G41" location="'02'!B422:G440" display="ENERO" xr:uid="{00000000-0004-0000-0000-00002C000000}"/>
    <hyperlink ref="G39" location="'02'!B382:G400" display="ENERO" xr:uid="{00000000-0004-0000-0000-00002D000000}"/>
    <hyperlink ref="G37" location="'02'!B342:G360" display="ENERO" xr:uid="{00000000-0004-0000-0000-00002E000000}"/>
    <hyperlink ref="G35" location="'02'!B302:G320" display="ENERO" xr:uid="{00000000-0004-0000-0000-00002F000000}"/>
    <hyperlink ref="G33" location="'02'!B262:G280" display="ENERO" xr:uid="{00000000-0004-0000-0000-000030000000}"/>
    <hyperlink ref="G31" location="'02'!B222:G240" display="ENERO" xr:uid="{00000000-0004-0000-0000-000031000000}"/>
    <hyperlink ref="G29" location="'02'!B182:G200" display="ENERO" xr:uid="{00000000-0004-0000-0000-000032000000}"/>
    <hyperlink ref="G27" location="'02'!B142:G160" display="ENERO" xr:uid="{00000000-0004-0000-0000-000033000000}"/>
    <hyperlink ref="G25" location="'02'!B102:G120" display="ENERO" xr:uid="{00000000-0004-0000-0000-000034000000}"/>
    <hyperlink ref="G20" location="'02'!B2:G20" display="FEBRERO" xr:uid="{00000000-0004-0000-0000-000035000000}"/>
    <hyperlink ref="G21" location="'02'!B22:G40" display="FEBRERO" xr:uid="{00000000-0004-0000-0000-000036000000}"/>
    <hyperlink ref="G22" location="'02'!B42:G60" display="ENERO" xr:uid="{00000000-0004-0000-0000-000037000000}"/>
    <hyperlink ref="K24" location="'03'!B82:G100" display="FEBRERO" xr:uid="{00000000-0004-0000-0000-000038000000}"/>
    <hyperlink ref="K23" location="'03'!B62:G80" display="FEBRERO" xr:uid="{00000000-0004-0000-0000-000039000000}"/>
    <hyperlink ref="K44" location="'03'!B482:G500" display="MARZO" xr:uid="{00000000-0004-0000-0000-00003A000000}"/>
    <hyperlink ref="K45" location="'03'!B502:G520" display="MARZO" xr:uid="{00000000-0004-0000-0000-00003B000000}"/>
    <hyperlink ref="K28" location="'03'!B162:G180" display="FEBRERO" xr:uid="{00000000-0004-0000-0000-00003C000000}"/>
    <hyperlink ref="K36" location="'03'!B322:G340" display="MARZO" xr:uid="{00000000-0004-0000-0000-00003D000000}"/>
    <hyperlink ref="K42" location="'03'!B442:G460" display="MARZO" xr:uid="{00000000-0004-0000-0000-00003E000000}"/>
    <hyperlink ref="K40" location="'03'!B402:G420" display="MARZO" xr:uid="{00000000-0004-0000-0000-00003F000000}"/>
    <hyperlink ref="K38" location="'03'!B362:G380" display="MARZO" xr:uid="{00000000-0004-0000-0000-000040000000}"/>
    <hyperlink ref="K34" location="'03'!B282:G300" display="MARZO" xr:uid="{00000000-0004-0000-0000-000041000000}"/>
    <hyperlink ref="K32" location="'03'!B242:G260" display="MARZO" xr:uid="{00000000-0004-0000-0000-000042000000}"/>
    <hyperlink ref="K30" location="'03'!B202:G220" display="MARZO" xr:uid="{00000000-0004-0000-0000-000043000000}"/>
    <hyperlink ref="K26" location="'03'!B122:G140" display="FEBRERO" xr:uid="{00000000-0004-0000-0000-000044000000}"/>
    <hyperlink ref="K43" location="'03'!B462:G480" display="MARZO" xr:uid="{00000000-0004-0000-0000-000045000000}"/>
    <hyperlink ref="K41" location="'03'!B422:G440" display="MARZO" xr:uid="{00000000-0004-0000-0000-000046000000}"/>
    <hyperlink ref="K39" location="'03'!B382:G400" display="MARZO" xr:uid="{00000000-0004-0000-0000-000047000000}"/>
    <hyperlink ref="K37" location="'03'!B342:G360" display="MARZO" xr:uid="{00000000-0004-0000-0000-000048000000}"/>
    <hyperlink ref="K35" location="'03'!B302:G320" display="MARZO" xr:uid="{00000000-0004-0000-0000-000049000000}"/>
    <hyperlink ref="K31" location="'03'!B222:G240" display="MARZO" xr:uid="{00000000-0004-0000-0000-00004A000000}"/>
    <hyperlink ref="K29" location="'03'!B182:G200" display="MARZO" xr:uid="{00000000-0004-0000-0000-00004B000000}"/>
    <hyperlink ref="K27" location="'03'!B142:G160" display="FEBRERO" xr:uid="{00000000-0004-0000-0000-00004C000000}"/>
    <hyperlink ref="K25" location="'03'!B102:G120" display="FEBRERO" xr:uid="{00000000-0004-0000-0000-00004D000000}"/>
    <hyperlink ref="K20" location="'03'!B2:G20" display="FEBRERO" xr:uid="{00000000-0004-0000-0000-00004E000000}"/>
    <hyperlink ref="K21" location="'03'!B22:G40" display="FEBRERO" xr:uid="{00000000-0004-0000-0000-00004F000000}"/>
    <hyperlink ref="K22" location="'03'!B42:G60" display="FEBRERO" xr:uid="{00000000-0004-0000-0000-000050000000}"/>
    <hyperlink ref="K33" location="'03'!B262:G280" display="MARZO" xr:uid="{00000000-0004-0000-0000-000051000000}"/>
    <hyperlink ref="O24" location="'04'!B82:G100" display="MARZO" xr:uid="{00000000-0004-0000-0000-000052000000}"/>
    <hyperlink ref="O23" location="'04'!B62:G80" display="MARZO" xr:uid="{00000000-0004-0000-0000-000053000000}"/>
    <hyperlink ref="O44" location="'04'!B482:G500" display="MARZO" xr:uid="{00000000-0004-0000-0000-000054000000}"/>
    <hyperlink ref="O45" location="'04'!B502:G520" display="MARZO" xr:uid="{00000000-0004-0000-0000-000055000000}"/>
    <hyperlink ref="O28" location="'04'!B162:G180" display="MARZO" xr:uid="{00000000-0004-0000-0000-000056000000}"/>
    <hyperlink ref="O36" location="'04'!B322:G340" display="MARZO" xr:uid="{00000000-0004-0000-0000-000057000000}"/>
    <hyperlink ref="O42" location="'04'!B442:G460" display="MARZO" xr:uid="{00000000-0004-0000-0000-000058000000}"/>
    <hyperlink ref="O40" location="'04'!B402:G420" display="MARZO" xr:uid="{00000000-0004-0000-0000-000059000000}"/>
    <hyperlink ref="O38" location="'04'!B362:G380" display="MARZO" xr:uid="{00000000-0004-0000-0000-00005A000000}"/>
    <hyperlink ref="O34" location="'04'!B282:G300" display="MARZO" xr:uid="{00000000-0004-0000-0000-00005B000000}"/>
    <hyperlink ref="O32" location="'04'!B242:G260" display="MARZO" xr:uid="{00000000-0004-0000-0000-00005C000000}"/>
    <hyperlink ref="O30" location="'04'!B202:G220" display="MARZO" xr:uid="{00000000-0004-0000-0000-00005D000000}"/>
    <hyperlink ref="O26" location="'04'!B122:G140" display="MARZO" xr:uid="{00000000-0004-0000-0000-00005E000000}"/>
    <hyperlink ref="O43" location="'04'!B462:G480" display="MARZO" xr:uid="{00000000-0004-0000-0000-00005F000000}"/>
    <hyperlink ref="O41" location="'04'!B422:G440" display="MARZO" xr:uid="{00000000-0004-0000-0000-000060000000}"/>
    <hyperlink ref="O39" location="'04'!B382:G400" display="MARZO" xr:uid="{00000000-0004-0000-0000-000061000000}"/>
    <hyperlink ref="O37" location="'04'!B342:G360" display="MARZO" xr:uid="{00000000-0004-0000-0000-000062000000}"/>
    <hyperlink ref="O35" location="'04'!B302:G320" display="MARZO" xr:uid="{00000000-0004-0000-0000-000063000000}"/>
    <hyperlink ref="O31" location="'04'!B222:G240" display="MARZO" xr:uid="{00000000-0004-0000-0000-000064000000}"/>
    <hyperlink ref="O29" location="'04'!B182:G200" display="MARZO" xr:uid="{00000000-0004-0000-0000-000065000000}"/>
    <hyperlink ref="O27" location="'04'!B142:G160" display="MARZO" xr:uid="{00000000-0004-0000-0000-000066000000}"/>
    <hyperlink ref="O25" location="'04'!B102:G120" display="MARZO" xr:uid="{00000000-0004-0000-0000-000067000000}"/>
    <hyperlink ref="O20" location="'04'!B2:G20" display="MARZO" xr:uid="{00000000-0004-0000-0000-000068000000}"/>
    <hyperlink ref="O21" location="'04'!B22:G40" display="MARZO" xr:uid="{00000000-0004-0000-0000-000069000000}"/>
    <hyperlink ref="O22" location="'04'!B42:G60" display="MARZO" xr:uid="{00000000-0004-0000-0000-00006A000000}"/>
    <hyperlink ref="O33" location="'04'!B262:G280" display="MARZO" xr:uid="{00000000-0004-0000-0000-00006B000000}"/>
    <hyperlink ref="O4:R4" location="'04'!I2:L19" display="MARZO" xr:uid="{00000000-0004-0000-0000-00006C000000}"/>
    <hyperlink ref="S24" location="'05'!B82:G100" display="ABRIL" xr:uid="{00000000-0004-0000-0000-00006D000000}"/>
    <hyperlink ref="S23" location="'05'!B62:G80" display="ABRIL" xr:uid="{00000000-0004-0000-0000-00006E000000}"/>
    <hyperlink ref="S44" location="'05'!B482:G500" display="ABRIL" xr:uid="{00000000-0004-0000-0000-00006F000000}"/>
    <hyperlink ref="S45" location="'05'!B502:G520" display="ABRIL" xr:uid="{00000000-0004-0000-0000-000070000000}"/>
    <hyperlink ref="S28" location="'05'!B162:G180" display="ABRIL" xr:uid="{00000000-0004-0000-0000-000071000000}"/>
    <hyperlink ref="S36" location="'05'!B322:G340" display="ABRIL" xr:uid="{00000000-0004-0000-0000-000072000000}"/>
    <hyperlink ref="S42" location="'05'!B442:G460" display="ABRIL" xr:uid="{00000000-0004-0000-0000-000073000000}"/>
    <hyperlink ref="S40" location="'05'!B402:G420" display="ABRIL" xr:uid="{00000000-0004-0000-0000-000074000000}"/>
    <hyperlink ref="S38" location="'05'!B362:G380" display="ABRIL" xr:uid="{00000000-0004-0000-0000-000075000000}"/>
    <hyperlink ref="S34" location="'05'!B282:G300" display="ABRIL" xr:uid="{00000000-0004-0000-0000-000076000000}"/>
    <hyperlink ref="S32" location="'05'!B242:G260" display="ABRIL" xr:uid="{00000000-0004-0000-0000-000077000000}"/>
    <hyperlink ref="S30" location="'05'!B202:G220" display="ABRIL" xr:uid="{00000000-0004-0000-0000-000078000000}"/>
    <hyperlink ref="S26" location="'05'!B122:G140" display="ABRIL" xr:uid="{00000000-0004-0000-0000-000079000000}"/>
    <hyperlink ref="S43" location="'05'!B462:G480" display="ABRIL" xr:uid="{00000000-0004-0000-0000-00007A000000}"/>
    <hyperlink ref="S41" location="'05'!B422:G440" display="ABRIL" xr:uid="{00000000-0004-0000-0000-00007B000000}"/>
    <hyperlink ref="S39" location="'05'!B382:G400" display="ABRIL" xr:uid="{00000000-0004-0000-0000-00007C000000}"/>
    <hyperlink ref="S37" location="'05'!B342:G360" display="ABRIL" xr:uid="{00000000-0004-0000-0000-00007D000000}"/>
    <hyperlink ref="S35" location="'05'!B302:G320" display="ABRIL" xr:uid="{00000000-0004-0000-0000-00007E000000}"/>
    <hyperlink ref="S31" location="'05'!B222:G240" display="ABRIL" xr:uid="{00000000-0004-0000-0000-00007F000000}"/>
    <hyperlink ref="S29" location="'05'!B182:G200" display="ABRIL" xr:uid="{00000000-0004-0000-0000-000080000000}"/>
    <hyperlink ref="S27" location="'05'!B142:G160" display="ABRIL" xr:uid="{00000000-0004-0000-0000-000081000000}"/>
    <hyperlink ref="S25" location="'05'!B102:G120" display="ABRIL" xr:uid="{00000000-0004-0000-0000-000082000000}"/>
    <hyperlink ref="S33" location="'05'!B262:G280" display="ABRIL" xr:uid="{00000000-0004-0000-0000-000086000000}"/>
    <hyperlink ref="S4:V4" location="'05'!I2:L19" display="ABRIL" xr:uid="{00000000-0004-0000-0000-000087000000}"/>
    <hyperlink ref="AA24" location="'07'!B82:G100" display="JULIO" xr:uid="{00000000-0004-0000-0000-000088000000}"/>
    <hyperlink ref="AA23" location="'07'!B62:G80" display="JULIO" xr:uid="{00000000-0004-0000-0000-000089000000}"/>
    <hyperlink ref="AA44" location="'07'!B482:G500" display="JULIO" xr:uid="{00000000-0004-0000-0000-00008A000000}"/>
    <hyperlink ref="AA45" location="'07'!B502:G520" display="JULIO" xr:uid="{00000000-0004-0000-0000-00008B000000}"/>
    <hyperlink ref="AA28" location="'07'!B162:G180" display="JULIO" xr:uid="{00000000-0004-0000-0000-00008C000000}"/>
    <hyperlink ref="AA36" location="'07'!B322:G340" display="JULIO" xr:uid="{00000000-0004-0000-0000-00008D000000}"/>
    <hyperlink ref="AA42" location="'07'!B442:G460" display="JULIO" xr:uid="{00000000-0004-0000-0000-00008E000000}"/>
    <hyperlink ref="AA40" location="'07'!B402:G420" display="JULIO" xr:uid="{00000000-0004-0000-0000-00008F000000}"/>
    <hyperlink ref="AA38" location="'07'!B362:G380" display="JULIO" xr:uid="{00000000-0004-0000-0000-000090000000}"/>
    <hyperlink ref="AA34" location="'07'!B282:G300" display="JULIO" xr:uid="{00000000-0004-0000-0000-000091000000}"/>
    <hyperlink ref="AA32" location="'07'!B242:G260" display="JULIO" xr:uid="{00000000-0004-0000-0000-000092000000}"/>
    <hyperlink ref="AA30" location="'07'!B202:G220" display="JULIO" xr:uid="{00000000-0004-0000-0000-000093000000}"/>
    <hyperlink ref="AA26" location="'07'!B122:G140" display="JULIO" xr:uid="{00000000-0004-0000-0000-000094000000}"/>
    <hyperlink ref="AA43" location="'07'!B462:G480" display="JULIO" xr:uid="{00000000-0004-0000-0000-000095000000}"/>
    <hyperlink ref="AA41" location="'07'!B422:G440" display="JULIO" xr:uid="{00000000-0004-0000-0000-000096000000}"/>
    <hyperlink ref="AA39" location="'07'!B382:G400" display="JULIO" xr:uid="{00000000-0004-0000-0000-000097000000}"/>
    <hyperlink ref="AA37" location="'07'!B342:G360" display="JULIO" xr:uid="{00000000-0004-0000-0000-000098000000}"/>
    <hyperlink ref="AA35" location="'07'!B302:G320" display="JULIO" xr:uid="{00000000-0004-0000-0000-000099000000}"/>
    <hyperlink ref="AA31" location="'07'!B222:G240" display="JULIO" xr:uid="{00000000-0004-0000-0000-00009A000000}"/>
    <hyperlink ref="AA29" location="'07'!B182:G200" display="JULIO" xr:uid="{00000000-0004-0000-0000-00009B000000}"/>
    <hyperlink ref="AA27" location="'07'!B142:G160" display="JULIO" xr:uid="{00000000-0004-0000-0000-00009C000000}"/>
    <hyperlink ref="AA25" location="'07'!B102:G120" display="JULIO" xr:uid="{00000000-0004-0000-0000-00009D000000}"/>
    <hyperlink ref="AA20" location="'07'!B2:G20" display="JULIO" xr:uid="{00000000-0004-0000-0000-00009E000000}"/>
    <hyperlink ref="AA21" location="'07'!B22:G40" display="JULIO" xr:uid="{00000000-0004-0000-0000-00009F000000}"/>
    <hyperlink ref="AA22" location="'07'!B42:G60" display="JULIO" xr:uid="{00000000-0004-0000-0000-0000A0000000}"/>
    <hyperlink ref="AA33" location="'07'!B262:G280" display="JULIO" xr:uid="{00000000-0004-0000-0000-0000A1000000}"/>
    <hyperlink ref="AA4:AD4" location="'07'!I2:L19" display="JULIO" xr:uid="{00000000-0004-0000-0000-0000A2000000}"/>
    <hyperlink ref="AE24" location="'08'!B82:G100" display="AGOSTO" xr:uid="{00000000-0004-0000-0000-0000A3000000}"/>
    <hyperlink ref="AE23" location="'08'!B62:G80" display="AGOSTO" xr:uid="{00000000-0004-0000-0000-0000A4000000}"/>
    <hyperlink ref="AE44" location="'08'!B482:G500" display="AGOSTO" xr:uid="{00000000-0004-0000-0000-0000A5000000}"/>
    <hyperlink ref="AE45" location="'08'!B502:G520" display="AGOSTO" xr:uid="{00000000-0004-0000-0000-0000A6000000}"/>
    <hyperlink ref="AE28" location="'08'!B162:G180" display="AGOSTO" xr:uid="{00000000-0004-0000-0000-0000A7000000}"/>
    <hyperlink ref="AE36" location="'08'!B322:G340" display="AGOSTO" xr:uid="{00000000-0004-0000-0000-0000A8000000}"/>
    <hyperlink ref="AE42" location="'08'!B442:G460" display="AGOSTO" xr:uid="{00000000-0004-0000-0000-0000A9000000}"/>
    <hyperlink ref="AE40" location="'08'!B402:G420" display="AGOSTO" xr:uid="{00000000-0004-0000-0000-0000AA000000}"/>
    <hyperlink ref="AE38" location="'08'!B362:G380" display="AGOSTO" xr:uid="{00000000-0004-0000-0000-0000AB000000}"/>
    <hyperlink ref="AE34" location="'08'!B282:G300" display="AGOSTO" xr:uid="{00000000-0004-0000-0000-0000AC000000}"/>
    <hyperlink ref="AE32" location="'08'!B242:G260" display="AGOSTO" xr:uid="{00000000-0004-0000-0000-0000AD000000}"/>
    <hyperlink ref="AE30" location="'08'!B202:G220" display="AGOSTO" xr:uid="{00000000-0004-0000-0000-0000AE000000}"/>
    <hyperlink ref="AE26" location="'08'!B122:G140" display="AGOSTO" xr:uid="{00000000-0004-0000-0000-0000AF000000}"/>
    <hyperlink ref="AE43" location="'08'!B462:G480" display="AGOSTO" xr:uid="{00000000-0004-0000-0000-0000B0000000}"/>
    <hyperlink ref="AE41" location="'08'!B422:G440" display="AGOSTO" xr:uid="{00000000-0004-0000-0000-0000B1000000}"/>
    <hyperlink ref="AE39" location="'08'!B382:G400" display="AGOSTO" xr:uid="{00000000-0004-0000-0000-0000B2000000}"/>
    <hyperlink ref="AE37" location="'08'!B342:G360" display="AGOSTO" xr:uid="{00000000-0004-0000-0000-0000B3000000}"/>
    <hyperlink ref="AE35" location="'08'!B302:G320" display="AGOSTO" xr:uid="{00000000-0004-0000-0000-0000B4000000}"/>
    <hyperlink ref="AE31" location="'08'!B222:G240" display="AGOSTO" xr:uid="{00000000-0004-0000-0000-0000B5000000}"/>
    <hyperlink ref="AE29" location="'08'!B182:G200" display="AGOSTO" xr:uid="{00000000-0004-0000-0000-0000B6000000}"/>
    <hyperlink ref="AE27" location="'08'!B142:G160" display="AGOSTO" xr:uid="{00000000-0004-0000-0000-0000B7000000}"/>
    <hyperlink ref="AE25" location="'08'!B102:G120" display="AGOSTO" xr:uid="{00000000-0004-0000-0000-0000B8000000}"/>
    <hyperlink ref="AE20" location="'08'!B2:G20" display="AGOSTO" xr:uid="{00000000-0004-0000-0000-0000B9000000}"/>
    <hyperlink ref="AE21" location="'08'!B22:G40" display="AGOSTO" xr:uid="{00000000-0004-0000-0000-0000BA000000}"/>
    <hyperlink ref="AE22" location="'08'!B42:G60" display="AGOSTO" xr:uid="{00000000-0004-0000-0000-0000BB000000}"/>
    <hyperlink ref="AE33" location="'08'!B262:G280" display="AGOSTO" xr:uid="{00000000-0004-0000-0000-0000BC000000}"/>
    <hyperlink ref="AE4:AH4" location="'08'!I2:L19" display="AGOSTO" xr:uid="{00000000-0004-0000-0000-0000BD000000}"/>
    <hyperlink ref="AI24" location="'09'!B82:G100" display="SEPT…" xr:uid="{00000000-0004-0000-0000-0000BE000000}"/>
    <hyperlink ref="AI23" location="'09'!B62:G80" display="SEPT…" xr:uid="{00000000-0004-0000-0000-0000BF000000}"/>
    <hyperlink ref="AI44" location="'09'!B482:G500" display="SEPT…" xr:uid="{00000000-0004-0000-0000-0000C0000000}"/>
    <hyperlink ref="AI45" location="'09'!B502:G520" display="SEPT…" xr:uid="{00000000-0004-0000-0000-0000C1000000}"/>
    <hyperlink ref="AI28" location="'09'!B162:G180" display="SEPT…" xr:uid="{00000000-0004-0000-0000-0000C2000000}"/>
    <hyperlink ref="AI36" location="'09'!B322:G340" display="SEPT…" xr:uid="{00000000-0004-0000-0000-0000C3000000}"/>
    <hyperlink ref="AI42" location="'09'!B442:G460" display="SEPT…" xr:uid="{00000000-0004-0000-0000-0000C4000000}"/>
    <hyperlink ref="AI40" location="'09'!B402:G420" display="SEPT…" xr:uid="{00000000-0004-0000-0000-0000C5000000}"/>
    <hyperlink ref="AI38" location="'09'!B362:G380" display="SEPT…" xr:uid="{00000000-0004-0000-0000-0000C6000000}"/>
    <hyperlink ref="AI34" location="'09'!B282:G300" display="SEPT…" xr:uid="{00000000-0004-0000-0000-0000C7000000}"/>
    <hyperlink ref="AI32" location="'09'!B242:G260" display="SEPT…" xr:uid="{00000000-0004-0000-0000-0000C8000000}"/>
    <hyperlink ref="AI30" location="'09'!B202:G220" display="SEPT…" xr:uid="{00000000-0004-0000-0000-0000C9000000}"/>
    <hyperlink ref="AI26" location="'09'!B122:G140" display="SEPT…" xr:uid="{00000000-0004-0000-0000-0000CA000000}"/>
    <hyperlink ref="AI43" location="'09'!B462:G480" display="SEPT…" xr:uid="{00000000-0004-0000-0000-0000CB000000}"/>
    <hyperlink ref="AI41" location="'09'!B422:G440" display="SEPT…" xr:uid="{00000000-0004-0000-0000-0000CC000000}"/>
    <hyperlink ref="AI39" location="'09'!B382:G400" display="SEPT…" xr:uid="{00000000-0004-0000-0000-0000CD000000}"/>
    <hyperlink ref="AI37" location="'09'!B342:G360" display="SEPT…" xr:uid="{00000000-0004-0000-0000-0000CE000000}"/>
    <hyperlink ref="AI35" location="'09'!B302:G320" display="SEPT…" xr:uid="{00000000-0004-0000-0000-0000CF000000}"/>
    <hyperlink ref="AI31" location="'09'!B222:G240" display="SEPT…" xr:uid="{00000000-0004-0000-0000-0000D0000000}"/>
    <hyperlink ref="AI29" location="'09'!B182:G200" display="SEPT…" xr:uid="{00000000-0004-0000-0000-0000D1000000}"/>
    <hyperlink ref="AI27" location="'09'!B142:G160" display="SEPT…" xr:uid="{00000000-0004-0000-0000-0000D2000000}"/>
    <hyperlink ref="AI25" location="'09'!B102:G120" display="SEPT…" xr:uid="{00000000-0004-0000-0000-0000D3000000}"/>
    <hyperlink ref="AI20" location="'09'!B2:G20" display="SEPT…" xr:uid="{00000000-0004-0000-0000-0000D4000000}"/>
    <hyperlink ref="AI21" location="'09'!B22:G40" display="SEPT…" xr:uid="{00000000-0004-0000-0000-0000D5000000}"/>
    <hyperlink ref="AI22" location="'09'!B42:G60" display="SEPT…" xr:uid="{00000000-0004-0000-0000-0000D6000000}"/>
    <hyperlink ref="AI33" location="'09'!B262:G280" display="SEPT…" xr:uid="{00000000-0004-0000-0000-0000D7000000}"/>
    <hyperlink ref="AI4:AL4" location="'09'!I2:L19" display="SEPTIEMBRE" xr:uid="{00000000-0004-0000-0000-0000D8000000}"/>
    <hyperlink ref="AM24" location="'10'!B82:G100" display="OCTUBRE" xr:uid="{00000000-0004-0000-0000-0000D9000000}"/>
    <hyperlink ref="AM23" location="'10'!B62:G80" display="OCTUBRE" xr:uid="{00000000-0004-0000-0000-0000DA000000}"/>
    <hyperlink ref="AM44" location="'10'!B482:G500" display="OCTUBRE" xr:uid="{00000000-0004-0000-0000-0000DB000000}"/>
    <hyperlink ref="AM45" location="'10'!B502:G520" display="OCTUBRE" xr:uid="{00000000-0004-0000-0000-0000DC000000}"/>
    <hyperlink ref="AM28" location="'10'!B162:G180" display="OCTUBRE" xr:uid="{00000000-0004-0000-0000-0000DD000000}"/>
    <hyperlink ref="AM36" location="'10'!B322:G340" display="OCTUBRE" xr:uid="{00000000-0004-0000-0000-0000DE000000}"/>
    <hyperlink ref="AM42" location="'10'!B442:G460" display="OCTUBRE" xr:uid="{00000000-0004-0000-0000-0000DF000000}"/>
    <hyperlink ref="AM40" location="'10'!B402:G420" display="OCTUBRE" xr:uid="{00000000-0004-0000-0000-0000E0000000}"/>
    <hyperlink ref="AM38" location="'10'!B362:G380" display="OCTUBRE" xr:uid="{00000000-0004-0000-0000-0000E1000000}"/>
    <hyperlink ref="AM34" location="'10'!B282:G300" display="OCTUBRE" xr:uid="{00000000-0004-0000-0000-0000E2000000}"/>
    <hyperlink ref="AM32" location="'10'!B242:G260" display="OCTUBRE" xr:uid="{00000000-0004-0000-0000-0000E3000000}"/>
    <hyperlink ref="AM30" location="'10'!B202:G220" display="OCTUBRE" xr:uid="{00000000-0004-0000-0000-0000E4000000}"/>
    <hyperlink ref="AM26" location="'10'!B122:G140" display="OCTUBRE" xr:uid="{00000000-0004-0000-0000-0000E5000000}"/>
    <hyperlink ref="AM43" location="'10'!B462:G480" display="OCTUBRE" xr:uid="{00000000-0004-0000-0000-0000E6000000}"/>
    <hyperlink ref="AM41" location="'10'!B422:G440" display="OCTUBRE" xr:uid="{00000000-0004-0000-0000-0000E7000000}"/>
    <hyperlink ref="AM39" location="'10'!B382:G400" display="OCTUBRE" xr:uid="{00000000-0004-0000-0000-0000E8000000}"/>
    <hyperlink ref="AM37" location="'10'!B342:G360" display="OCTUBRE" xr:uid="{00000000-0004-0000-0000-0000E9000000}"/>
    <hyperlink ref="AM35" location="'10'!B302:G320" display="OCTUBRE" xr:uid="{00000000-0004-0000-0000-0000EA000000}"/>
    <hyperlink ref="AM31" location="'10'!B222:G240" display="OCTUBRE" xr:uid="{00000000-0004-0000-0000-0000EB000000}"/>
    <hyperlink ref="AM29" location="'10'!B182:G200" display="OCTUBRE" xr:uid="{00000000-0004-0000-0000-0000EC000000}"/>
    <hyperlink ref="AM27" location="'10'!B142:G160" display="OCTUBRE" xr:uid="{00000000-0004-0000-0000-0000ED000000}"/>
    <hyperlink ref="AM25" location="'10'!B102:G120" display="OCTUBRE" xr:uid="{00000000-0004-0000-0000-0000EE000000}"/>
    <hyperlink ref="AM20" location="'10'!B2:G20" display="OCTUBRE" xr:uid="{00000000-0004-0000-0000-0000EF000000}"/>
    <hyperlink ref="AM21" location="'10'!B22:G40" display="OCTUBRE" xr:uid="{00000000-0004-0000-0000-0000F0000000}"/>
    <hyperlink ref="AM22" location="'10'!B42:G60" display="OCTUBRE" xr:uid="{00000000-0004-0000-0000-0000F1000000}"/>
    <hyperlink ref="AM33" location="'10'!B262:G280" display="OCTUBRE" xr:uid="{00000000-0004-0000-0000-0000F2000000}"/>
    <hyperlink ref="AM4:AP4" location="'10'!I2:L19" display="OCTUBRE" xr:uid="{00000000-0004-0000-0000-0000F3000000}"/>
    <hyperlink ref="AQ20" location="'11'!B2:G20" display="NOV…" xr:uid="{00000000-0004-0000-0000-0000F4000000}"/>
    <hyperlink ref="AQ4:AT4" location="'11'!I2:L19" display="NOVIEMBRE" xr:uid="{00000000-0004-0000-0000-0000F5000000}"/>
    <hyperlink ref="W24" location="'06'!B82:G100" display="JUNIO" xr:uid="{00000000-0004-0000-0000-0000F6000000}"/>
    <hyperlink ref="W23" location="'06'!B62:G80" display="JUNIO" xr:uid="{00000000-0004-0000-0000-0000F7000000}"/>
    <hyperlink ref="W44" location="'06'!B482:G500" display="JUNIO" xr:uid="{00000000-0004-0000-0000-0000F8000000}"/>
    <hyperlink ref="W45" location="'06'!B502:G520" display="JUNIO" xr:uid="{00000000-0004-0000-0000-0000F9000000}"/>
    <hyperlink ref="W28" location="'06'!B162:G180" display="JUNIO" xr:uid="{00000000-0004-0000-0000-0000FA000000}"/>
    <hyperlink ref="W36" location="'06'!B322:G340" display="JUNIO" xr:uid="{00000000-0004-0000-0000-0000FB000000}"/>
    <hyperlink ref="W42" location="'06'!B442:G460" display="JUNIO" xr:uid="{00000000-0004-0000-0000-0000FC000000}"/>
    <hyperlink ref="W40" location="'06'!B402:G420" display="JUNIO" xr:uid="{00000000-0004-0000-0000-0000FD000000}"/>
    <hyperlink ref="W38" location="'06'!B362:G380" display="JUNIO" xr:uid="{00000000-0004-0000-0000-0000FE000000}"/>
    <hyperlink ref="W34" location="'06'!B282:G300" display="JUNIO" xr:uid="{00000000-0004-0000-0000-0000FF000000}"/>
    <hyperlink ref="W32" location="'06'!B242:G260" display="JUNIO" xr:uid="{00000000-0004-0000-0000-000000010000}"/>
    <hyperlink ref="W30" location="'06'!B202:G220" display="JUNIO" xr:uid="{00000000-0004-0000-0000-000001010000}"/>
    <hyperlink ref="W26" location="'06'!B122:G140" display="JUNIO" xr:uid="{00000000-0004-0000-0000-000002010000}"/>
    <hyperlink ref="W43" location="'06'!B462:G480" display="JUNIO" xr:uid="{00000000-0004-0000-0000-000003010000}"/>
    <hyperlink ref="W41" location="'06'!B422:G440" display="JUNIO" xr:uid="{00000000-0004-0000-0000-000004010000}"/>
    <hyperlink ref="W39" location="'06'!B382:G400" display="JUNIO" xr:uid="{00000000-0004-0000-0000-000005010000}"/>
    <hyperlink ref="W37" location="'06'!B342:G360" display="JUNIO" xr:uid="{00000000-0004-0000-0000-000006010000}"/>
    <hyperlink ref="W35" location="'06'!B302:G320" display="JUNIO" xr:uid="{00000000-0004-0000-0000-000007010000}"/>
    <hyperlink ref="W31" location="'06'!B222:G240" display="JUNIO" xr:uid="{00000000-0004-0000-0000-000008010000}"/>
    <hyperlink ref="W29" location="'06'!B182:G200" display="JUNIO" xr:uid="{00000000-0004-0000-0000-000009010000}"/>
    <hyperlink ref="W27" location="'06'!B142:G160" display="JUNIO" xr:uid="{00000000-0004-0000-0000-00000A010000}"/>
    <hyperlink ref="W25" location="'06'!B102:G120" display="JUNIO" xr:uid="{00000000-0004-0000-0000-00000B010000}"/>
    <hyperlink ref="W20" location="'06'!B2:G20" display="JUNIO" xr:uid="{00000000-0004-0000-0000-00000C010000}"/>
    <hyperlink ref="W21" location="'06'!B22:G40" display="JUNIO" xr:uid="{00000000-0004-0000-0000-00000D010000}"/>
    <hyperlink ref="W22" location="'06'!B42:G60" display="JUNIO" xr:uid="{00000000-0004-0000-0000-00000E010000}"/>
    <hyperlink ref="W33" location="'06'!B262:G280" display="JUNIO" xr:uid="{00000000-0004-0000-0000-00000F010000}"/>
    <hyperlink ref="AQ21" location="'11'!A1" display="NOV…" xr:uid="{00000000-0004-0000-0000-000010010000}"/>
    <hyperlink ref="AQ24" location="'11'!B82:G100" display="NOV…" xr:uid="{00000000-0004-0000-0000-000011010000}"/>
    <hyperlink ref="AQ23" location="'11'!B62:G80" display="NOV…" xr:uid="{00000000-0004-0000-0000-000012010000}"/>
    <hyperlink ref="AQ44" location="'11'!B482:G500" display="NOV…" xr:uid="{00000000-0004-0000-0000-000013010000}"/>
    <hyperlink ref="AQ45" location="'11'!B502:G520" display="NOV…" xr:uid="{00000000-0004-0000-0000-000014010000}"/>
    <hyperlink ref="AQ28" location="'11'!B162:G180" display="NOV…" xr:uid="{00000000-0004-0000-0000-000015010000}"/>
    <hyperlink ref="AQ36" location="'11'!B322:G340" display="NOV…" xr:uid="{00000000-0004-0000-0000-000016010000}"/>
    <hyperlink ref="AQ42" location="'11'!B442:G460" display="NOV…" xr:uid="{00000000-0004-0000-0000-000017010000}"/>
    <hyperlink ref="AQ40" location="'11'!B402:G420" display="NOV…" xr:uid="{00000000-0004-0000-0000-000018010000}"/>
    <hyperlink ref="AQ38" location="'11'!B362:G380" display="NOV…" xr:uid="{00000000-0004-0000-0000-000019010000}"/>
    <hyperlink ref="AQ34" location="'11'!B282:G300" display="NOV…" xr:uid="{00000000-0004-0000-0000-00001A010000}"/>
    <hyperlink ref="AQ32" location="'11'!B242:G260" display="NOV…" xr:uid="{00000000-0004-0000-0000-00001B010000}"/>
    <hyperlink ref="AQ30" location="'11'!B202:G220" display="NOV…" xr:uid="{00000000-0004-0000-0000-00001C010000}"/>
    <hyperlink ref="AQ26" location="'11'!B122:G140" display="NOV…" xr:uid="{00000000-0004-0000-0000-00001D010000}"/>
    <hyperlink ref="AQ43" location="'11'!B462:G480" display="NOV…" xr:uid="{00000000-0004-0000-0000-00001E010000}"/>
    <hyperlink ref="AQ41" location="'11'!B422:G440" display="NOV…" xr:uid="{00000000-0004-0000-0000-00001F010000}"/>
    <hyperlink ref="AQ39" location="'11'!B382:G400" display="NOV…" xr:uid="{00000000-0004-0000-0000-000020010000}"/>
    <hyperlink ref="AQ37" location="'11'!B342:G360" display="NOV…" xr:uid="{00000000-0004-0000-0000-000021010000}"/>
    <hyperlink ref="AQ35" location="'11'!B302:G320" display="NOV…" xr:uid="{00000000-0004-0000-0000-000022010000}"/>
    <hyperlink ref="AQ31" location="'11'!B222:G240" display="NOV…" xr:uid="{00000000-0004-0000-0000-000023010000}"/>
    <hyperlink ref="AQ29" location="'11'!B182:G200" display="NOV…" xr:uid="{00000000-0004-0000-0000-000024010000}"/>
    <hyperlink ref="AQ27" location="'11'!B142:G160" display="NOV…" xr:uid="{00000000-0004-0000-0000-000025010000}"/>
    <hyperlink ref="AQ25" location="'11'!B102:G120" display="NOV…" xr:uid="{00000000-0004-0000-0000-000026010000}"/>
    <hyperlink ref="AQ22" location="'11'!B42:G60" display="NOV…" xr:uid="{00000000-0004-0000-0000-000027010000}"/>
    <hyperlink ref="AQ33" location="'11'!B262:G280" display="NOV…" xr:uid="{00000000-0004-0000-0000-000028010000}"/>
    <hyperlink ref="AU24" location="'12'!B82:G100" display="DICIEMBRE" xr:uid="{00000000-0004-0000-0000-000029010000}"/>
    <hyperlink ref="AU23" location="'12'!B62:G80" display="DICIEMBRE" xr:uid="{00000000-0004-0000-0000-00002A010000}"/>
    <hyperlink ref="AU44" location="'12'!B482:G500" display="DICIEMBRE" xr:uid="{00000000-0004-0000-0000-00002B010000}"/>
    <hyperlink ref="AU45" location="'12'!B502:G520" display="DICIEMBRE" xr:uid="{00000000-0004-0000-0000-00002C010000}"/>
    <hyperlink ref="AU28" location="'12'!B162:G180" display="DICIEMBRE" xr:uid="{00000000-0004-0000-0000-00002D010000}"/>
    <hyperlink ref="AU36" location="'12'!B322:G340" display="DICIEMBRE" xr:uid="{00000000-0004-0000-0000-00002E010000}"/>
    <hyperlink ref="AU42" location="'12'!B442:G460" display="DICIEMBRE" xr:uid="{00000000-0004-0000-0000-00002F010000}"/>
    <hyperlink ref="AU40" location="'12'!B402:G420" display="DICIEMBRE" xr:uid="{00000000-0004-0000-0000-000030010000}"/>
    <hyperlink ref="AU38" location="'12'!B362:G380" display="DICIEMBRE" xr:uid="{00000000-0004-0000-0000-000031010000}"/>
    <hyperlink ref="AU34" location="'12'!B282:G300" display="DICIEMBRE" xr:uid="{00000000-0004-0000-0000-000032010000}"/>
    <hyperlink ref="AU32" location="'12'!B242:G260" display="DICIEMBRE" xr:uid="{00000000-0004-0000-0000-000033010000}"/>
    <hyperlink ref="AU30" location="'12'!B202:G220" display="DICIEMBRE" xr:uid="{00000000-0004-0000-0000-000034010000}"/>
    <hyperlink ref="AU26" location="'12'!B122:G140" display="DICIEMBRE" xr:uid="{00000000-0004-0000-0000-000035010000}"/>
    <hyperlink ref="AU43" location="'12'!B462:G480" display="DICIEMBRE" xr:uid="{00000000-0004-0000-0000-000036010000}"/>
    <hyperlink ref="AU41" location="'12'!B422:G440" display="DICIEMBRE" xr:uid="{00000000-0004-0000-0000-000037010000}"/>
    <hyperlink ref="AU39" location="'12'!B382:G400" display="DICIEMBRE" xr:uid="{00000000-0004-0000-0000-000038010000}"/>
    <hyperlink ref="AU37" location="'12'!B342:G360" display="DICIEMBRE" xr:uid="{00000000-0004-0000-0000-000039010000}"/>
    <hyperlink ref="AU35" location="'12'!B302:G320" display="DICIEMBRE" xr:uid="{00000000-0004-0000-0000-00003A010000}"/>
    <hyperlink ref="AU31" location="'12'!B222:G240" display="DICIEMBRE" xr:uid="{00000000-0004-0000-0000-00003B010000}"/>
    <hyperlink ref="AU29" location="'12'!B182:G200" display="DICIEMBRE" xr:uid="{00000000-0004-0000-0000-00003C010000}"/>
    <hyperlink ref="AU27" location="'12'!B142:G160" display="DICIEMBRE" xr:uid="{00000000-0004-0000-0000-00003D010000}"/>
    <hyperlink ref="AU25" location="'12'!B102:G120" display="DICIEMBRE" xr:uid="{00000000-0004-0000-0000-00003E010000}"/>
    <hyperlink ref="AU20" location="'12'!B2:G20" display="DICIEMBRE" xr:uid="{00000000-0004-0000-0000-00003F010000}"/>
    <hyperlink ref="AU21" location="'12'!B22:G40" display="DICIEMBRE" xr:uid="{00000000-0004-0000-0000-000040010000}"/>
    <hyperlink ref="AU22" location="'12'!B42:G60" display="DICIEMBRE" xr:uid="{00000000-0004-0000-0000-000041010000}"/>
    <hyperlink ref="AU33" location="'12'!B262:G280" display="DICIEMBRE" xr:uid="{00000000-0004-0000-0000-000042010000}"/>
    <hyperlink ref="AU4:AX4" location="'12'!I2:L19" display="DICIEMBRE" xr:uid="{00000000-0004-0000-0000-000043010000}"/>
    <hyperlink ref="S22" location="'05'!B42:G60" display="ABRIL" xr:uid="{00000000-0004-0000-0000-000085000000}"/>
    <hyperlink ref="S21" location="'05'!B22:G40" display="ABRIL" xr:uid="{00000000-0004-0000-0000-000084000000}"/>
    <hyperlink ref="S20" location="'05'!B2:G20" display="ABRIL" xr:uid="{00000000-0004-0000-0000-000083000000}"/>
    <hyperlink ref="C7:F7" location="'01'!I22:L69" display="INGRESADO" xr:uid="{EB5D5D2A-3012-4AA5-B3B5-922212596264}"/>
    <hyperlink ref="G7:J7" location="'02'!I22:L69" display="INGRESADO" xr:uid="{4579EC2C-8098-4012-ADEA-1DC228CD1C47}"/>
    <hyperlink ref="K7:N7" location="'03'!I22:L69" display="INGRESADO" xr:uid="{4240C3E8-8E04-4554-8B9C-F8299467D6CC}"/>
    <hyperlink ref="O7:R7" location="'04'!I22:L69" display="INGRESADO" xr:uid="{75552AB7-FCCF-4135-97BD-78A48A9E35BA}"/>
    <hyperlink ref="S7:V7" location="'05'!I22:L69" display="INGRESADO" xr:uid="{18E4E9F0-E51B-4C01-B686-93B2CCDBCA53}"/>
    <hyperlink ref="W7:Z7" location="'06'!I22:L69" display="INGRESADO" xr:uid="{5E22AD0E-AB54-4F79-AE2D-D7E4ED24BB66}"/>
    <hyperlink ref="AA7:AD7" location="'07'!I22:L69" display="INGRESADO" xr:uid="{A9FCEC8E-7786-4CF3-B22A-09D3EA833A3A}"/>
    <hyperlink ref="AE7:AH7" location="'08'!I22:L69" display="INGRESADO" xr:uid="{FDFC58ED-C658-4726-BA45-0CC585858476}"/>
    <hyperlink ref="AI7:AL7" location="'09'!I22:L69" display="INGRESADO" xr:uid="{5DB88952-F241-442C-A093-67921A45C83E}"/>
    <hyperlink ref="AM7:AP7" location="'10'!I22:L69" display="INGRESADO" xr:uid="{B8AC9850-CBA9-49C0-96F0-5556CB618BB8}"/>
    <hyperlink ref="AQ7:AT7" location="'11'!I22:L69" display="INGRESADO" xr:uid="{3C9CE835-BE06-46E8-B7ED-ACDB9E429C65}"/>
    <hyperlink ref="AU7:AX7" location="'12'!I22:L69" display="INGRESADO" xr:uid="{F147DB67-0C07-4580-84D9-761CF6AC9C91}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V520"/>
  <sheetViews>
    <sheetView topLeftCell="A446" workbookViewId="0">
      <selection activeCell="F11" sqref="F11"/>
    </sheetView>
  </sheetViews>
  <sheetFormatPr defaultColWidth="11.42578125" defaultRowHeight="15"/>
  <cols>
    <col min="1" max="1" width="11.42578125" style="89"/>
    <col min="2" max="2" width="10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228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30" t="str">
        <f>AÑO!A20</f>
        <v>Cártama Gastos</v>
      </c>
      <c r="C2" s="419"/>
      <c r="D2" s="419"/>
      <c r="E2" s="419"/>
      <c r="F2" s="419"/>
      <c r="G2" s="420"/>
      <c r="H2" s="222"/>
      <c r="I2" s="418" t="s">
        <v>4</v>
      </c>
      <c r="J2" s="419"/>
      <c r="K2" s="419"/>
      <c r="L2" s="420"/>
      <c r="M2" s="1"/>
      <c r="N2" s="1"/>
      <c r="R2" s="3"/>
    </row>
    <row r="3" spans="1:22" ht="16.5" thickBot="1">
      <c r="A3" s="1"/>
      <c r="B3" s="421"/>
      <c r="C3" s="422"/>
      <c r="D3" s="422"/>
      <c r="E3" s="422"/>
      <c r="F3" s="422"/>
      <c r="G3" s="423"/>
      <c r="H3" s="1"/>
      <c r="I3" s="421"/>
      <c r="J3" s="422"/>
      <c r="K3" s="422"/>
      <c r="L3" s="423"/>
      <c r="M3" s="1"/>
      <c r="N3" s="1"/>
      <c r="R3" s="3"/>
    </row>
    <row r="4" spans="1:22" ht="15.75">
      <c r="A4" s="1"/>
      <c r="B4" s="431" t="s">
        <v>8</v>
      </c>
      <c r="C4" s="432"/>
      <c r="D4" s="433" t="s">
        <v>9</v>
      </c>
      <c r="E4" s="433"/>
      <c r="F4" s="433"/>
      <c r="G4" s="432"/>
      <c r="H4" s="222"/>
      <c r="I4" s="40" t="s">
        <v>57</v>
      </c>
      <c r="J4" s="105" t="s">
        <v>58</v>
      </c>
      <c r="K4" s="424" t="s">
        <v>59</v>
      </c>
      <c r="L4" s="425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26"/>
      <c r="L5" s="427"/>
      <c r="M5" s="1"/>
      <c r="N5" s="1"/>
      <c r="R5" s="3"/>
    </row>
    <row r="6" spans="1:22" ht="15.75">
      <c r="A6" s="112">
        <f>'08'!A6+(B6-SUM(D6:F6))</f>
        <v>1211.75</v>
      </c>
      <c r="B6" s="133">
        <v>399.59</v>
      </c>
      <c r="C6" s="19" t="s">
        <v>181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428">
        <v>550</v>
      </c>
      <c r="L6" s="429"/>
      <c r="M6" s="1" t="s">
        <v>165</v>
      </c>
      <c r="N6" s="1"/>
      <c r="R6" s="3"/>
    </row>
    <row r="7" spans="1:22" ht="15.75">
      <c r="A7" s="112">
        <f>'08'!A7+(B7-SUM(D7:F7))</f>
        <v>307.39</v>
      </c>
      <c r="B7" s="134">
        <v>70.180000000000007</v>
      </c>
      <c r="C7" s="16" t="s">
        <v>200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428"/>
      <c r="L7" s="429"/>
      <c r="M7" s="1"/>
      <c r="N7" s="1"/>
      <c r="R7" s="3"/>
    </row>
    <row r="8" spans="1:22" ht="15.75">
      <c r="A8" s="112">
        <f>'08'!A8+(B8-SUM(D8:F8))</f>
        <v>9.0000000000017621E-2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28">
        <v>7000</v>
      </c>
      <c r="L8" s="429"/>
      <c r="M8" s="1"/>
      <c r="N8" s="1"/>
      <c r="R8" s="3"/>
    </row>
    <row r="9" spans="1:22" ht="15.75">
      <c r="A9" s="112">
        <f>'08'!A9+(B9-SUM(D9:F9))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428">
        <v>659.77</v>
      </c>
      <c r="L9" s="429"/>
      <c r="M9" s="1"/>
      <c r="N9" s="1"/>
      <c r="R9" s="3"/>
    </row>
    <row r="10" spans="1:22" ht="15.75">
      <c r="A10" s="112">
        <f>'08'!A10+(B10-SUM(D10:F10))</f>
        <v>36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428">
        <v>1800.04</v>
      </c>
      <c r="L10" s="429"/>
      <c r="M10" s="1" t="s">
        <v>156</v>
      </c>
      <c r="N10" s="1"/>
      <c r="R10" s="3"/>
    </row>
    <row r="11" spans="1:22" ht="15.75">
      <c r="A11" s="112">
        <f>'08'!A11+(B11-SUM(D11:F11))</f>
        <v>60.45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428"/>
      <c r="L11" s="429"/>
      <c r="M11" s="1"/>
      <c r="N11" s="1"/>
      <c r="R11" s="3"/>
    </row>
    <row r="12" spans="1:22" ht="15.75">
      <c r="A12" s="112">
        <f>'08'!A12+(B12-SUM(D12:F12))</f>
        <v>263.04000000000002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28">
        <v>5092.08</v>
      </c>
      <c r="L12" s="429"/>
      <c r="M12" s="92"/>
      <c r="N12" s="1"/>
      <c r="R12" s="3"/>
    </row>
    <row r="13" spans="1:22" ht="15.75">
      <c r="A13" s="112">
        <f>'08'!A13+(B13-SUM(D13:F13))</f>
        <v>44.5</v>
      </c>
      <c r="B13" s="134">
        <v>7</v>
      </c>
      <c r="C13" s="16" t="s">
        <v>201</v>
      </c>
      <c r="D13" s="137"/>
      <c r="E13" s="138"/>
      <c r="F13" s="138"/>
      <c r="G13" s="16"/>
      <c r="H13" s="1"/>
      <c r="I13" s="108"/>
      <c r="J13" s="107"/>
      <c r="K13" s="428"/>
      <c r="L13" s="429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8"/>
      <c r="L14" s="429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8"/>
      <c r="L15" s="429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8"/>
      <c r="L16" s="429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8"/>
      <c r="L17" s="429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4"/>
      <c r="L18" s="435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34">
        <f>SUM(K5:K18)</f>
        <v>15101.890000000001</v>
      </c>
      <c r="L19" s="435"/>
      <c r="M19" s="1"/>
      <c r="N19" s="1"/>
      <c r="R19" s="3"/>
    </row>
    <row r="20" spans="1:18" ht="16.5" thickBot="1">
      <c r="A20" s="112">
        <f>SUM(A6:A15)</f>
        <v>1923.2199999999998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30" t="str">
        <f>AÑO!A21</f>
        <v>Waterloo</v>
      </c>
      <c r="C22" s="419"/>
      <c r="D22" s="419"/>
      <c r="E22" s="419"/>
      <c r="F22" s="419"/>
      <c r="G22" s="420"/>
      <c r="H22" s="1"/>
      <c r="I22" s="418" t="s">
        <v>6</v>
      </c>
      <c r="J22" s="419"/>
      <c r="K22" s="419"/>
      <c r="L22" s="420"/>
      <c r="M22" s="1"/>
      <c r="R22" s="3"/>
    </row>
    <row r="23" spans="1:18" ht="16.149999999999999" customHeight="1" thickBot="1">
      <c r="A23" s="1"/>
      <c r="B23" s="421"/>
      <c r="C23" s="422"/>
      <c r="D23" s="422"/>
      <c r="E23" s="422"/>
      <c r="F23" s="422"/>
      <c r="G23" s="423"/>
      <c r="H23" s="1"/>
      <c r="I23" s="421"/>
      <c r="J23" s="422"/>
      <c r="K23" s="422"/>
      <c r="L23" s="423"/>
      <c r="M23" s="1"/>
      <c r="R23" s="3"/>
    </row>
    <row r="24" spans="1:18" ht="15.75">
      <c r="A24" s="1"/>
      <c r="B24" s="431" t="s">
        <v>8</v>
      </c>
      <c r="C24" s="432"/>
      <c r="D24" s="433" t="s">
        <v>9</v>
      </c>
      <c r="E24" s="433"/>
      <c r="F24" s="433"/>
      <c r="G24" s="432"/>
      <c r="H24" s="1"/>
      <c r="I24" s="40" t="s">
        <v>31</v>
      </c>
      <c r="J24" s="403" t="s">
        <v>87</v>
      </c>
      <c r="K24" s="404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05" t="str">
        <f>AÑO!A8</f>
        <v>Manolo Salario</v>
      </c>
      <c r="J25" s="408"/>
      <c r="K25" s="409"/>
      <c r="L25" s="198"/>
      <c r="M25" s="1"/>
      <c r="R25" s="3"/>
    </row>
    <row r="26" spans="1:18" ht="15.75">
      <c r="A26" s="112">
        <f>'08'!A26+(B26-SUM(D26:F26))</f>
        <v>1800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406"/>
      <c r="J26" s="410"/>
      <c r="K26" s="411"/>
      <c r="L26" s="199"/>
      <c r="M26" s="1"/>
      <c r="R26" s="3"/>
    </row>
    <row r="27" spans="1:18" ht="15.75">
      <c r="A27" s="112">
        <f>'08'!A27+(B27-SUM(D27:F27))</f>
        <v>394.03999999999996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406"/>
      <c r="J27" s="410"/>
      <c r="K27" s="411"/>
      <c r="L27" s="199"/>
      <c r="M27" s="1"/>
      <c r="R27" s="3"/>
    </row>
    <row r="28" spans="1:18" ht="15.75">
      <c r="A28" s="112">
        <f>'08'!A28+(B28-SUM(D28:F28))</f>
        <v>238.3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06"/>
      <c r="J28" s="410"/>
      <c r="K28" s="411"/>
      <c r="L28" s="199"/>
      <c r="M28" s="1"/>
      <c r="R28" s="3"/>
    </row>
    <row r="29" spans="1:18" ht="15.75">
      <c r="A29" s="112">
        <f>'08'!A29+(B29-SUM(D29:F29))</f>
        <v>37.53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414"/>
      <c r="J29" s="415"/>
      <c r="K29" s="416"/>
      <c r="L29" s="201"/>
      <c r="M29" s="1"/>
      <c r="R29" s="3"/>
    </row>
    <row r="30" spans="1:18" ht="15.75" customHeight="1">
      <c r="A30" s="112">
        <f>'08'!A30+(B30-SUM(D30:F30))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05" t="str">
        <f>AÑO!A9</f>
        <v>Rocío Salario</v>
      </c>
      <c r="J30" s="408"/>
      <c r="K30" s="409"/>
      <c r="L30" s="198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6"/>
      <c r="J31" s="410"/>
      <c r="K31" s="411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6"/>
      <c r="J32" s="410"/>
      <c r="K32" s="411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6"/>
      <c r="J33" s="410"/>
      <c r="K33" s="411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4"/>
      <c r="J34" s="415"/>
      <c r="K34" s="416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5" t="s">
        <v>218</v>
      </c>
      <c r="J35" s="408"/>
      <c r="K35" s="409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6"/>
      <c r="J36" s="410"/>
      <c r="K36" s="411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6"/>
      <c r="J37" s="410"/>
      <c r="K37" s="411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6"/>
      <c r="J38" s="410"/>
      <c r="K38" s="411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4"/>
      <c r="J39" s="415"/>
      <c r="K39" s="416"/>
      <c r="L39" s="201"/>
      <c r="M39" s="1"/>
      <c r="R39" s="3"/>
    </row>
    <row r="40" spans="1:18" ht="16.5" thickBot="1">
      <c r="A40" s="112">
        <f>SUM(A26:A35)</f>
        <v>2656.1500000000005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05" t="str">
        <f>AÑO!A11</f>
        <v>Finanazas</v>
      </c>
      <c r="J40" s="408"/>
      <c r="K40" s="409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6"/>
      <c r="J41" s="410"/>
      <c r="K41" s="411"/>
      <c r="L41" s="199"/>
      <c r="M41" s="1"/>
      <c r="R41" s="3"/>
    </row>
    <row r="42" spans="1:18" ht="15.6" customHeight="1">
      <c r="A42" s="1"/>
      <c r="B42" s="430" t="str">
        <f>AÑO!A22</f>
        <v>Comida+Limpieza</v>
      </c>
      <c r="C42" s="419"/>
      <c r="D42" s="419"/>
      <c r="E42" s="419"/>
      <c r="F42" s="419"/>
      <c r="G42" s="420"/>
      <c r="H42" s="1"/>
      <c r="I42" s="406"/>
      <c r="J42" s="410"/>
      <c r="K42" s="411"/>
      <c r="L42" s="199"/>
      <c r="M42" s="1"/>
      <c r="R42" s="3"/>
    </row>
    <row r="43" spans="1:18" ht="16.149999999999999" customHeight="1" thickBot="1">
      <c r="A43" s="1"/>
      <c r="B43" s="421"/>
      <c r="C43" s="422"/>
      <c r="D43" s="422"/>
      <c r="E43" s="422"/>
      <c r="F43" s="422"/>
      <c r="G43" s="423"/>
      <c r="H43" s="1"/>
      <c r="I43" s="406"/>
      <c r="J43" s="410"/>
      <c r="K43" s="411"/>
      <c r="L43" s="199"/>
      <c r="M43" s="1"/>
      <c r="R43" s="3"/>
    </row>
    <row r="44" spans="1:18" ht="15.75">
      <c r="A44" s="1"/>
      <c r="B44" s="431" t="s">
        <v>8</v>
      </c>
      <c r="C44" s="432"/>
      <c r="D44" s="433" t="s">
        <v>9</v>
      </c>
      <c r="E44" s="433"/>
      <c r="F44" s="433"/>
      <c r="G44" s="432"/>
      <c r="H44" s="1"/>
      <c r="I44" s="414"/>
      <c r="J44" s="415"/>
      <c r="K44" s="416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05" t="str">
        <f>AÑO!A12</f>
        <v>Regalos</v>
      </c>
      <c r="J45" s="408"/>
      <c r="K45" s="409"/>
      <c r="L45" s="198"/>
      <c r="M45" s="1"/>
      <c r="R45" s="3"/>
    </row>
    <row r="46" spans="1:18" ht="15.75">
      <c r="A46" s="1"/>
      <c r="B46" s="133">
        <v>462</v>
      </c>
      <c r="C46" s="19"/>
      <c r="D46" s="137"/>
      <c r="E46" s="138"/>
      <c r="F46" s="138"/>
      <c r="G46" s="30"/>
      <c r="H46" s="1"/>
      <c r="I46" s="406"/>
      <c r="J46" s="410"/>
      <c r="K46" s="411"/>
      <c r="L46" s="199"/>
      <c r="M46" s="1"/>
      <c r="R46" s="3"/>
    </row>
    <row r="47" spans="1:18" ht="15.75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406"/>
      <c r="J47" s="410"/>
      <c r="K47" s="411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406"/>
      <c r="J48" s="410"/>
      <c r="K48" s="411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414"/>
      <c r="J49" s="415"/>
      <c r="K49" s="416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405" t="str">
        <f>AÑO!A13</f>
        <v>Gubernamental</v>
      </c>
      <c r="J50" s="408"/>
      <c r="K50" s="409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406"/>
      <c r="J51" s="410"/>
      <c r="K51" s="411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06"/>
      <c r="J52" s="410"/>
      <c r="K52" s="411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06"/>
      <c r="J53" s="410"/>
      <c r="K53" s="411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14"/>
      <c r="J54" s="415"/>
      <c r="K54" s="416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05" t="str">
        <f>AÑO!A14</f>
        <v>Mutualite/DKV</v>
      </c>
      <c r="J55" s="408"/>
      <c r="K55" s="409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6"/>
      <c r="J56" s="410"/>
      <c r="K56" s="411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6"/>
      <c r="J57" s="410"/>
      <c r="K57" s="411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6"/>
      <c r="J58" s="410"/>
      <c r="K58" s="411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4"/>
      <c r="J59" s="415"/>
      <c r="K59" s="416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05" t="str">
        <f>AÑO!A15</f>
        <v>Alquiler Cartama</v>
      </c>
      <c r="J60" s="408"/>
      <c r="K60" s="409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6"/>
      <c r="J61" s="410"/>
      <c r="K61" s="411"/>
      <c r="L61" s="199"/>
      <c r="M61" s="1"/>
      <c r="R61" s="3"/>
    </row>
    <row r="62" spans="1:18" ht="15.6" customHeight="1">
      <c r="A62" s="1"/>
      <c r="B62" s="430" t="str">
        <f>AÑO!A23</f>
        <v>Ocio</v>
      </c>
      <c r="C62" s="419"/>
      <c r="D62" s="419"/>
      <c r="E62" s="419"/>
      <c r="F62" s="419"/>
      <c r="G62" s="420"/>
      <c r="H62" s="1"/>
      <c r="I62" s="406"/>
      <c r="J62" s="410"/>
      <c r="K62" s="411"/>
      <c r="L62" s="199"/>
      <c r="M62" s="1"/>
      <c r="R62" s="3"/>
    </row>
    <row r="63" spans="1:18" ht="16.149999999999999" customHeight="1" thickBot="1">
      <c r="A63" s="1"/>
      <c r="B63" s="421"/>
      <c r="C63" s="422"/>
      <c r="D63" s="422"/>
      <c r="E63" s="422"/>
      <c r="F63" s="422"/>
      <c r="G63" s="423"/>
      <c r="H63" s="1"/>
      <c r="I63" s="406"/>
      <c r="J63" s="410"/>
      <c r="K63" s="411"/>
      <c r="L63" s="199"/>
      <c r="M63" s="1"/>
      <c r="R63" s="3"/>
    </row>
    <row r="64" spans="1:18" ht="15.75">
      <c r="A64" s="1"/>
      <c r="B64" s="431" t="s">
        <v>8</v>
      </c>
      <c r="C64" s="432"/>
      <c r="D64" s="433" t="s">
        <v>9</v>
      </c>
      <c r="E64" s="433"/>
      <c r="F64" s="433"/>
      <c r="G64" s="432"/>
      <c r="H64" s="1"/>
      <c r="I64" s="414"/>
      <c r="J64" s="415"/>
      <c r="K64" s="416"/>
      <c r="L64" s="201"/>
      <c r="M64" s="1"/>
      <c r="R64" s="3"/>
    </row>
    <row r="65" spans="1:18" ht="15.75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05" t="str">
        <f>AÑO!A16</f>
        <v>Otros</v>
      </c>
      <c r="J65" s="408"/>
      <c r="K65" s="409"/>
      <c r="L65" s="198"/>
      <c r="M65" s="1"/>
      <c r="R65" s="3"/>
    </row>
    <row r="66" spans="1:18" ht="15.75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406"/>
      <c r="J66" s="410"/>
      <c r="K66" s="411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406"/>
      <c r="J67" s="410"/>
      <c r="K67" s="411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406"/>
      <c r="J68" s="410"/>
      <c r="K68" s="411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407"/>
      <c r="J69" s="412"/>
      <c r="K69" s="413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30" t="str">
        <f>AÑO!A24</f>
        <v>Transportes</v>
      </c>
      <c r="C82" s="419"/>
      <c r="D82" s="419"/>
      <c r="E82" s="419"/>
      <c r="F82" s="419"/>
      <c r="G82" s="420"/>
      <c r="H82" s="1"/>
      <c r="M82" s="1"/>
      <c r="R82" s="3"/>
    </row>
    <row r="83" spans="1:18" ht="16.149999999999999" customHeight="1" thickBot="1">
      <c r="A83" s="1"/>
      <c r="B83" s="421"/>
      <c r="C83" s="422"/>
      <c r="D83" s="422"/>
      <c r="E83" s="422"/>
      <c r="F83" s="422"/>
      <c r="G83" s="423"/>
      <c r="H83" s="1"/>
      <c r="M83" s="1"/>
      <c r="R83" s="3"/>
    </row>
    <row r="84" spans="1:18" ht="15.75">
      <c r="A84" s="1"/>
      <c r="B84" s="431" t="s">
        <v>8</v>
      </c>
      <c r="C84" s="432"/>
      <c r="D84" s="433" t="s">
        <v>9</v>
      </c>
      <c r="E84" s="433"/>
      <c r="F84" s="433"/>
      <c r="G84" s="432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202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30" t="str">
        <f>AÑO!A25</f>
        <v>Coche</v>
      </c>
      <c r="C102" s="419"/>
      <c r="D102" s="419"/>
      <c r="E102" s="419"/>
      <c r="F102" s="419"/>
      <c r="G102" s="420"/>
      <c r="H102" s="1"/>
      <c r="M102" s="1"/>
      <c r="R102" s="3"/>
    </row>
    <row r="103" spans="1:18" ht="16.149999999999999" customHeight="1" thickBot="1">
      <c r="A103" s="1"/>
      <c r="B103" s="421"/>
      <c r="C103" s="422"/>
      <c r="D103" s="422"/>
      <c r="E103" s="422"/>
      <c r="F103" s="422"/>
      <c r="G103" s="423"/>
      <c r="H103" s="1"/>
      <c r="M103" s="1"/>
      <c r="R103" s="3"/>
    </row>
    <row r="104" spans="1:18" ht="15.75">
      <c r="A104" s="1"/>
      <c r="B104" s="431" t="s">
        <v>8</v>
      </c>
      <c r="C104" s="432"/>
      <c r="D104" s="433" t="s">
        <v>9</v>
      </c>
      <c r="E104" s="433"/>
      <c r="F104" s="433"/>
      <c r="G104" s="432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'08'!A106+(B106-SUM(D106:F106))</f>
        <v>516.94000000000005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'08'!A107+(B107-SUM(D107:F107))</f>
        <v>142.02000000000004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'08'!A108+(B108-SUM(D108:F108))</f>
        <v>583.09999999999991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'08'!A109+(B109-SUM(D109:F109))</f>
        <v>2698.1800000000012</v>
      </c>
      <c r="B109" s="134">
        <v>25.53</v>
      </c>
      <c r="C109" s="18" t="s">
        <v>205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1242.06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30" t="str">
        <f>AÑO!A26</f>
        <v>Teléfono</v>
      </c>
      <c r="C122" s="419"/>
      <c r="D122" s="419"/>
      <c r="E122" s="419"/>
      <c r="F122" s="419"/>
      <c r="G122" s="420"/>
      <c r="H122" s="1"/>
      <c r="M122" s="1"/>
      <c r="R122" s="3"/>
    </row>
    <row r="123" spans="1:18" ht="16.149999999999999" customHeight="1" thickBot="1">
      <c r="A123" s="1"/>
      <c r="B123" s="421"/>
      <c r="C123" s="422"/>
      <c r="D123" s="422"/>
      <c r="E123" s="422"/>
      <c r="F123" s="422"/>
      <c r="G123" s="423"/>
      <c r="H123" s="1"/>
      <c r="M123" s="1"/>
      <c r="R123" s="3"/>
    </row>
    <row r="124" spans="1:18" ht="15.75">
      <c r="A124" s="1"/>
      <c r="B124" s="431" t="s">
        <v>8</v>
      </c>
      <c r="C124" s="432"/>
      <c r="D124" s="433" t="s">
        <v>9</v>
      </c>
      <c r="E124" s="433"/>
      <c r="F124" s="433"/>
      <c r="G124" s="432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30" t="str">
        <f>AÑO!A27</f>
        <v>Gatos</v>
      </c>
      <c r="C142" s="419"/>
      <c r="D142" s="419"/>
      <c r="E142" s="419"/>
      <c r="F142" s="419"/>
      <c r="G142" s="420"/>
      <c r="H142" s="1"/>
      <c r="M142" s="1"/>
      <c r="R142" s="3"/>
    </row>
    <row r="143" spans="1:18" ht="16.149999999999999" customHeight="1" thickBot="1">
      <c r="A143" s="1"/>
      <c r="B143" s="421"/>
      <c r="C143" s="422"/>
      <c r="D143" s="422"/>
      <c r="E143" s="422"/>
      <c r="F143" s="422"/>
      <c r="G143" s="423"/>
      <c r="H143" s="1"/>
      <c r="M143" s="1"/>
      <c r="R143" s="3"/>
    </row>
    <row r="144" spans="1:18" ht="15.75">
      <c r="A144" s="1"/>
      <c r="B144" s="431" t="s">
        <v>8</v>
      </c>
      <c r="C144" s="432"/>
      <c r="D144" s="433" t="s">
        <v>9</v>
      </c>
      <c r="E144" s="433"/>
      <c r="F144" s="433"/>
      <c r="G144" s="432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30" t="str">
        <f>AÑO!A28</f>
        <v>Vacaciones</v>
      </c>
      <c r="C162" s="419"/>
      <c r="D162" s="419"/>
      <c r="E162" s="419"/>
      <c r="F162" s="419"/>
      <c r="G162" s="420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21"/>
      <c r="C163" s="422"/>
      <c r="D163" s="422"/>
      <c r="E163" s="422"/>
      <c r="F163" s="422"/>
      <c r="G163" s="423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31" t="s">
        <v>8</v>
      </c>
      <c r="C164" s="432"/>
      <c r="D164" s="433" t="s">
        <v>9</v>
      </c>
      <c r="E164" s="433"/>
      <c r="F164" s="433"/>
      <c r="G164" s="432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30" t="str">
        <f>AÑO!A29</f>
        <v>Ropa</v>
      </c>
      <c r="C182" s="419"/>
      <c r="D182" s="419"/>
      <c r="E182" s="419"/>
      <c r="F182" s="419"/>
      <c r="G182" s="42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21"/>
      <c r="C183" s="422"/>
      <c r="D183" s="422"/>
      <c r="E183" s="422"/>
      <c r="F183" s="422"/>
      <c r="G183" s="42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31" t="s">
        <v>8</v>
      </c>
      <c r="C184" s="432"/>
      <c r="D184" s="433" t="s">
        <v>9</v>
      </c>
      <c r="E184" s="433"/>
      <c r="F184" s="433"/>
      <c r="G184" s="432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30" t="str">
        <f>AÑO!A30</f>
        <v>Belleza</v>
      </c>
      <c r="C202" s="419"/>
      <c r="D202" s="419"/>
      <c r="E202" s="419"/>
      <c r="F202" s="419"/>
      <c r="G202" s="420"/>
    </row>
    <row r="203" spans="2:12" ht="15" customHeight="1" thickBot="1">
      <c r="B203" s="421"/>
      <c r="C203" s="422"/>
      <c r="D203" s="422"/>
      <c r="E203" s="422"/>
      <c r="F203" s="422"/>
      <c r="G203" s="423"/>
    </row>
    <row r="204" spans="2:12">
      <c r="B204" s="431" t="s">
        <v>8</v>
      </c>
      <c r="C204" s="432"/>
      <c r="D204" s="433" t="s">
        <v>9</v>
      </c>
      <c r="E204" s="433"/>
      <c r="F204" s="433"/>
      <c r="G204" s="432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30" t="str">
        <f>AÑO!A31</f>
        <v>Deportes</v>
      </c>
      <c r="C222" s="419"/>
      <c r="D222" s="419"/>
      <c r="E222" s="419"/>
      <c r="F222" s="419"/>
      <c r="G222" s="420"/>
    </row>
    <row r="223" spans="2:7" ht="15" customHeight="1" thickBot="1">
      <c r="B223" s="421"/>
      <c r="C223" s="422"/>
      <c r="D223" s="422"/>
      <c r="E223" s="422"/>
      <c r="F223" s="422"/>
      <c r="G223" s="423"/>
    </row>
    <row r="224" spans="2:7">
      <c r="B224" s="431" t="s">
        <v>8</v>
      </c>
      <c r="C224" s="432"/>
      <c r="D224" s="433" t="s">
        <v>9</v>
      </c>
      <c r="E224" s="433"/>
      <c r="F224" s="433"/>
      <c r="G224" s="432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430" t="str">
        <f>AÑO!A32</f>
        <v>Hogar</v>
      </c>
      <c r="C242" s="419"/>
      <c r="D242" s="419"/>
      <c r="E242" s="419"/>
      <c r="F242" s="419"/>
      <c r="G242" s="420"/>
    </row>
    <row r="243" spans="2:7" ht="15" customHeight="1" thickBot="1">
      <c r="B243" s="421"/>
      <c r="C243" s="422"/>
      <c r="D243" s="422"/>
      <c r="E243" s="422"/>
      <c r="F243" s="422"/>
      <c r="G243" s="423"/>
    </row>
    <row r="244" spans="2:7" ht="15" customHeight="1">
      <c r="B244" s="431" t="s">
        <v>8</v>
      </c>
      <c r="C244" s="432"/>
      <c r="D244" s="433" t="s">
        <v>9</v>
      </c>
      <c r="E244" s="433"/>
      <c r="F244" s="433"/>
      <c r="G244" s="432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430" t="str">
        <f>AÑO!A33</f>
        <v>Formación</v>
      </c>
      <c r="C262" s="419"/>
      <c r="D262" s="419"/>
      <c r="E262" s="419"/>
      <c r="F262" s="419"/>
      <c r="G262" s="420"/>
    </row>
    <row r="263" spans="2:7" ht="15" customHeight="1" thickBot="1">
      <c r="B263" s="421"/>
      <c r="C263" s="422"/>
      <c r="D263" s="422"/>
      <c r="E263" s="422"/>
      <c r="F263" s="422"/>
      <c r="G263" s="423"/>
    </row>
    <row r="264" spans="2:7">
      <c r="B264" s="431" t="s">
        <v>8</v>
      </c>
      <c r="C264" s="432"/>
      <c r="D264" s="433" t="s">
        <v>9</v>
      </c>
      <c r="E264" s="433"/>
      <c r="F264" s="433"/>
      <c r="G264" s="432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430" t="str">
        <f>AÑO!A34</f>
        <v>Regalos</v>
      </c>
      <c r="C282" s="419"/>
      <c r="D282" s="419"/>
      <c r="E282" s="419"/>
      <c r="F282" s="419"/>
      <c r="G282" s="420"/>
    </row>
    <row r="283" spans="2:8" ht="15" customHeight="1" thickBot="1">
      <c r="B283" s="421"/>
      <c r="C283" s="422"/>
      <c r="D283" s="422"/>
      <c r="E283" s="422"/>
      <c r="F283" s="422"/>
      <c r="G283" s="423"/>
    </row>
    <row r="284" spans="2:8">
      <c r="B284" s="431" t="s">
        <v>8</v>
      </c>
      <c r="C284" s="432"/>
      <c r="D284" s="433" t="s">
        <v>9</v>
      </c>
      <c r="E284" s="433"/>
      <c r="F284" s="433"/>
      <c r="G284" s="432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30" t="str">
        <f>AÑO!A35</f>
        <v>Salud</v>
      </c>
      <c r="C302" s="419"/>
      <c r="D302" s="419"/>
      <c r="E302" s="419"/>
      <c r="F302" s="419"/>
      <c r="G302" s="420"/>
    </row>
    <row r="303" spans="2:8" ht="15" customHeight="1" thickBot="1">
      <c r="B303" s="421"/>
      <c r="C303" s="422"/>
      <c r="D303" s="422"/>
      <c r="E303" s="422"/>
      <c r="F303" s="422"/>
      <c r="G303" s="423"/>
    </row>
    <row r="304" spans="2:8">
      <c r="B304" s="431" t="s">
        <v>8</v>
      </c>
      <c r="C304" s="432"/>
      <c r="D304" s="433" t="s">
        <v>9</v>
      </c>
      <c r="E304" s="433"/>
      <c r="F304" s="433"/>
      <c r="G304" s="432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100</v>
      </c>
      <c r="C306" s="19" t="s">
        <v>172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430" t="str">
        <f>AÑO!A36</f>
        <v>Nenas</v>
      </c>
      <c r="C322" s="419"/>
      <c r="D322" s="419"/>
      <c r="E322" s="419"/>
      <c r="F322" s="419"/>
      <c r="G322" s="420"/>
    </row>
    <row r="323" spans="2:7" ht="15" customHeight="1" thickBot="1">
      <c r="B323" s="421"/>
      <c r="C323" s="422"/>
      <c r="D323" s="422"/>
      <c r="E323" s="422"/>
      <c r="F323" s="422"/>
      <c r="G323" s="423"/>
    </row>
    <row r="324" spans="2:7">
      <c r="B324" s="431" t="s">
        <v>8</v>
      </c>
      <c r="C324" s="432"/>
      <c r="D324" s="433" t="s">
        <v>9</v>
      </c>
      <c r="E324" s="433"/>
      <c r="F324" s="433"/>
      <c r="G324" s="432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430" t="str">
        <f>AÑO!A37</f>
        <v>Impuestos</v>
      </c>
      <c r="C342" s="419"/>
      <c r="D342" s="419"/>
      <c r="E342" s="419"/>
      <c r="F342" s="419"/>
      <c r="G342" s="420"/>
    </row>
    <row r="343" spans="2:7" ht="15" customHeight="1" thickBot="1">
      <c r="B343" s="421"/>
      <c r="C343" s="422"/>
      <c r="D343" s="422"/>
      <c r="E343" s="422"/>
      <c r="F343" s="422"/>
      <c r="G343" s="423"/>
    </row>
    <row r="344" spans="2:7">
      <c r="B344" s="431" t="s">
        <v>8</v>
      </c>
      <c r="C344" s="432"/>
      <c r="D344" s="433" t="s">
        <v>9</v>
      </c>
      <c r="E344" s="433"/>
      <c r="F344" s="433"/>
      <c r="G344" s="432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199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430" t="str">
        <f>AÑO!A38</f>
        <v>Gastos Curros</v>
      </c>
      <c r="C362" s="419"/>
      <c r="D362" s="419"/>
      <c r="E362" s="419"/>
      <c r="F362" s="419"/>
      <c r="G362" s="420"/>
    </row>
    <row r="363" spans="2:7" ht="15" customHeight="1" thickBot="1">
      <c r="B363" s="421"/>
      <c r="C363" s="422"/>
      <c r="D363" s="422"/>
      <c r="E363" s="422"/>
      <c r="F363" s="422"/>
      <c r="G363" s="423"/>
    </row>
    <row r="364" spans="2:7">
      <c r="B364" s="431" t="s">
        <v>8</v>
      </c>
      <c r="C364" s="432"/>
      <c r="D364" s="433" t="s">
        <v>9</v>
      </c>
      <c r="E364" s="433"/>
      <c r="F364" s="433"/>
      <c r="G364" s="432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30" t="str">
        <f>AÑO!A39</f>
        <v>Dreamed Holidays</v>
      </c>
      <c r="C382" s="419"/>
      <c r="D382" s="419"/>
      <c r="E382" s="419"/>
      <c r="F382" s="419"/>
      <c r="G382" s="420"/>
    </row>
    <row r="383" spans="2:7" ht="15" customHeight="1" thickBot="1">
      <c r="B383" s="421"/>
      <c r="C383" s="422"/>
      <c r="D383" s="422"/>
      <c r="E383" s="422"/>
      <c r="F383" s="422"/>
      <c r="G383" s="423"/>
    </row>
    <row r="384" spans="2:7">
      <c r="B384" s="431" t="s">
        <v>8</v>
      </c>
      <c r="C384" s="432"/>
      <c r="D384" s="433" t="s">
        <v>9</v>
      </c>
      <c r="E384" s="433"/>
      <c r="F384" s="433"/>
      <c r="G384" s="432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30" t="str">
        <f>AÑO!A40</f>
        <v>Financieros</v>
      </c>
      <c r="C402" s="419"/>
      <c r="D402" s="419"/>
      <c r="E402" s="419"/>
      <c r="F402" s="419"/>
      <c r="G402" s="420"/>
    </row>
    <row r="403" spans="2:7" ht="15" customHeight="1" thickBot="1">
      <c r="B403" s="421"/>
      <c r="C403" s="422"/>
      <c r="D403" s="422"/>
      <c r="E403" s="422"/>
      <c r="F403" s="422"/>
      <c r="G403" s="423"/>
    </row>
    <row r="404" spans="2:7">
      <c r="B404" s="431" t="s">
        <v>8</v>
      </c>
      <c r="C404" s="432"/>
      <c r="D404" s="433" t="s">
        <v>9</v>
      </c>
      <c r="E404" s="433"/>
      <c r="F404" s="433"/>
      <c r="G404" s="432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30" t="str">
        <f>AÑO!A41</f>
        <v>Ahorros Colchón</v>
      </c>
      <c r="C422" s="436"/>
      <c r="D422" s="436"/>
      <c r="E422" s="436"/>
      <c r="F422" s="436"/>
      <c r="G422" s="437"/>
    </row>
    <row r="423" spans="1:7" ht="15" customHeight="1" thickBot="1">
      <c r="B423" s="438"/>
      <c r="C423" s="439"/>
      <c r="D423" s="439"/>
      <c r="E423" s="439"/>
      <c r="F423" s="439"/>
      <c r="G423" s="440"/>
    </row>
    <row r="424" spans="1:7">
      <c r="B424" s="431" t="s">
        <v>8</v>
      </c>
      <c r="C424" s="432"/>
      <c r="D424" s="433" t="s">
        <v>9</v>
      </c>
      <c r="E424" s="433"/>
      <c r="F424" s="433"/>
      <c r="G424" s="432"/>
    </row>
    <row r="425" spans="1:7">
      <c r="A425" s="113">
        <f>AÑO!AI17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A425 -A426</f>
        <v>-3900</v>
      </c>
      <c r="C426" s="19" t="s">
        <v>198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30" t="str">
        <f>AÑO!A42</f>
        <v>Dinero Bloqueado</v>
      </c>
      <c r="C442" s="436"/>
      <c r="D442" s="436"/>
      <c r="E442" s="436"/>
      <c r="F442" s="436"/>
      <c r="G442" s="437"/>
    </row>
    <row r="443" spans="2:7" ht="15" customHeight="1" thickBot="1">
      <c r="B443" s="438"/>
      <c r="C443" s="439"/>
      <c r="D443" s="439"/>
      <c r="E443" s="439"/>
      <c r="F443" s="439"/>
      <c r="G443" s="440"/>
    </row>
    <row r="444" spans="2:7">
      <c r="B444" s="431" t="s">
        <v>8</v>
      </c>
      <c r="C444" s="432"/>
      <c r="D444" s="433" t="s">
        <v>9</v>
      </c>
      <c r="E444" s="433"/>
      <c r="F444" s="433"/>
      <c r="G444" s="432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30" t="str">
        <f>AÑO!A43</f>
        <v>Cartama Finanazas</v>
      </c>
      <c r="C462" s="436"/>
      <c r="D462" s="436"/>
      <c r="E462" s="436"/>
      <c r="F462" s="436"/>
      <c r="G462" s="437"/>
    </row>
    <row r="463" spans="2:7" ht="15" customHeight="1" thickBot="1">
      <c r="B463" s="438"/>
      <c r="C463" s="439"/>
      <c r="D463" s="439"/>
      <c r="E463" s="439"/>
      <c r="F463" s="439"/>
      <c r="G463" s="440"/>
    </row>
    <row r="464" spans="2:7">
      <c r="B464" s="431" t="s">
        <v>8</v>
      </c>
      <c r="C464" s="432"/>
      <c r="D464" s="433" t="s">
        <v>9</v>
      </c>
      <c r="E464" s="433"/>
      <c r="F464" s="433"/>
      <c r="G464" s="432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'08'!A466+(B466-SUM(D466:F466))</f>
        <v>25</v>
      </c>
      <c r="B466" s="134">
        <v>25</v>
      </c>
      <c r="C466" s="16" t="s">
        <v>174</v>
      </c>
      <c r="D466" s="137"/>
      <c r="E466" s="138"/>
      <c r="F466" s="138"/>
      <c r="G466" s="16"/>
    </row>
    <row r="467" spans="1:7" ht="15.75">
      <c r="A467" s="112">
        <f>'08'!A467+(B467-SUM(D467:F467))</f>
        <v>545.23</v>
      </c>
      <c r="B467" s="134">
        <v>20</v>
      </c>
      <c r="C467" s="16" t="s">
        <v>185</v>
      </c>
      <c r="D467" s="137"/>
      <c r="E467" s="138"/>
      <c r="F467" s="138"/>
      <c r="G467" s="16"/>
    </row>
    <row r="468" spans="1:7" ht="15.75">
      <c r="A468" s="112">
        <f>'08'!A468+(B468-SUM(D468:F468))</f>
        <v>188.4</v>
      </c>
      <c r="B468" s="134">
        <v>5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758.63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30" t="str">
        <f>AÑO!A44</f>
        <v>NULO</v>
      </c>
      <c r="C482" s="436"/>
      <c r="D482" s="436"/>
      <c r="E482" s="436"/>
      <c r="F482" s="436"/>
      <c r="G482" s="437"/>
    </row>
    <row r="483" spans="2:7" ht="15" customHeight="1" thickBot="1">
      <c r="B483" s="438"/>
      <c r="C483" s="439"/>
      <c r="D483" s="439"/>
      <c r="E483" s="439"/>
      <c r="F483" s="439"/>
      <c r="G483" s="440"/>
    </row>
    <row r="484" spans="2:7">
      <c r="B484" s="431" t="s">
        <v>8</v>
      </c>
      <c r="C484" s="432"/>
      <c r="D484" s="433" t="s">
        <v>9</v>
      </c>
      <c r="E484" s="433"/>
      <c r="F484" s="433"/>
      <c r="G484" s="432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30" t="str">
        <f>AÑO!A45</f>
        <v>OTROS</v>
      </c>
      <c r="C502" s="436"/>
      <c r="D502" s="436"/>
      <c r="E502" s="436"/>
      <c r="F502" s="436"/>
      <c r="G502" s="437"/>
    </row>
    <row r="503" spans="2:7" ht="15" customHeight="1" thickBot="1">
      <c r="B503" s="438"/>
      <c r="C503" s="439"/>
      <c r="D503" s="439"/>
      <c r="E503" s="439"/>
      <c r="F503" s="439"/>
      <c r="G503" s="440"/>
    </row>
    <row r="504" spans="2:7">
      <c r="B504" s="431" t="s">
        <v>8</v>
      </c>
      <c r="C504" s="432"/>
      <c r="D504" s="433" t="s">
        <v>9</v>
      </c>
      <c r="E504" s="433"/>
      <c r="F504" s="433"/>
      <c r="G504" s="432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2" location="Trimestre!C39:F40" display="TELÉFONO" xr:uid="{C5AB7B2D-4753-440C-9F5F-F0BECEB88B1E}"/>
    <hyperlink ref="I22:L23" location="AÑO!G7:J17" display="INGRESOS" xr:uid="{A3BEB6B2-CA5C-4961-A3A6-4651CDC143C7}"/>
    <hyperlink ref="I2" location="Trimestre!C39:F40" display="TELÉFONO" xr:uid="{2DA7FD20-7F81-464A-82F7-C5190B185B4E}"/>
    <hyperlink ref="I2:L3" location="AÑO!G4:J5" display="SALDO REAL" xr:uid="{6B7842DE-6570-47F7-A85B-FE8DCB999BCE}"/>
    <hyperlink ref="B2" location="Trimestre!C25:F26" display="HIPOTECA" xr:uid="{A3A46AE5-5D7F-4398-9410-994F6A1E8E7B}"/>
    <hyperlink ref="B2:G3" location="AÑO!G20:J20" display="AÑO!G20:J20" xr:uid="{C55900F2-0626-4B61-AF32-F09DC5A7A41B}"/>
    <hyperlink ref="B22" location="Trimestre!C25:F26" display="HIPOTECA" xr:uid="{CEA55FC5-5B69-4DB3-B3AE-0B59051BC338}"/>
    <hyperlink ref="B22:G23" location="AÑO!G21:J21" display="AÑO!G21:J21" xr:uid="{7C7E52E8-3712-4111-B9F7-7E73D7B00853}"/>
    <hyperlink ref="B42" location="Trimestre!C25:F26" display="HIPOTECA" xr:uid="{21E79DFF-2AC9-4B39-95F1-B111D27F69AE}"/>
    <hyperlink ref="B42:G43" location="AÑO!G22:J22" display="AÑO!G22:J22" xr:uid="{047DBE7B-9E97-4C7D-8E39-ADC5CBBCAE71}"/>
    <hyperlink ref="B62" location="Trimestre!C25:F26" display="HIPOTECA" xr:uid="{E430AAF3-4A0B-47FC-86A6-636BAF8A229A}"/>
    <hyperlink ref="B62:G63" location="AÑO!G23:J23" display="AÑO!G23:J23" xr:uid="{71A6A35D-1743-4FC4-8BF9-4BDC91F40D52}"/>
    <hyperlink ref="B82" location="Trimestre!C25:F26" display="HIPOTECA" xr:uid="{5CC06290-7A58-4B37-AC0B-752523DBB0F7}"/>
    <hyperlink ref="B82:G83" location="AÑO!G24:J24" display="AÑO!G24:J24" xr:uid="{E566A378-95DA-469C-ABA4-2797654406F0}"/>
    <hyperlink ref="B102" location="Trimestre!C25:F26" display="HIPOTECA" xr:uid="{98E21787-A989-4063-B672-3D6402F1ABEF}"/>
    <hyperlink ref="B102:G103" location="AÑO!G25:J25" display="AÑO!G25:J25" xr:uid="{012F53D9-3806-4B82-818F-43B3D4E3A4C4}"/>
    <hyperlink ref="B122" location="Trimestre!C25:F26" display="HIPOTECA" xr:uid="{A238E22F-8C48-43C8-AE01-050A736143F0}"/>
    <hyperlink ref="B122:G123" location="AÑO!G26:J26" display="AÑO!G26:J26" xr:uid="{5340FDE9-437C-4218-BE83-5DF16B64B9D7}"/>
    <hyperlink ref="B142" location="Trimestre!C25:F26" display="HIPOTECA" xr:uid="{5A9C1FBE-4532-4B13-8D54-3BFCBA2A568A}"/>
    <hyperlink ref="B142:G143" location="AÑO!G27:J27" display="AÑO!G27:J27" xr:uid="{3BA08456-50E6-472D-B42A-841324DA5ABE}"/>
    <hyperlink ref="B162" location="Trimestre!C25:F26" display="HIPOTECA" xr:uid="{7140074C-668F-40B1-915F-CE30EAB8B443}"/>
    <hyperlink ref="B162:G163" location="AÑO!G28:J28" display="AÑO!G28:J28" xr:uid="{977E6779-3246-4A5B-AD88-1B059434E59E}"/>
    <hyperlink ref="B182" location="Trimestre!C25:F26" display="HIPOTECA" xr:uid="{E930E756-22F6-489B-9B41-4EF52A0A1807}"/>
    <hyperlink ref="B182:G183" location="AÑO!G29:J29" display="AÑO!G29:J29" xr:uid="{8A7C2191-57E2-403B-8DA5-C6E44A23735F}"/>
    <hyperlink ref="B202" location="Trimestre!C25:F26" display="HIPOTECA" xr:uid="{85A9F200-8679-46A0-9203-04FDAD0D24F8}"/>
    <hyperlink ref="B202:G203" location="AÑO!G30:J30" display="AÑO!G30:J30" xr:uid="{95D4A60C-DD33-42D6-8B35-05AE2683CC32}"/>
    <hyperlink ref="B222" location="Trimestre!C25:F26" display="HIPOTECA" xr:uid="{170D15A6-6E3D-4A82-B547-EEE7379A87F7}"/>
    <hyperlink ref="B222:G223" location="AÑO!G31:J31" display="AÑO!G31:J31" xr:uid="{0B9CA305-653E-448C-937C-84B730858B70}"/>
    <hyperlink ref="B242" location="Trimestre!C25:F26" display="HIPOTECA" xr:uid="{F55FA4AE-E3EE-49E7-A667-39B40FC487DC}"/>
    <hyperlink ref="B242:G243" location="AÑO!G32:J32" display="AÑO!G32:J32" xr:uid="{E48B3AF1-167C-4AD4-9C8A-B5CF1D650C2C}"/>
    <hyperlink ref="B262" location="Trimestre!C25:F26" display="HIPOTECA" xr:uid="{52DC1C5D-DC33-4280-9931-352B627901BC}"/>
    <hyperlink ref="B262:G263" location="AÑO!G33:J33" display="AÑO!G33:J33" xr:uid="{1BE7D4C0-9589-4F64-8EA0-FF592C47CF0D}"/>
    <hyperlink ref="B282" location="Trimestre!C25:F26" display="HIPOTECA" xr:uid="{04FB8A26-12AC-45F0-A2AA-B934E26CC808}"/>
    <hyperlink ref="B282:G283" location="AÑO!G34:J34" display="AÑO!G34:J34" xr:uid="{8F4A42D0-CF15-49E0-8331-4B0DD71C2AE0}"/>
    <hyperlink ref="B302" location="Trimestre!C25:F26" display="HIPOTECA" xr:uid="{3D4CB53A-2F00-4BCE-8FAF-669BD5D4918F}"/>
    <hyperlink ref="B302:G303" location="AÑO!G35:J35" display="AÑO!G35:J35" xr:uid="{4A25F667-1785-4494-AAEF-D6B06868B25F}"/>
    <hyperlink ref="B322" location="Trimestre!C25:F26" display="HIPOTECA" xr:uid="{99D67445-00FF-4E98-B43D-FB5A6E0A09BD}"/>
    <hyperlink ref="B322:G323" location="AÑO!G36:J36" display="AÑO!G36:J36" xr:uid="{0154BEA1-A81E-4EAA-B9DF-8E67033CA9A9}"/>
    <hyperlink ref="B342" location="Trimestre!C25:F26" display="HIPOTECA" xr:uid="{D112BDDE-6B19-42A4-AC07-314B9EF487F7}"/>
    <hyperlink ref="B342:G343" location="AÑO!G37:J37" display="AÑO!G37:J37" xr:uid="{638B1529-2811-45D7-B1C4-785AF713EEC6}"/>
    <hyperlink ref="B362" location="Trimestre!C25:F26" display="HIPOTECA" xr:uid="{4B642F2B-157F-4138-A11C-1BE0EDB8815D}"/>
    <hyperlink ref="B362:G363" location="AÑO!G38:J38" display="AÑO!G38:J38" xr:uid="{FEEC9C66-E85E-41CB-9707-903A59CF5FF6}"/>
    <hyperlink ref="B382" location="Trimestre!C25:F26" display="HIPOTECA" xr:uid="{57013546-52C3-4F72-A541-A7C41045E9DD}"/>
    <hyperlink ref="B382:G383" location="AÑO!G39:J39" display="AÑO!G39:J39" xr:uid="{AED16E75-5851-44EA-9308-96128F56D813}"/>
    <hyperlink ref="B402" location="Trimestre!C25:F26" display="HIPOTECA" xr:uid="{08AA6C6F-EBC6-43F8-82AB-5CA42F9F9F81}"/>
    <hyperlink ref="B402:G403" location="AÑO!G40:J40" display="AÑO!G40:J40" xr:uid="{F232B876-34DC-41F6-9532-D6CC9E5215A2}"/>
    <hyperlink ref="B422" location="Trimestre!C25:F26" display="HIPOTECA" xr:uid="{E2C2CCEF-4698-4B0D-A953-1578189973B0}"/>
    <hyperlink ref="B422:G423" location="AÑO!G41:J41" display="AÑO!G41:J41" xr:uid="{16E0C4CF-F4BD-4535-AEF1-50E388523924}"/>
    <hyperlink ref="B442" location="Trimestre!C25:F26" display="HIPOTECA" xr:uid="{09A83FE7-92E0-4B59-A8C5-996F86D66DE4}"/>
    <hyperlink ref="B442:G443" location="AÑO!G42:J42" display="AÑO!G42:J42" xr:uid="{081530C4-AC70-49C7-8B04-46B95693004E}"/>
    <hyperlink ref="B462" location="Trimestre!C25:F26" display="HIPOTECA" xr:uid="{C5822A5E-BA69-4B9D-8BAE-7C082AA6D1AB}"/>
    <hyperlink ref="B462:G463" location="AÑO!G43:J43" display="AÑO!G43:J43" xr:uid="{B1073576-7489-4780-B71A-EF8C3DC9F430}"/>
    <hyperlink ref="B482" location="Trimestre!C25:F26" display="HIPOTECA" xr:uid="{6D219F70-59B2-4313-A012-728E5A246BD0}"/>
    <hyperlink ref="B482:G483" location="AÑO!G44:J44" display="AÑO!G44:J44" xr:uid="{18140193-43F2-466F-982A-245EF6B4D1DC}"/>
    <hyperlink ref="B502" location="Trimestre!C25:F26" display="HIPOTECA" xr:uid="{4FB40359-6DF4-4385-A52F-850181BED24B}"/>
    <hyperlink ref="B502:G503" location="AÑO!G45:J45" display="AÑO!G45:J45" xr:uid="{A92CDB3D-A8DC-4F17-A02F-36FC5837ACFB}"/>
  </hyperlink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V520"/>
  <sheetViews>
    <sheetView topLeftCell="A412" workbookViewId="0">
      <selection activeCell="B412" sqref="B1:L1048576"/>
    </sheetView>
  </sheetViews>
  <sheetFormatPr defaultColWidth="11.42578125" defaultRowHeight="15"/>
  <cols>
    <col min="1" max="1" width="11.42578125" style="89"/>
    <col min="2" max="2" width="10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229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30" t="str">
        <f>AÑO!A20</f>
        <v>Cártama Gastos</v>
      </c>
      <c r="C2" s="419"/>
      <c r="D2" s="419"/>
      <c r="E2" s="419"/>
      <c r="F2" s="419"/>
      <c r="G2" s="420"/>
      <c r="H2" s="222"/>
      <c r="I2" s="418" t="s">
        <v>4</v>
      </c>
      <c r="J2" s="419"/>
      <c r="K2" s="419"/>
      <c r="L2" s="420"/>
      <c r="M2" s="1"/>
      <c r="N2" s="1"/>
      <c r="R2" s="3"/>
    </row>
    <row r="3" spans="1:22" ht="16.5" thickBot="1">
      <c r="A3" s="1"/>
      <c r="B3" s="421"/>
      <c r="C3" s="422"/>
      <c r="D3" s="422"/>
      <c r="E3" s="422"/>
      <c r="F3" s="422"/>
      <c r="G3" s="423"/>
      <c r="H3" s="1"/>
      <c r="I3" s="421"/>
      <c r="J3" s="422"/>
      <c r="K3" s="422"/>
      <c r="L3" s="423"/>
      <c r="M3" s="1"/>
      <c r="N3" s="1"/>
      <c r="R3" s="3"/>
    </row>
    <row r="4" spans="1:22" ht="15.75">
      <c r="A4" s="1"/>
      <c r="B4" s="431" t="s">
        <v>8</v>
      </c>
      <c r="C4" s="432"/>
      <c r="D4" s="433" t="s">
        <v>9</v>
      </c>
      <c r="E4" s="433"/>
      <c r="F4" s="433"/>
      <c r="G4" s="432"/>
      <c r="H4" s="222"/>
      <c r="I4" s="40" t="s">
        <v>57</v>
      </c>
      <c r="J4" s="105" t="s">
        <v>58</v>
      </c>
      <c r="K4" s="424" t="s">
        <v>59</v>
      </c>
      <c r="L4" s="425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26"/>
      <c r="L5" s="427"/>
      <c r="M5" s="1"/>
      <c r="N5" s="1" t="s">
        <v>160</v>
      </c>
      <c r="O5" s="89">
        <f>M5-500</f>
        <v>-500</v>
      </c>
      <c r="R5" s="3"/>
    </row>
    <row r="6" spans="1:22" ht="15.75">
      <c r="A6" s="112">
        <f>'09'!A6+(B6-SUM(D6:F6))</f>
        <v>1611.34</v>
      </c>
      <c r="B6" s="133">
        <v>399.59</v>
      </c>
      <c r="C6" s="19" t="s">
        <v>181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428">
        <v>550</v>
      </c>
      <c r="L6" s="429"/>
      <c r="M6" s="1" t="s">
        <v>165</v>
      </c>
      <c r="N6" s="1"/>
      <c r="R6" s="3"/>
    </row>
    <row r="7" spans="1:22" ht="15.75">
      <c r="A7" s="112">
        <f>'09'!A7+(B7-SUM(D7:F7))</f>
        <v>377.57</v>
      </c>
      <c r="B7" s="134">
        <v>70.180000000000007</v>
      </c>
      <c r="C7" s="16" t="s">
        <v>200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428"/>
      <c r="L7" s="429"/>
      <c r="M7" s="1"/>
      <c r="N7" s="1"/>
      <c r="R7" s="3"/>
    </row>
    <row r="8" spans="1:22" ht="15.75">
      <c r="A8" s="112">
        <f>'09'!A8+(B8-SUM(D8:F8))</f>
        <v>9.0000000000017621E-2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28">
        <v>7000</v>
      </c>
      <c r="L8" s="429"/>
      <c r="M8" s="1"/>
      <c r="N8" s="1"/>
      <c r="R8" s="3"/>
    </row>
    <row r="9" spans="1:22" ht="15.75">
      <c r="A9" s="112">
        <f>'09'!A9+(B9-SUM(D9:F9))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428">
        <v>659.77</v>
      </c>
      <c r="L9" s="429"/>
      <c r="M9" s="1"/>
      <c r="N9" s="1"/>
      <c r="R9" s="3"/>
    </row>
    <row r="10" spans="1:22" ht="15.75">
      <c r="A10" s="112">
        <f>'09'!A10+(B10-SUM(D10:F10))</f>
        <v>48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428">
        <v>1800.04</v>
      </c>
      <c r="L10" s="429"/>
      <c r="M10" s="1" t="s">
        <v>156</v>
      </c>
      <c r="N10" s="1"/>
      <c r="R10" s="3"/>
    </row>
    <row r="11" spans="1:22" ht="15.75">
      <c r="A11" s="112">
        <f>'09'!A11+(B11-SUM(D11:F11))</f>
        <v>90.68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428"/>
      <c r="L11" s="429"/>
      <c r="M11" s="1"/>
      <c r="N11" s="1"/>
      <c r="R11" s="3"/>
    </row>
    <row r="12" spans="1:22" ht="15.75">
      <c r="A12" s="112">
        <f>'09'!A12+(B12-SUM(D12:F12))</f>
        <v>288.04000000000002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28">
        <v>5092.08</v>
      </c>
      <c r="L12" s="429"/>
      <c r="M12" s="92"/>
      <c r="N12" s="1"/>
      <c r="R12" s="3"/>
    </row>
    <row r="13" spans="1:22" ht="15.75">
      <c r="A13" s="112">
        <f>'09'!A13+(B13-SUM(D13:F13))</f>
        <v>51.5</v>
      </c>
      <c r="B13" s="134">
        <v>7</v>
      </c>
      <c r="C13" s="16" t="s">
        <v>201</v>
      </c>
      <c r="D13" s="137"/>
      <c r="E13" s="138"/>
      <c r="F13" s="138"/>
      <c r="G13" s="16"/>
      <c r="H13" s="1"/>
      <c r="I13" s="108"/>
      <c r="J13" s="107"/>
      <c r="K13" s="428"/>
      <c r="L13" s="429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8"/>
      <c r="L14" s="429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8"/>
      <c r="L15" s="429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8"/>
      <c r="L16" s="429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8"/>
      <c r="L17" s="429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4"/>
      <c r="L18" s="435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34">
        <f>SUM(K5:K18)</f>
        <v>15101.890000000001</v>
      </c>
      <c r="L19" s="435"/>
      <c r="M19" s="1"/>
      <c r="N19" s="1"/>
      <c r="R19" s="3"/>
    </row>
    <row r="20" spans="1:18" ht="16.5" thickBot="1">
      <c r="A20" s="112">
        <f>SUM(A6:A15)</f>
        <v>2467.2199999999998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30" t="str">
        <f>AÑO!A21</f>
        <v>Waterloo</v>
      </c>
      <c r="C22" s="419"/>
      <c r="D22" s="419"/>
      <c r="E22" s="419"/>
      <c r="F22" s="419"/>
      <c r="G22" s="420"/>
      <c r="H22" s="1"/>
      <c r="I22" s="418" t="s">
        <v>6</v>
      </c>
      <c r="J22" s="419"/>
      <c r="K22" s="419"/>
      <c r="L22" s="420"/>
      <c r="M22" s="1"/>
      <c r="R22" s="3"/>
    </row>
    <row r="23" spans="1:18" ht="16.149999999999999" customHeight="1" thickBot="1">
      <c r="A23" s="1"/>
      <c r="B23" s="421"/>
      <c r="C23" s="422"/>
      <c r="D23" s="422"/>
      <c r="E23" s="422"/>
      <c r="F23" s="422"/>
      <c r="G23" s="423"/>
      <c r="H23" s="1"/>
      <c r="I23" s="421"/>
      <c r="J23" s="422"/>
      <c r="K23" s="422"/>
      <c r="L23" s="423"/>
      <c r="M23" s="1"/>
      <c r="R23" s="3"/>
    </row>
    <row r="24" spans="1:18" ht="15.75">
      <c r="A24" s="1"/>
      <c r="B24" s="431" t="s">
        <v>8</v>
      </c>
      <c r="C24" s="432"/>
      <c r="D24" s="433" t="s">
        <v>9</v>
      </c>
      <c r="E24" s="433"/>
      <c r="F24" s="433"/>
      <c r="G24" s="432"/>
      <c r="H24" s="1"/>
      <c r="I24" s="40" t="s">
        <v>31</v>
      </c>
      <c r="J24" s="403" t="s">
        <v>87</v>
      </c>
      <c r="K24" s="404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05" t="str">
        <f>AÑO!A8</f>
        <v>Manolo Salario</v>
      </c>
      <c r="J25" s="408"/>
      <c r="K25" s="409"/>
      <c r="L25" s="198"/>
      <c r="M25" s="1"/>
      <c r="R25" s="3"/>
    </row>
    <row r="26" spans="1:18" ht="15.75">
      <c r="A26" s="112">
        <f>'09'!A26+(B26-SUM(D26:F26))</f>
        <v>2700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406"/>
      <c r="J26" s="410"/>
      <c r="K26" s="411"/>
      <c r="L26" s="199"/>
      <c r="M26" s="1"/>
      <c r="R26" s="3"/>
    </row>
    <row r="27" spans="1:18" ht="15.75">
      <c r="A27" s="112">
        <f>'09'!A27+(B27-SUM(D27:F27))</f>
        <v>564.04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406"/>
      <c r="J27" s="410"/>
      <c r="K27" s="411"/>
      <c r="L27" s="199"/>
      <c r="M27" s="1"/>
      <c r="R27" s="3"/>
    </row>
    <row r="28" spans="1:18" ht="15.75">
      <c r="A28" s="112">
        <f>'09'!A28+(B28-SUM(D28:F28))</f>
        <v>278.3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06"/>
      <c r="J28" s="410"/>
      <c r="K28" s="411"/>
      <c r="L28" s="199"/>
      <c r="M28" s="1"/>
      <c r="R28" s="3"/>
    </row>
    <row r="29" spans="1:18" ht="15.75">
      <c r="A29" s="112">
        <f>'09'!A29+(B29-SUM(D29:F29))</f>
        <v>55.53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414"/>
      <c r="J29" s="415"/>
      <c r="K29" s="416"/>
      <c r="L29" s="201"/>
      <c r="M29" s="1"/>
      <c r="R29" s="3"/>
    </row>
    <row r="30" spans="1:18" ht="15.75" customHeight="1">
      <c r="A30" s="112">
        <f>'09'!A30+(B30-SUM(D30:F30))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05" t="str">
        <f>AÑO!A9</f>
        <v>Rocío Salario</v>
      </c>
      <c r="J30" s="408"/>
      <c r="K30" s="409"/>
      <c r="L30" s="198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6"/>
      <c r="J31" s="410"/>
      <c r="K31" s="411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6"/>
      <c r="J32" s="410"/>
      <c r="K32" s="411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6"/>
      <c r="J33" s="410"/>
      <c r="K33" s="411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4"/>
      <c r="J34" s="415"/>
      <c r="K34" s="416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5" t="s">
        <v>218</v>
      </c>
      <c r="J35" s="408"/>
      <c r="K35" s="409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6"/>
      <c r="J36" s="410"/>
      <c r="K36" s="411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6"/>
      <c r="J37" s="410"/>
      <c r="K37" s="411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6"/>
      <c r="J38" s="410"/>
      <c r="K38" s="411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4"/>
      <c r="J39" s="415"/>
      <c r="K39" s="416"/>
      <c r="L39" s="201"/>
      <c r="M39" s="1"/>
      <c r="R39" s="3"/>
    </row>
    <row r="40" spans="1:18" ht="16.5" thickBot="1">
      <c r="A40" s="112">
        <f>SUM(A26:A35)</f>
        <v>3784.1500000000005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05" t="str">
        <f>AÑO!A11</f>
        <v>Finanazas</v>
      </c>
      <c r="J40" s="408"/>
      <c r="K40" s="409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6"/>
      <c r="J41" s="410"/>
      <c r="K41" s="411"/>
      <c r="L41" s="199"/>
      <c r="M41" s="1"/>
      <c r="R41" s="3"/>
    </row>
    <row r="42" spans="1:18" ht="15.6" customHeight="1">
      <c r="A42" s="1"/>
      <c r="B42" s="430" t="str">
        <f>AÑO!A22</f>
        <v>Comida+Limpieza</v>
      </c>
      <c r="C42" s="419"/>
      <c r="D42" s="419"/>
      <c r="E42" s="419"/>
      <c r="F42" s="419"/>
      <c r="G42" s="420"/>
      <c r="H42" s="1"/>
      <c r="I42" s="406"/>
      <c r="J42" s="410"/>
      <c r="K42" s="411"/>
      <c r="L42" s="199"/>
      <c r="M42" s="1"/>
      <c r="R42" s="3"/>
    </row>
    <row r="43" spans="1:18" ht="16.149999999999999" customHeight="1" thickBot="1">
      <c r="A43" s="1"/>
      <c r="B43" s="421"/>
      <c r="C43" s="422"/>
      <c r="D43" s="422"/>
      <c r="E43" s="422"/>
      <c r="F43" s="422"/>
      <c r="G43" s="423"/>
      <c r="H43" s="1"/>
      <c r="I43" s="406"/>
      <c r="J43" s="410"/>
      <c r="K43" s="411"/>
      <c r="L43" s="199"/>
      <c r="M43" s="1"/>
      <c r="R43" s="3"/>
    </row>
    <row r="44" spans="1:18" ht="15.75">
      <c r="A44" s="1"/>
      <c r="B44" s="431" t="s">
        <v>8</v>
      </c>
      <c r="C44" s="432"/>
      <c r="D44" s="433" t="s">
        <v>9</v>
      </c>
      <c r="E44" s="433"/>
      <c r="F44" s="433"/>
      <c r="G44" s="432"/>
      <c r="H44" s="1"/>
      <c r="I44" s="414"/>
      <c r="J44" s="415"/>
      <c r="K44" s="416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05" t="str">
        <f>AÑO!A12</f>
        <v>Regalos</v>
      </c>
      <c r="J45" s="408"/>
      <c r="K45" s="409"/>
      <c r="L45" s="198"/>
      <c r="M45" s="1"/>
      <c r="R45" s="3"/>
    </row>
    <row r="46" spans="1:18" ht="15.75">
      <c r="A46" s="1"/>
      <c r="B46" s="133">
        <v>462</v>
      </c>
      <c r="C46" s="19"/>
      <c r="D46" s="137"/>
      <c r="E46" s="138"/>
      <c r="F46" s="138"/>
      <c r="G46" s="30"/>
      <c r="H46" s="1"/>
      <c r="I46" s="406"/>
      <c r="J46" s="410"/>
      <c r="K46" s="411"/>
      <c r="L46" s="199"/>
      <c r="M46" s="1"/>
      <c r="R46" s="3"/>
    </row>
    <row r="47" spans="1:18" ht="15.75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406"/>
      <c r="J47" s="410"/>
      <c r="K47" s="411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406"/>
      <c r="J48" s="410"/>
      <c r="K48" s="411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414"/>
      <c r="J49" s="415"/>
      <c r="K49" s="416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405" t="str">
        <f>AÑO!A13</f>
        <v>Gubernamental</v>
      </c>
      <c r="J50" s="408"/>
      <c r="K50" s="409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406"/>
      <c r="J51" s="410"/>
      <c r="K51" s="411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06"/>
      <c r="J52" s="410"/>
      <c r="K52" s="411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06"/>
      <c r="J53" s="410"/>
      <c r="K53" s="411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14"/>
      <c r="J54" s="415"/>
      <c r="K54" s="416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05" t="str">
        <f>AÑO!A14</f>
        <v>Mutualite/DKV</v>
      </c>
      <c r="J55" s="408"/>
      <c r="K55" s="409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6"/>
      <c r="J56" s="410"/>
      <c r="K56" s="411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6"/>
      <c r="J57" s="410"/>
      <c r="K57" s="411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6"/>
      <c r="J58" s="410"/>
      <c r="K58" s="411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4"/>
      <c r="J59" s="415"/>
      <c r="K59" s="416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05" t="str">
        <f>AÑO!A15</f>
        <v>Alquiler Cartama</v>
      </c>
      <c r="J60" s="408"/>
      <c r="K60" s="409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6"/>
      <c r="J61" s="410"/>
      <c r="K61" s="411"/>
      <c r="L61" s="199"/>
      <c r="M61" s="1"/>
      <c r="R61" s="3"/>
    </row>
    <row r="62" spans="1:18" ht="15.6" customHeight="1">
      <c r="A62" s="1"/>
      <c r="B62" s="430" t="str">
        <f>AÑO!A23</f>
        <v>Ocio</v>
      </c>
      <c r="C62" s="419"/>
      <c r="D62" s="419"/>
      <c r="E62" s="419"/>
      <c r="F62" s="419"/>
      <c r="G62" s="420"/>
      <c r="H62" s="1"/>
      <c r="I62" s="406"/>
      <c r="J62" s="410"/>
      <c r="K62" s="411"/>
      <c r="L62" s="199"/>
      <c r="M62" s="1"/>
      <c r="R62" s="3"/>
    </row>
    <row r="63" spans="1:18" ht="16.149999999999999" customHeight="1" thickBot="1">
      <c r="A63" s="1"/>
      <c r="B63" s="421"/>
      <c r="C63" s="422"/>
      <c r="D63" s="422"/>
      <c r="E63" s="422"/>
      <c r="F63" s="422"/>
      <c r="G63" s="423"/>
      <c r="H63" s="1"/>
      <c r="I63" s="406"/>
      <c r="J63" s="410"/>
      <c r="K63" s="411"/>
      <c r="L63" s="199"/>
      <c r="M63" s="1"/>
      <c r="R63" s="3"/>
    </row>
    <row r="64" spans="1:18" ht="15.75">
      <c r="A64" s="1"/>
      <c r="B64" s="431" t="s">
        <v>8</v>
      </c>
      <c r="C64" s="432"/>
      <c r="D64" s="433" t="s">
        <v>9</v>
      </c>
      <c r="E64" s="433"/>
      <c r="F64" s="433"/>
      <c r="G64" s="432"/>
      <c r="H64" s="1"/>
      <c r="I64" s="414"/>
      <c r="J64" s="415"/>
      <c r="K64" s="416"/>
      <c r="L64" s="201"/>
      <c r="M64" s="1"/>
      <c r="R64" s="3"/>
    </row>
    <row r="65" spans="1:18" ht="15.75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05" t="str">
        <f>AÑO!A16</f>
        <v>Otros</v>
      </c>
      <c r="J65" s="408"/>
      <c r="K65" s="409"/>
      <c r="L65" s="198"/>
      <c r="M65" s="1"/>
      <c r="R65" s="3"/>
    </row>
    <row r="66" spans="1:18" ht="15.75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406"/>
      <c r="J66" s="410"/>
      <c r="K66" s="411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406"/>
      <c r="J67" s="410"/>
      <c r="K67" s="411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406"/>
      <c r="J68" s="410"/>
      <c r="K68" s="411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407"/>
      <c r="J69" s="412"/>
      <c r="K69" s="413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30" t="str">
        <f>AÑO!A24</f>
        <v>Transportes</v>
      </c>
      <c r="C82" s="419"/>
      <c r="D82" s="419"/>
      <c r="E82" s="419"/>
      <c r="F82" s="419"/>
      <c r="G82" s="420"/>
      <c r="H82" s="1"/>
      <c r="M82" s="1"/>
      <c r="R82" s="3"/>
    </row>
    <row r="83" spans="1:18" ht="16.149999999999999" customHeight="1" thickBot="1">
      <c r="A83" s="1"/>
      <c r="B83" s="421"/>
      <c r="C83" s="422"/>
      <c r="D83" s="422"/>
      <c r="E83" s="422"/>
      <c r="F83" s="422"/>
      <c r="G83" s="423"/>
      <c r="H83" s="1"/>
      <c r="M83" s="1"/>
      <c r="R83" s="3"/>
    </row>
    <row r="84" spans="1:18" ht="15.75">
      <c r="A84" s="1"/>
      <c r="B84" s="431" t="s">
        <v>8</v>
      </c>
      <c r="C84" s="432"/>
      <c r="D84" s="433" t="s">
        <v>9</v>
      </c>
      <c r="E84" s="433"/>
      <c r="F84" s="433"/>
      <c r="G84" s="432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202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30" t="str">
        <f>AÑO!A25</f>
        <v>Coche</v>
      </c>
      <c r="C102" s="419"/>
      <c r="D102" s="419"/>
      <c r="E102" s="419"/>
      <c r="F102" s="419"/>
      <c r="G102" s="420"/>
      <c r="H102" s="1"/>
      <c r="M102" s="1"/>
      <c r="R102" s="3"/>
    </row>
    <row r="103" spans="1:18" ht="16.149999999999999" customHeight="1" thickBot="1">
      <c r="A103" s="1"/>
      <c r="B103" s="421"/>
      <c r="C103" s="422"/>
      <c r="D103" s="422"/>
      <c r="E103" s="422"/>
      <c r="F103" s="422"/>
      <c r="G103" s="423"/>
      <c r="H103" s="1"/>
      <c r="M103" s="1"/>
      <c r="R103" s="3"/>
    </row>
    <row r="104" spans="1:18" ht="15.75">
      <c r="A104" s="1"/>
      <c r="B104" s="431" t="s">
        <v>8</v>
      </c>
      <c r="C104" s="432"/>
      <c r="D104" s="433" t="s">
        <v>9</v>
      </c>
      <c r="E104" s="433"/>
      <c r="F104" s="433"/>
      <c r="G104" s="432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'09'!A106+(B106-SUM(D106:F106))</f>
        <v>775.41000000000008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'09'!A107+(B107-SUM(D107:F107))</f>
        <v>213.02000000000004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'09'!A108+(B108-SUM(D108:F108))</f>
        <v>633.09999999999991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'09'!A109+(B109-SUM(D109:F109))</f>
        <v>2723.7100000000014</v>
      </c>
      <c r="B109" s="134">
        <v>25.53</v>
      </c>
      <c r="C109" s="18" t="s">
        <v>205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1621.53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30" t="str">
        <f>AÑO!A26</f>
        <v>Teléfono</v>
      </c>
      <c r="C122" s="419"/>
      <c r="D122" s="419"/>
      <c r="E122" s="419"/>
      <c r="F122" s="419"/>
      <c r="G122" s="420"/>
      <c r="H122" s="1"/>
      <c r="M122" s="1"/>
      <c r="R122" s="3"/>
    </row>
    <row r="123" spans="1:18" ht="16.149999999999999" customHeight="1" thickBot="1">
      <c r="A123" s="1"/>
      <c r="B123" s="421"/>
      <c r="C123" s="422"/>
      <c r="D123" s="422"/>
      <c r="E123" s="422"/>
      <c r="F123" s="422"/>
      <c r="G123" s="423"/>
      <c r="H123" s="1"/>
      <c r="M123" s="1"/>
      <c r="R123" s="3"/>
    </row>
    <row r="124" spans="1:18" ht="15.75">
      <c r="A124" s="1"/>
      <c r="B124" s="431" t="s">
        <v>8</v>
      </c>
      <c r="C124" s="432"/>
      <c r="D124" s="433" t="s">
        <v>9</v>
      </c>
      <c r="E124" s="433"/>
      <c r="F124" s="433"/>
      <c r="G124" s="432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30" t="str">
        <f>AÑO!A27</f>
        <v>Gatos</v>
      </c>
      <c r="C142" s="419"/>
      <c r="D142" s="419"/>
      <c r="E142" s="419"/>
      <c r="F142" s="419"/>
      <c r="G142" s="420"/>
      <c r="H142" s="1"/>
      <c r="M142" s="1"/>
      <c r="R142" s="3"/>
    </row>
    <row r="143" spans="1:18" ht="16.149999999999999" customHeight="1" thickBot="1">
      <c r="A143" s="1"/>
      <c r="B143" s="421"/>
      <c r="C143" s="422"/>
      <c r="D143" s="422"/>
      <c r="E143" s="422"/>
      <c r="F143" s="422"/>
      <c r="G143" s="423"/>
      <c r="H143" s="1"/>
      <c r="M143" s="1"/>
      <c r="R143" s="3"/>
    </row>
    <row r="144" spans="1:18" ht="15.75">
      <c r="A144" s="1"/>
      <c r="B144" s="431" t="s">
        <v>8</v>
      </c>
      <c r="C144" s="432"/>
      <c r="D144" s="433" t="s">
        <v>9</v>
      </c>
      <c r="E144" s="433"/>
      <c r="F144" s="433"/>
      <c r="G144" s="432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30" t="str">
        <f>AÑO!A28</f>
        <v>Vacaciones</v>
      </c>
      <c r="C162" s="419"/>
      <c r="D162" s="419"/>
      <c r="E162" s="419"/>
      <c r="F162" s="419"/>
      <c r="G162" s="420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21"/>
      <c r="C163" s="422"/>
      <c r="D163" s="422"/>
      <c r="E163" s="422"/>
      <c r="F163" s="422"/>
      <c r="G163" s="423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31" t="s">
        <v>8</v>
      </c>
      <c r="C164" s="432"/>
      <c r="D164" s="433" t="s">
        <v>9</v>
      </c>
      <c r="E164" s="433"/>
      <c r="F164" s="433"/>
      <c r="G164" s="432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30" t="str">
        <f>AÑO!A29</f>
        <v>Ropa</v>
      </c>
      <c r="C182" s="419"/>
      <c r="D182" s="419"/>
      <c r="E182" s="419"/>
      <c r="F182" s="419"/>
      <c r="G182" s="42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21"/>
      <c r="C183" s="422"/>
      <c r="D183" s="422"/>
      <c r="E183" s="422"/>
      <c r="F183" s="422"/>
      <c r="G183" s="42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31" t="s">
        <v>8</v>
      </c>
      <c r="C184" s="432"/>
      <c r="D184" s="433" t="s">
        <v>9</v>
      </c>
      <c r="E184" s="433"/>
      <c r="F184" s="433"/>
      <c r="G184" s="432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30" t="str">
        <f>AÑO!A30</f>
        <v>Belleza</v>
      </c>
      <c r="C202" s="419"/>
      <c r="D202" s="419"/>
      <c r="E202" s="419"/>
      <c r="F202" s="419"/>
      <c r="G202" s="420"/>
    </row>
    <row r="203" spans="2:12" ht="15" customHeight="1" thickBot="1">
      <c r="B203" s="421"/>
      <c r="C203" s="422"/>
      <c r="D203" s="422"/>
      <c r="E203" s="422"/>
      <c r="F203" s="422"/>
      <c r="G203" s="423"/>
    </row>
    <row r="204" spans="2:12">
      <c r="B204" s="431" t="s">
        <v>8</v>
      </c>
      <c r="C204" s="432"/>
      <c r="D204" s="433" t="s">
        <v>9</v>
      </c>
      <c r="E204" s="433"/>
      <c r="F204" s="433"/>
      <c r="G204" s="432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30" t="str">
        <f>AÑO!A31</f>
        <v>Deportes</v>
      </c>
      <c r="C222" s="419"/>
      <c r="D222" s="419"/>
      <c r="E222" s="419"/>
      <c r="F222" s="419"/>
      <c r="G222" s="420"/>
    </row>
    <row r="223" spans="2:7" ht="15" customHeight="1" thickBot="1">
      <c r="B223" s="421"/>
      <c r="C223" s="422"/>
      <c r="D223" s="422"/>
      <c r="E223" s="422"/>
      <c r="F223" s="422"/>
      <c r="G223" s="423"/>
    </row>
    <row r="224" spans="2:7">
      <c r="B224" s="431" t="s">
        <v>8</v>
      </c>
      <c r="C224" s="432"/>
      <c r="D224" s="433" t="s">
        <v>9</v>
      </c>
      <c r="E224" s="433"/>
      <c r="F224" s="433"/>
      <c r="G224" s="432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430" t="str">
        <f>AÑO!A32</f>
        <v>Hogar</v>
      </c>
      <c r="C242" s="419"/>
      <c r="D242" s="419"/>
      <c r="E242" s="419"/>
      <c r="F242" s="419"/>
      <c r="G242" s="420"/>
    </row>
    <row r="243" spans="2:7" ht="15" customHeight="1" thickBot="1">
      <c r="B243" s="421"/>
      <c r="C243" s="422"/>
      <c r="D243" s="422"/>
      <c r="E243" s="422"/>
      <c r="F243" s="422"/>
      <c r="G243" s="423"/>
    </row>
    <row r="244" spans="2:7" ht="15" customHeight="1">
      <c r="B244" s="431" t="s">
        <v>8</v>
      </c>
      <c r="C244" s="432"/>
      <c r="D244" s="433" t="s">
        <v>9</v>
      </c>
      <c r="E244" s="433"/>
      <c r="F244" s="433"/>
      <c r="G244" s="432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430" t="str">
        <f>AÑO!A33</f>
        <v>Formación</v>
      </c>
      <c r="C262" s="419"/>
      <c r="D262" s="419"/>
      <c r="E262" s="419"/>
      <c r="F262" s="419"/>
      <c r="G262" s="420"/>
    </row>
    <row r="263" spans="2:7" ht="15" customHeight="1" thickBot="1">
      <c r="B263" s="421"/>
      <c r="C263" s="422"/>
      <c r="D263" s="422"/>
      <c r="E263" s="422"/>
      <c r="F263" s="422"/>
      <c r="G263" s="423"/>
    </row>
    <row r="264" spans="2:7">
      <c r="B264" s="431" t="s">
        <v>8</v>
      </c>
      <c r="C264" s="432"/>
      <c r="D264" s="433" t="s">
        <v>9</v>
      </c>
      <c r="E264" s="433"/>
      <c r="F264" s="433"/>
      <c r="G264" s="432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430" t="str">
        <f>AÑO!A34</f>
        <v>Regalos</v>
      </c>
      <c r="C282" s="419"/>
      <c r="D282" s="419"/>
      <c r="E282" s="419"/>
      <c r="F282" s="419"/>
      <c r="G282" s="420"/>
    </row>
    <row r="283" spans="2:8" ht="15" customHeight="1" thickBot="1">
      <c r="B283" s="421"/>
      <c r="C283" s="422"/>
      <c r="D283" s="422"/>
      <c r="E283" s="422"/>
      <c r="F283" s="422"/>
      <c r="G283" s="423"/>
    </row>
    <row r="284" spans="2:8">
      <c r="B284" s="431" t="s">
        <v>8</v>
      </c>
      <c r="C284" s="432"/>
      <c r="D284" s="433" t="s">
        <v>9</v>
      </c>
      <c r="E284" s="433"/>
      <c r="F284" s="433"/>
      <c r="G284" s="432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30" t="str">
        <f>AÑO!A35</f>
        <v>Salud</v>
      </c>
      <c r="C302" s="419"/>
      <c r="D302" s="419"/>
      <c r="E302" s="419"/>
      <c r="F302" s="419"/>
      <c r="G302" s="420"/>
    </row>
    <row r="303" spans="2:8" ht="15" customHeight="1" thickBot="1">
      <c r="B303" s="421"/>
      <c r="C303" s="422"/>
      <c r="D303" s="422"/>
      <c r="E303" s="422"/>
      <c r="F303" s="422"/>
      <c r="G303" s="423"/>
    </row>
    <row r="304" spans="2:8">
      <c r="B304" s="431" t="s">
        <v>8</v>
      </c>
      <c r="C304" s="432"/>
      <c r="D304" s="433" t="s">
        <v>9</v>
      </c>
      <c r="E304" s="433"/>
      <c r="F304" s="433"/>
      <c r="G304" s="432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100</v>
      </c>
      <c r="C306" s="19" t="s">
        <v>172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430" t="str">
        <f>AÑO!A36</f>
        <v>Nenas</v>
      </c>
      <c r="C322" s="419"/>
      <c r="D322" s="419"/>
      <c r="E322" s="419"/>
      <c r="F322" s="419"/>
      <c r="G322" s="420"/>
    </row>
    <row r="323" spans="2:7" ht="15" customHeight="1" thickBot="1">
      <c r="B323" s="421"/>
      <c r="C323" s="422"/>
      <c r="D323" s="422"/>
      <c r="E323" s="422"/>
      <c r="F323" s="422"/>
      <c r="G323" s="423"/>
    </row>
    <row r="324" spans="2:7">
      <c r="B324" s="431" t="s">
        <v>8</v>
      </c>
      <c r="C324" s="432"/>
      <c r="D324" s="433" t="s">
        <v>9</v>
      </c>
      <c r="E324" s="433"/>
      <c r="F324" s="433"/>
      <c r="G324" s="432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430" t="str">
        <f>AÑO!A37</f>
        <v>Impuestos</v>
      </c>
      <c r="C342" s="419"/>
      <c r="D342" s="419"/>
      <c r="E342" s="419"/>
      <c r="F342" s="419"/>
      <c r="G342" s="420"/>
    </row>
    <row r="343" spans="2:7" ht="15" customHeight="1" thickBot="1">
      <c r="B343" s="421"/>
      <c r="C343" s="422"/>
      <c r="D343" s="422"/>
      <c r="E343" s="422"/>
      <c r="F343" s="422"/>
      <c r="G343" s="423"/>
    </row>
    <row r="344" spans="2:7">
      <c r="B344" s="431" t="s">
        <v>8</v>
      </c>
      <c r="C344" s="432"/>
      <c r="D344" s="433" t="s">
        <v>9</v>
      </c>
      <c r="E344" s="433"/>
      <c r="F344" s="433"/>
      <c r="G344" s="432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199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430" t="str">
        <f>AÑO!A38</f>
        <v>Gastos Curros</v>
      </c>
      <c r="C362" s="419"/>
      <c r="D362" s="419"/>
      <c r="E362" s="419"/>
      <c r="F362" s="419"/>
      <c r="G362" s="420"/>
    </row>
    <row r="363" spans="2:7" ht="15" customHeight="1" thickBot="1">
      <c r="B363" s="421"/>
      <c r="C363" s="422"/>
      <c r="D363" s="422"/>
      <c r="E363" s="422"/>
      <c r="F363" s="422"/>
      <c r="G363" s="423"/>
    </row>
    <row r="364" spans="2:7">
      <c r="B364" s="431" t="s">
        <v>8</v>
      </c>
      <c r="C364" s="432"/>
      <c r="D364" s="433" t="s">
        <v>9</v>
      </c>
      <c r="E364" s="433"/>
      <c r="F364" s="433"/>
      <c r="G364" s="432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30" t="str">
        <f>AÑO!A39</f>
        <v>Dreamed Holidays</v>
      </c>
      <c r="C382" s="419"/>
      <c r="D382" s="419"/>
      <c r="E382" s="419"/>
      <c r="F382" s="419"/>
      <c r="G382" s="420"/>
    </row>
    <row r="383" spans="2:7" ht="15" customHeight="1" thickBot="1">
      <c r="B383" s="421"/>
      <c r="C383" s="422"/>
      <c r="D383" s="422"/>
      <c r="E383" s="422"/>
      <c r="F383" s="422"/>
      <c r="G383" s="423"/>
    </row>
    <row r="384" spans="2:7">
      <c r="B384" s="431" t="s">
        <v>8</v>
      </c>
      <c r="C384" s="432"/>
      <c r="D384" s="433" t="s">
        <v>9</v>
      </c>
      <c r="E384" s="433"/>
      <c r="F384" s="433"/>
      <c r="G384" s="432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30" t="str">
        <f>AÑO!A40</f>
        <v>Financieros</v>
      </c>
      <c r="C402" s="419"/>
      <c r="D402" s="419"/>
      <c r="E402" s="419"/>
      <c r="F402" s="419"/>
      <c r="G402" s="420"/>
    </row>
    <row r="403" spans="2:7" ht="15" customHeight="1" thickBot="1">
      <c r="B403" s="421"/>
      <c r="C403" s="422"/>
      <c r="D403" s="422"/>
      <c r="E403" s="422"/>
      <c r="F403" s="422"/>
      <c r="G403" s="423"/>
    </row>
    <row r="404" spans="2:7">
      <c r="B404" s="431" t="s">
        <v>8</v>
      </c>
      <c r="C404" s="432"/>
      <c r="D404" s="433" t="s">
        <v>9</v>
      </c>
      <c r="E404" s="433"/>
      <c r="F404" s="433"/>
      <c r="G404" s="432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30" t="str">
        <f>AÑO!A41</f>
        <v>Ahorros Colchón</v>
      </c>
      <c r="C422" s="436"/>
      <c r="D422" s="436"/>
      <c r="E422" s="436"/>
      <c r="F422" s="436"/>
      <c r="G422" s="437"/>
    </row>
    <row r="423" spans="1:7" ht="15" customHeight="1" thickBot="1">
      <c r="B423" s="438"/>
      <c r="C423" s="439"/>
      <c r="D423" s="439"/>
      <c r="E423" s="439"/>
      <c r="F423" s="439"/>
      <c r="G423" s="440"/>
    </row>
    <row r="424" spans="1:7">
      <c r="B424" s="431" t="s">
        <v>8</v>
      </c>
      <c r="C424" s="432"/>
      <c r="D424" s="433" t="s">
        <v>9</v>
      </c>
      <c r="E424" s="433"/>
      <c r="F424" s="433"/>
      <c r="G424" s="432"/>
    </row>
    <row r="425" spans="1:7">
      <c r="A425" s="113">
        <f>AÑO!AM17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A425 -A426</f>
        <v>-3900</v>
      </c>
      <c r="C426" s="19" t="s">
        <v>198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30" t="str">
        <f>AÑO!A42</f>
        <v>Dinero Bloqueado</v>
      </c>
      <c r="C442" s="436"/>
      <c r="D442" s="436"/>
      <c r="E442" s="436"/>
      <c r="F442" s="436"/>
      <c r="G442" s="437"/>
    </row>
    <row r="443" spans="2:7" ht="15" customHeight="1" thickBot="1">
      <c r="B443" s="438"/>
      <c r="C443" s="439"/>
      <c r="D443" s="439"/>
      <c r="E443" s="439"/>
      <c r="F443" s="439"/>
      <c r="G443" s="440"/>
    </row>
    <row r="444" spans="2:7">
      <c r="B444" s="431" t="s">
        <v>8</v>
      </c>
      <c r="C444" s="432"/>
      <c r="D444" s="433" t="s">
        <v>9</v>
      </c>
      <c r="E444" s="433"/>
      <c r="F444" s="433"/>
      <c r="G444" s="432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30" t="str">
        <f>AÑO!A43</f>
        <v>Cartama Finanazas</v>
      </c>
      <c r="C462" s="436"/>
      <c r="D462" s="436"/>
      <c r="E462" s="436"/>
      <c r="F462" s="436"/>
      <c r="G462" s="437"/>
    </row>
    <row r="463" spans="2:7" ht="15" customHeight="1" thickBot="1">
      <c r="B463" s="438"/>
      <c r="C463" s="439"/>
      <c r="D463" s="439"/>
      <c r="E463" s="439"/>
      <c r="F463" s="439"/>
      <c r="G463" s="440"/>
    </row>
    <row r="464" spans="2:7">
      <c r="B464" s="431" t="s">
        <v>8</v>
      </c>
      <c r="C464" s="432"/>
      <c r="D464" s="433" t="s">
        <v>9</v>
      </c>
      <c r="E464" s="433"/>
      <c r="F464" s="433"/>
      <c r="G464" s="432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'09'!A466+(B466-SUM(D466:F466))</f>
        <v>50</v>
      </c>
      <c r="B466" s="134">
        <v>25</v>
      </c>
      <c r="C466" s="16" t="s">
        <v>174</v>
      </c>
      <c r="D466" s="137"/>
      <c r="E466" s="138"/>
      <c r="F466" s="138"/>
      <c r="G466" s="16"/>
    </row>
    <row r="467" spans="1:7" ht="15.75">
      <c r="A467" s="112">
        <f>'09'!A467+(B467-SUM(D467:F467))</f>
        <v>565.23</v>
      </c>
      <c r="B467" s="134">
        <v>20</v>
      </c>
      <c r="C467" s="16" t="s">
        <v>185</v>
      </c>
      <c r="D467" s="137"/>
      <c r="E467" s="138"/>
      <c r="F467" s="138"/>
      <c r="G467" s="16"/>
    </row>
    <row r="468" spans="1:7" ht="15.75">
      <c r="A468" s="112">
        <f>'09'!A468+(B468-SUM(D468:F468))</f>
        <v>193.4</v>
      </c>
      <c r="B468" s="134">
        <v>5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808.63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30" t="str">
        <f>AÑO!A44</f>
        <v>NULO</v>
      </c>
      <c r="C482" s="436"/>
      <c r="D482" s="436"/>
      <c r="E482" s="436"/>
      <c r="F482" s="436"/>
      <c r="G482" s="437"/>
    </row>
    <row r="483" spans="2:7" ht="15" customHeight="1" thickBot="1">
      <c r="B483" s="438"/>
      <c r="C483" s="439"/>
      <c r="D483" s="439"/>
      <c r="E483" s="439"/>
      <c r="F483" s="439"/>
      <c r="G483" s="440"/>
    </row>
    <row r="484" spans="2:7">
      <c r="B484" s="431" t="s">
        <v>8</v>
      </c>
      <c r="C484" s="432"/>
      <c r="D484" s="433" t="s">
        <v>9</v>
      </c>
      <c r="E484" s="433"/>
      <c r="F484" s="433"/>
      <c r="G484" s="432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30" t="str">
        <f>AÑO!A45</f>
        <v>OTROS</v>
      </c>
      <c r="C502" s="436"/>
      <c r="D502" s="436"/>
      <c r="E502" s="436"/>
      <c r="F502" s="436"/>
      <c r="G502" s="437"/>
    </row>
    <row r="503" spans="2:7" ht="15" customHeight="1" thickBot="1">
      <c r="B503" s="438"/>
      <c r="C503" s="439"/>
      <c r="D503" s="439"/>
      <c r="E503" s="439"/>
      <c r="F503" s="439"/>
      <c r="G503" s="440"/>
    </row>
    <row r="504" spans="2:7">
      <c r="B504" s="431" t="s">
        <v>8</v>
      </c>
      <c r="C504" s="432"/>
      <c r="D504" s="433" t="s">
        <v>9</v>
      </c>
      <c r="E504" s="433"/>
      <c r="F504" s="433"/>
      <c r="G504" s="432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2" location="Trimestre!C39:F40" display="TELÉFONO" xr:uid="{D31334B5-D6C8-4538-BF68-AE96745C35DA}"/>
    <hyperlink ref="I22:L23" location="AÑO!G7:J17" display="INGRESOS" xr:uid="{9E61AEC4-83E9-4FD5-B732-752BA5F1EC65}"/>
    <hyperlink ref="I2" location="Trimestre!C39:F40" display="TELÉFONO" xr:uid="{58C9ED0A-73D8-4054-84B3-CE44885FE2B8}"/>
    <hyperlink ref="I2:L3" location="AÑO!G4:J5" display="SALDO REAL" xr:uid="{E92293AD-71DA-4843-823E-DAC2222AB22F}"/>
    <hyperlink ref="B2" location="Trimestre!C25:F26" display="HIPOTECA" xr:uid="{4441288C-78DF-4FBC-9A32-F911DADA636F}"/>
    <hyperlink ref="B2:G3" location="AÑO!G20:J20" display="AÑO!G20:J20" xr:uid="{E4AEC871-0A45-4378-A5E8-9EE1B9EF4AC3}"/>
    <hyperlink ref="B22" location="Trimestre!C25:F26" display="HIPOTECA" xr:uid="{5BAC7C81-4F71-498A-9274-5C93AB41D87F}"/>
    <hyperlink ref="B22:G23" location="AÑO!G21:J21" display="AÑO!G21:J21" xr:uid="{BB4CE97C-8B81-4204-8DC0-037336CB9BC4}"/>
    <hyperlink ref="B42" location="Trimestre!C25:F26" display="HIPOTECA" xr:uid="{C85666C7-8C94-4FE6-A9AB-66AEA5DE9DB5}"/>
    <hyperlink ref="B42:G43" location="AÑO!G22:J22" display="AÑO!G22:J22" xr:uid="{93B39A54-2365-4AEC-A2EA-12F8ED063AC2}"/>
    <hyperlink ref="B62" location="Trimestre!C25:F26" display="HIPOTECA" xr:uid="{E9A32CB1-9C38-4887-BCEA-F49C06C6060E}"/>
    <hyperlink ref="B62:G63" location="AÑO!G23:J23" display="AÑO!G23:J23" xr:uid="{C52DABE7-6E14-471D-A84F-142E7FB330FE}"/>
    <hyperlink ref="B82" location="Trimestre!C25:F26" display="HIPOTECA" xr:uid="{CBEA04EF-C8BF-4438-9079-CD72A1B1B5EF}"/>
    <hyperlink ref="B82:G83" location="AÑO!G24:J24" display="AÑO!G24:J24" xr:uid="{D529F857-B1C9-489F-8B61-B49F248759FA}"/>
    <hyperlink ref="B102" location="Trimestre!C25:F26" display="HIPOTECA" xr:uid="{B9FF8374-8F22-4114-83C3-EF575CC6C1A5}"/>
    <hyperlink ref="B102:G103" location="AÑO!G25:J25" display="AÑO!G25:J25" xr:uid="{BD2956E2-BAA9-44FB-A3F1-982CCFDA8723}"/>
    <hyperlink ref="B122" location="Trimestre!C25:F26" display="HIPOTECA" xr:uid="{CC2309D9-2129-4D35-8509-0B9316376E6F}"/>
    <hyperlink ref="B122:G123" location="AÑO!G26:J26" display="AÑO!G26:J26" xr:uid="{68047C05-5A41-4D95-958B-97BA75758F4E}"/>
    <hyperlink ref="B142" location="Trimestre!C25:F26" display="HIPOTECA" xr:uid="{F2CDA816-C241-4865-9F27-C9A54EA9F59A}"/>
    <hyperlink ref="B142:G143" location="AÑO!G27:J27" display="AÑO!G27:J27" xr:uid="{52AAE5F5-C650-4D35-A948-A87CA291FCD3}"/>
    <hyperlink ref="B162" location="Trimestre!C25:F26" display="HIPOTECA" xr:uid="{85359570-E44C-42AE-8FA8-99D01906434F}"/>
    <hyperlink ref="B162:G163" location="AÑO!G28:J28" display="AÑO!G28:J28" xr:uid="{D704C92F-B443-4C59-B01A-9C9E245D0E28}"/>
    <hyperlink ref="B182" location="Trimestre!C25:F26" display="HIPOTECA" xr:uid="{4E0FE76F-02AA-4BA5-BFC6-F4F1C4C6CDBF}"/>
    <hyperlink ref="B182:G183" location="AÑO!G29:J29" display="AÑO!G29:J29" xr:uid="{5C43FB49-407B-44F9-98D0-F32CA115FB22}"/>
    <hyperlink ref="B202" location="Trimestre!C25:F26" display="HIPOTECA" xr:uid="{09074835-F058-465F-85AA-B4B0479E02FB}"/>
    <hyperlink ref="B202:G203" location="AÑO!G30:J30" display="AÑO!G30:J30" xr:uid="{BE5FDD12-8C91-4385-8926-63156E0775CD}"/>
    <hyperlink ref="B222" location="Trimestre!C25:F26" display="HIPOTECA" xr:uid="{09AE7AF4-2BC2-461E-920C-9FE51AEBBD35}"/>
    <hyperlink ref="B222:G223" location="AÑO!G31:J31" display="AÑO!G31:J31" xr:uid="{98949D59-FB3C-4A9D-9763-FB8BB048211A}"/>
    <hyperlink ref="B242" location="Trimestre!C25:F26" display="HIPOTECA" xr:uid="{81EB3B1E-88CE-4BEA-A70F-3E781DDB33CC}"/>
    <hyperlink ref="B242:G243" location="AÑO!G32:J32" display="AÑO!G32:J32" xr:uid="{B99E796C-4022-4CA7-AE9A-690CB727B963}"/>
    <hyperlink ref="B262" location="Trimestre!C25:F26" display="HIPOTECA" xr:uid="{69F09221-AEFC-47DA-9E17-848CBF01019C}"/>
    <hyperlink ref="B262:G263" location="AÑO!G33:J33" display="AÑO!G33:J33" xr:uid="{128A6AEF-B9CF-4315-9D69-BD2F617FEE30}"/>
    <hyperlink ref="B282" location="Trimestre!C25:F26" display="HIPOTECA" xr:uid="{FC41BC75-570D-4E50-A845-C86605848F7A}"/>
    <hyperlink ref="B282:G283" location="AÑO!G34:J34" display="AÑO!G34:J34" xr:uid="{3A7D4AC9-FB6A-4969-8F63-62409DAEC5BA}"/>
    <hyperlink ref="B302" location="Trimestre!C25:F26" display="HIPOTECA" xr:uid="{A8CF443F-46B9-47BB-A358-E94A1F6F53A8}"/>
    <hyperlink ref="B302:G303" location="AÑO!G35:J35" display="AÑO!G35:J35" xr:uid="{69D6D822-306C-412D-BC94-7B715FB5EBFE}"/>
    <hyperlink ref="B322" location="Trimestre!C25:F26" display="HIPOTECA" xr:uid="{769CE2CE-1246-487F-9BC2-9FF3258291FD}"/>
    <hyperlink ref="B322:G323" location="AÑO!G36:J36" display="AÑO!G36:J36" xr:uid="{A5468283-C0F9-4DE7-92CC-A61BB29FD393}"/>
    <hyperlink ref="B342" location="Trimestre!C25:F26" display="HIPOTECA" xr:uid="{F229BCFD-E7C2-44B8-B725-4CA562F397BD}"/>
    <hyperlink ref="B342:G343" location="AÑO!G37:J37" display="AÑO!G37:J37" xr:uid="{ED96A078-8F10-44C0-9B26-1437E69412DE}"/>
    <hyperlink ref="B362" location="Trimestre!C25:F26" display="HIPOTECA" xr:uid="{17BD8313-2933-47CD-A2DE-BC3DD2F3F374}"/>
    <hyperlink ref="B362:G363" location="AÑO!G38:J38" display="AÑO!G38:J38" xr:uid="{BE9D05C8-2F83-45E6-9387-3ACE7D862690}"/>
    <hyperlink ref="B382" location="Trimestre!C25:F26" display="HIPOTECA" xr:uid="{36C02D59-458C-48E3-8BF7-DF12ABA1340F}"/>
    <hyperlink ref="B382:G383" location="AÑO!G39:J39" display="AÑO!G39:J39" xr:uid="{ABC9F9AC-3D0D-45AA-AF02-59BAE540A33B}"/>
    <hyperlink ref="B402" location="Trimestre!C25:F26" display="HIPOTECA" xr:uid="{24A7B0AC-C186-417B-92A7-60229C42338C}"/>
    <hyperlink ref="B402:G403" location="AÑO!G40:J40" display="AÑO!G40:J40" xr:uid="{A947F1CE-81E6-410B-AD40-931CC5F2D8C0}"/>
    <hyperlink ref="B422" location="Trimestre!C25:F26" display="HIPOTECA" xr:uid="{6FA37AE7-F0E7-4E7C-B7B6-4A34F3406DF5}"/>
    <hyperlink ref="B422:G423" location="AÑO!G41:J41" display="AÑO!G41:J41" xr:uid="{297352D2-57EC-419D-952F-A9FF59624081}"/>
    <hyperlink ref="B442" location="Trimestre!C25:F26" display="HIPOTECA" xr:uid="{1BCDE5F0-AE75-4C4A-A2EA-40450A7ED492}"/>
    <hyperlink ref="B442:G443" location="AÑO!G42:J42" display="AÑO!G42:J42" xr:uid="{22F08A00-2D72-4100-835F-90772087AFEA}"/>
    <hyperlink ref="B462" location="Trimestre!C25:F26" display="HIPOTECA" xr:uid="{AB2196AD-DADD-45C1-A71D-C616F5F2E4D2}"/>
    <hyperlink ref="B462:G463" location="AÑO!G43:J43" display="AÑO!G43:J43" xr:uid="{F0BDD260-748D-4345-BFAD-425632FE6F5D}"/>
    <hyperlink ref="B482" location="Trimestre!C25:F26" display="HIPOTECA" xr:uid="{08474700-1021-4993-92D2-F5B030D6FFBC}"/>
    <hyperlink ref="B482:G483" location="AÑO!G44:J44" display="AÑO!G44:J44" xr:uid="{DCE5DA51-BDC9-4439-AE87-C86E488B686C}"/>
    <hyperlink ref="B502" location="Trimestre!C25:F26" display="HIPOTECA" xr:uid="{64DB8274-9CBD-4CC4-A59C-631AE354593F}"/>
    <hyperlink ref="B502:G503" location="AÑO!G45:J45" display="AÑO!G45:J45" xr:uid="{323974D6-939B-46EB-833A-C54D42FDC118}"/>
  </hyperlink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V520"/>
  <sheetViews>
    <sheetView workbookViewId="0">
      <selection activeCell="B1" sqref="B1:L1048576"/>
    </sheetView>
  </sheetViews>
  <sheetFormatPr defaultColWidth="11.42578125" defaultRowHeight="15"/>
  <cols>
    <col min="1" max="1" width="11.42578125" style="89"/>
    <col min="2" max="2" width="10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194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30" t="str">
        <f>AÑO!A20</f>
        <v>Cártama Gastos</v>
      </c>
      <c r="C2" s="419"/>
      <c r="D2" s="419"/>
      <c r="E2" s="419"/>
      <c r="F2" s="419"/>
      <c r="G2" s="420"/>
      <c r="H2" s="222"/>
      <c r="I2" s="418" t="s">
        <v>4</v>
      </c>
      <c r="J2" s="419"/>
      <c r="K2" s="419"/>
      <c r="L2" s="420"/>
      <c r="M2" s="1"/>
      <c r="N2" s="1"/>
      <c r="R2" s="3"/>
    </row>
    <row r="3" spans="1:22" ht="16.5" thickBot="1">
      <c r="A3" s="1"/>
      <c r="B3" s="421"/>
      <c r="C3" s="422"/>
      <c r="D3" s="422"/>
      <c r="E3" s="422"/>
      <c r="F3" s="422"/>
      <c r="G3" s="423"/>
      <c r="H3" s="1"/>
      <c r="I3" s="421"/>
      <c r="J3" s="422"/>
      <c r="K3" s="422"/>
      <c r="L3" s="423"/>
      <c r="M3" s="1"/>
      <c r="N3" s="1"/>
      <c r="R3" s="3"/>
    </row>
    <row r="4" spans="1:22" ht="15.75">
      <c r="A4" s="1"/>
      <c r="B4" s="431" t="s">
        <v>8</v>
      </c>
      <c r="C4" s="432"/>
      <c r="D4" s="433" t="s">
        <v>9</v>
      </c>
      <c r="E4" s="433"/>
      <c r="F4" s="433"/>
      <c r="G4" s="432"/>
      <c r="H4" s="222"/>
      <c r="I4" s="40" t="s">
        <v>57</v>
      </c>
      <c r="J4" s="105" t="s">
        <v>58</v>
      </c>
      <c r="K4" s="424" t="s">
        <v>59</v>
      </c>
      <c r="L4" s="425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26"/>
      <c r="L5" s="427"/>
      <c r="M5" s="1"/>
      <c r="N5" s="1"/>
      <c r="R5" s="3"/>
    </row>
    <row r="6" spans="1:22" ht="15.75">
      <c r="A6" s="112">
        <f>'10'!A6+(B6-SUM(D6:F6))</f>
        <v>2010.9299999999998</v>
      </c>
      <c r="B6" s="133">
        <v>399.59</v>
      </c>
      <c r="C6" s="19" t="s">
        <v>181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428">
        <v>550</v>
      </c>
      <c r="L6" s="429"/>
      <c r="M6" s="1" t="s">
        <v>165</v>
      </c>
      <c r="N6" s="1"/>
      <c r="R6" s="3"/>
    </row>
    <row r="7" spans="1:22" ht="15.75">
      <c r="A7" s="112">
        <f>'10'!A7+(B7-SUM(D7:F7))</f>
        <v>447.75</v>
      </c>
      <c r="B7" s="134">
        <v>70.180000000000007</v>
      </c>
      <c r="C7" s="16" t="s">
        <v>200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428"/>
      <c r="L7" s="429"/>
      <c r="M7" s="1"/>
      <c r="N7" s="1"/>
      <c r="R7" s="3"/>
    </row>
    <row r="8" spans="1:22" ht="15.75">
      <c r="A8" s="112">
        <f>'10'!A8+(B8-SUM(D8:F8))</f>
        <v>9.0000000000017621E-2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28">
        <v>7000</v>
      </c>
      <c r="L8" s="429"/>
      <c r="M8" s="1"/>
      <c r="N8" s="1"/>
      <c r="R8" s="3"/>
    </row>
    <row r="9" spans="1:22" ht="15.75">
      <c r="A9" s="112">
        <f>'10'!A9+(B9-SUM(D9:F9))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428">
        <v>659.77</v>
      </c>
      <c r="L9" s="429"/>
      <c r="M9" s="1"/>
      <c r="N9" s="1"/>
      <c r="R9" s="3"/>
    </row>
    <row r="10" spans="1:22" ht="15.75">
      <c r="A10" s="112">
        <f>'10'!A10+(B10-SUM(D10:F10))</f>
        <v>60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428">
        <v>1800.04</v>
      </c>
      <c r="L10" s="429"/>
      <c r="M10" s="1" t="s">
        <v>156</v>
      </c>
      <c r="N10" s="1"/>
      <c r="R10" s="3"/>
    </row>
    <row r="11" spans="1:22" ht="15.75">
      <c r="A11" s="112">
        <f>'10'!A11+(B11-SUM(D11:F11))</f>
        <v>120.91000000000001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428"/>
      <c r="L11" s="429"/>
      <c r="M11" s="1"/>
      <c r="N11" s="1"/>
      <c r="R11" s="3"/>
    </row>
    <row r="12" spans="1:22" ht="15.75">
      <c r="A12" s="112">
        <f>'10'!A12+(B12-SUM(D12:F12))</f>
        <v>313.04000000000002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28">
        <v>5092.08</v>
      </c>
      <c r="L12" s="429"/>
      <c r="M12" s="92"/>
      <c r="N12" s="1"/>
      <c r="R12" s="3"/>
    </row>
    <row r="13" spans="1:22" ht="15.75">
      <c r="A13" s="112">
        <f>'10'!A13+(B13-SUM(D13:F13))</f>
        <v>58.5</v>
      </c>
      <c r="B13" s="134">
        <v>7</v>
      </c>
      <c r="C13" s="16" t="s">
        <v>201</v>
      </c>
      <c r="D13" s="137"/>
      <c r="E13" s="138"/>
      <c r="F13" s="138"/>
      <c r="G13" s="16"/>
      <c r="H13" s="1"/>
      <c r="I13" s="108"/>
      <c r="J13" s="107"/>
      <c r="K13" s="428"/>
      <c r="L13" s="429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8"/>
      <c r="L14" s="429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8"/>
      <c r="L15" s="429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8"/>
      <c r="L16" s="429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8"/>
      <c r="L17" s="429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4"/>
      <c r="L18" s="435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34">
        <f>SUM(K5:K18)</f>
        <v>15101.890000000001</v>
      </c>
      <c r="L19" s="435"/>
      <c r="M19" s="1"/>
      <c r="N19" s="1"/>
      <c r="R19" s="3"/>
    </row>
    <row r="20" spans="1:18" ht="16.5" thickBot="1">
      <c r="A20" s="112">
        <f>SUM(A6:A15)</f>
        <v>3011.22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30" t="str">
        <f>AÑO!A21</f>
        <v>Waterloo</v>
      </c>
      <c r="C22" s="419"/>
      <c r="D22" s="419"/>
      <c r="E22" s="419"/>
      <c r="F22" s="419"/>
      <c r="G22" s="420"/>
      <c r="H22" s="1"/>
      <c r="I22" s="418" t="s">
        <v>6</v>
      </c>
      <c r="J22" s="419"/>
      <c r="K22" s="419"/>
      <c r="L22" s="420"/>
      <c r="M22" s="1"/>
      <c r="R22" s="3"/>
    </row>
    <row r="23" spans="1:18" ht="16.149999999999999" customHeight="1" thickBot="1">
      <c r="A23" s="1"/>
      <c r="B23" s="421"/>
      <c r="C23" s="422"/>
      <c r="D23" s="422"/>
      <c r="E23" s="422"/>
      <c r="F23" s="422"/>
      <c r="G23" s="423"/>
      <c r="H23" s="1"/>
      <c r="I23" s="421"/>
      <c r="J23" s="422"/>
      <c r="K23" s="422"/>
      <c r="L23" s="423"/>
      <c r="M23" s="1"/>
      <c r="R23" s="3"/>
    </row>
    <row r="24" spans="1:18" ht="15.75">
      <c r="A24" s="1"/>
      <c r="B24" s="431" t="s">
        <v>8</v>
      </c>
      <c r="C24" s="432"/>
      <c r="D24" s="433" t="s">
        <v>9</v>
      </c>
      <c r="E24" s="433"/>
      <c r="F24" s="433"/>
      <c r="G24" s="432"/>
      <c r="H24" s="1"/>
      <c r="I24" s="40" t="s">
        <v>31</v>
      </c>
      <c r="J24" s="403" t="s">
        <v>87</v>
      </c>
      <c r="K24" s="404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05" t="str">
        <f>AÑO!A8</f>
        <v>Manolo Salario</v>
      </c>
      <c r="J25" s="408"/>
      <c r="K25" s="409"/>
      <c r="L25" s="198"/>
      <c r="M25" s="1"/>
      <c r="R25" s="3"/>
    </row>
    <row r="26" spans="1:18" ht="15.75">
      <c r="A26" s="112">
        <f>'10'!A26+(B26-SUM(D26:F26))</f>
        <v>3600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406"/>
      <c r="J26" s="410"/>
      <c r="K26" s="411"/>
      <c r="L26" s="199"/>
      <c r="M26" s="1"/>
      <c r="R26" s="3"/>
    </row>
    <row r="27" spans="1:18" ht="15.75">
      <c r="A27" s="112">
        <f>'10'!A27+(B27-SUM(D27:F27))</f>
        <v>734.04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406"/>
      <c r="J27" s="410"/>
      <c r="K27" s="411"/>
      <c r="L27" s="199"/>
      <c r="M27" s="1"/>
      <c r="R27" s="3"/>
    </row>
    <row r="28" spans="1:18" ht="15.75">
      <c r="A28" s="112">
        <f>'10'!A28+(B28-SUM(D28:F28))</f>
        <v>318.3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06"/>
      <c r="J28" s="410"/>
      <c r="K28" s="411"/>
      <c r="L28" s="199"/>
      <c r="M28" s="1"/>
      <c r="R28" s="3"/>
    </row>
    <row r="29" spans="1:18" ht="15.75">
      <c r="A29" s="112">
        <f>'10'!A29+(B29-SUM(D29:F29))</f>
        <v>73.53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414"/>
      <c r="J29" s="415"/>
      <c r="K29" s="416"/>
      <c r="L29" s="201"/>
      <c r="M29" s="1"/>
      <c r="R29" s="3"/>
    </row>
    <row r="30" spans="1:18" ht="15.75" customHeight="1">
      <c r="A30" s="112">
        <f>'10'!A30+(B30-SUM(D30:F30))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05" t="str">
        <f>AÑO!A9</f>
        <v>Rocío Salario</v>
      </c>
      <c r="J30" s="408"/>
      <c r="K30" s="409"/>
      <c r="L30" s="198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6"/>
      <c r="J31" s="410"/>
      <c r="K31" s="411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6"/>
      <c r="J32" s="410"/>
      <c r="K32" s="411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6"/>
      <c r="J33" s="410"/>
      <c r="K33" s="411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4"/>
      <c r="J34" s="415"/>
      <c r="K34" s="416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5" t="s">
        <v>218</v>
      </c>
      <c r="J35" s="408"/>
      <c r="K35" s="409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6"/>
      <c r="J36" s="410"/>
      <c r="K36" s="411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6"/>
      <c r="J37" s="410"/>
      <c r="K37" s="411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6"/>
      <c r="J38" s="410"/>
      <c r="K38" s="411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4"/>
      <c r="J39" s="415"/>
      <c r="K39" s="416"/>
      <c r="L39" s="201"/>
      <c r="M39" s="1"/>
      <c r="R39" s="3"/>
    </row>
    <row r="40" spans="1:18" ht="16.5" thickBot="1">
      <c r="A40" s="112">
        <f>SUM(A26:A35)</f>
        <v>4912.1499999999996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05" t="str">
        <f>AÑO!A11</f>
        <v>Finanazas</v>
      </c>
      <c r="J40" s="408"/>
      <c r="K40" s="409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6"/>
      <c r="J41" s="410"/>
      <c r="K41" s="411"/>
      <c r="L41" s="199"/>
      <c r="M41" s="1"/>
      <c r="R41" s="3"/>
    </row>
    <row r="42" spans="1:18" ht="15.6" customHeight="1">
      <c r="A42" s="1"/>
      <c r="B42" s="430" t="str">
        <f>AÑO!A22</f>
        <v>Comida+Limpieza</v>
      </c>
      <c r="C42" s="419"/>
      <c r="D42" s="419"/>
      <c r="E42" s="419"/>
      <c r="F42" s="419"/>
      <c r="G42" s="420"/>
      <c r="H42" s="1"/>
      <c r="I42" s="406"/>
      <c r="J42" s="410"/>
      <c r="K42" s="411"/>
      <c r="L42" s="199"/>
      <c r="M42" s="1"/>
      <c r="R42" s="3"/>
    </row>
    <row r="43" spans="1:18" ht="16.149999999999999" customHeight="1" thickBot="1">
      <c r="A43" s="1"/>
      <c r="B43" s="421"/>
      <c r="C43" s="422"/>
      <c r="D43" s="422"/>
      <c r="E43" s="422"/>
      <c r="F43" s="422"/>
      <c r="G43" s="423"/>
      <c r="H43" s="1"/>
      <c r="I43" s="406"/>
      <c r="J43" s="410"/>
      <c r="K43" s="411"/>
      <c r="L43" s="199"/>
      <c r="M43" s="1"/>
      <c r="R43" s="3"/>
    </row>
    <row r="44" spans="1:18" ht="15.75">
      <c r="A44" s="1"/>
      <c r="B44" s="431" t="s">
        <v>8</v>
      </c>
      <c r="C44" s="432"/>
      <c r="D44" s="433" t="s">
        <v>9</v>
      </c>
      <c r="E44" s="433"/>
      <c r="F44" s="433"/>
      <c r="G44" s="432"/>
      <c r="H44" s="1"/>
      <c r="I44" s="414"/>
      <c r="J44" s="415"/>
      <c r="K44" s="416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05" t="str">
        <f>AÑO!A12</f>
        <v>Regalos</v>
      </c>
      <c r="J45" s="408"/>
      <c r="K45" s="409"/>
      <c r="L45" s="198"/>
      <c r="M45" s="1"/>
      <c r="R45" s="3"/>
    </row>
    <row r="46" spans="1:18" ht="15.75">
      <c r="A46" s="1"/>
      <c r="B46" s="133">
        <v>462</v>
      </c>
      <c r="C46" s="19"/>
      <c r="D46" s="137"/>
      <c r="E46" s="138"/>
      <c r="F46" s="138"/>
      <c r="G46" s="30"/>
      <c r="H46" s="1"/>
      <c r="I46" s="406"/>
      <c r="J46" s="410"/>
      <c r="K46" s="411"/>
      <c r="L46" s="199"/>
      <c r="M46" s="1"/>
      <c r="R46" s="3"/>
    </row>
    <row r="47" spans="1:18" ht="15.75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406"/>
      <c r="J47" s="410"/>
      <c r="K47" s="411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406"/>
      <c r="J48" s="410"/>
      <c r="K48" s="411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414"/>
      <c r="J49" s="415"/>
      <c r="K49" s="416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405" t="str">
        <f>AÑO!A13</f>
        <v>Gubernamental</v>
      </c>
      <c r="J50" s="408"/>
      <c r="K50" s="409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406"/>
      <c r="J51" s="410"/>
      <c r="K51" s="411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06"/>
      <c r="J52" s="410"/>
      <c r="K52" s="411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06"/>
      <c r="J53" s="410"/>
      <c r="K53" s="411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14"/>
      <c r="J54" s="415"/>
      <c r="K54" s="416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05" t="str">
        <f>AÑO!A14</f>
        <v>Mutualite/DKV</v>
      </c>
      <c r="J55" s="408"/>
      <c r="K55" s="409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6"/>
      <c r="J56" s="410"/>
      <c r="K56" s="411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6"/>
      <c r="J57" s="410"/>
      <c r="K57" s="411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6"/>
      <c r="J58" s="410"/>
      <c r="K58" s="411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4"/>
      <c r="J59" s="415"/>
      <c r="K59" s="416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05" t="str">
        <f>AÑO!A15</f>
        <v>Alquiler Cartama</v>
      </c>
      <c r="J60" s="408"/>
      <c r="K60" s="409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6"/>
      <c r="J61" s="410"/>
      <c r="K61" s="411"/>
      <c r="L61" s="199"/>
      <c r="M61" s="1"/>
      <c r="R61" s="3"/>
    </row>
    <row r="62" spans="1:18" ht="15.6" customHeight="1">
      <c r="A62" s="1"/>
      <c r="B62" s="430" t="str">
        <f>AÑO!A23</f>
        <v>Ocio</v>
      </c>
      <c r="C62" s="419"/>
      <c r="D62" s="419"/>
      <c r="E62" s="419"/>
      <c r="F62" s="419"/>
      <c r="G62" s="420"/>
      <c r="H62" s="1"/>
      <c r="I62" s="406"/>
      <c r="J62" s="410"/>
      <c r="K62" s="411"/>
      <c r="L62" s="199"/>
      <c r="M62" s="1"/>
      <c r="R62" s="3"/>
    </row>
    <row r="63" spans="1:18" ht="16.149999999999999" customHeight="1" thickBot="1">
      <c r="A63" s="1"/>
      <c r="B63" s="421"/>
      <c r="C63" s="422"/>
      <c r="D63" s="422"/>
      <c r="E63" s="422"/>
      <c r="F63" s="422"/>
      <c r="G63" s="423"/>
      <c r="H63" s="1"/>
      <c r="I63" s="406"/>
      <c r="J63" s="410"/>
      <c r="K63" s="411"/>
      <c r="L63" s="199"/>
      <c r="M63" s="1"/>
      <c r="R63" s="3"/>
    </row>
    <row r="64" spans="1:18" ht="15.75">
      <c r="A64" s="1"/>
      <c r="B64" s="431" t="s">
        <v>8</v>
      </c>
      <c r="C64" s="432"/>
      <c r="D64" s="433" t="s">
        <v>9</v>
      </c>
      <c r="E64" s="433"/>
      <c r="F64" s="433"/>
      <c r="G64" s="432"/>
      <c r="H64" s="1"/>
      <c r="I64" s="414"/>
      <c r="J64" s="415"/>
      <c r="K64" s="416"/>
      <c r="L64" s="201"/>
      <c r="M64" s="1"/>
      <c r="R64" s="3"/>
    </row>
    <row r="65" spans="1:18" ht="15.75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05" t="str">
        <f>AÑO!A16</f>
        <v>Otros</v>
      </c>
      <c r="J65" s="408"/>
      <c r="K65" s="409"/>
      <c r="L65" s="198"/>
      <c r="M65" s="1"/>
      <c r="R65" s="3"/>
    </row>
    <row r="66" spans="1:18" ht="15.75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406"/>
      <c r="J66" s="410"/>
      <c r="K66" s="411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406"/>
      <c r="J67" s="410"/>
      <c r="K67" s="411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406"/>
      <c r="J68" s="410"/>
      <c r="K68" s="411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407"/>
      <c r="J69" s="412"/>
      <c r="K69" s="413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30" t="str">
        <f>AÑO!A24</f>
        <v>Transportes</v>
      </c>
      <c r="C82" s="419"/>
      <c r="D82" s="419"/>
      <c r="E82" s="419"/>
      <c r="F82" s="419"/>
      <c r="G82" s="420"/>
      <c r="H82" s="1"/>
      <c r="M82" s="1"/>
      <c r="R82" s="3"/>
    </row>
    <row r="83" spans="1:18" ht="16.149999999999999" customHeight="1" thickBot="1">
      <c r="A83" s="1"/>
      <c r="B83" s="421"/>
      <c r="C83" s="422"/>
      <c r="D83" s="422"/>
      <c r="E83" s="422"/>
      <c r="F83" s="422"/>
      <c r="G83" s="423"/>
      <c r="H83" s="1"/>
      <c r="M83" s="1"/>
      <c r="R83" s="3"/>
    </row>
    <row r="84" spans="1:18" ht="15.75">
      <c r="A84" s="1"/>
      <c r="B84" s="431" t="s">
        <v>8</v>
      </c>
      <c r="C84" s="432"/>
      <c r="D84" s="433" t="s">
        <v>9</v>
      </c>
      <c r="E84" s="433"/>
      <c r="F84" s="433"/>
      <c r="G84" s="432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202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30" t="str">
        <f>AÑO!A25</f>
        <v>Coche</v>
      </c>
      <c r="C102" s="419"/>
      <c r="D102" s="419"/>
      <c r="E102" s="419"/>
      <c r="F102" s="419"/>
      <c r="G102" s="420"/>
      <c r="H102" s="1"/>
      <c r="M102" s="1"/>
      <c r="R102" s="3"/>
    </row>
    <row r="103" spans="1:18" ht="16.149999999999999" customHeight="1" thickBot="1">
      <c r="A103" s="1"/>
      <c r="B103" s="421"/>
      <c r="C103" s="422"/>
      <c r="D103" s="422"/>
      <c r="E103" s="422"/>
      <c r="F103" s="422"/>
      <c r="G103" s="423"/>
      <c r="H103" s="1"/>
      <c r="M103" s="1"/>
      <c r="R103" s="3"/>
    </row>
    <row r="104" spans="1:18" ht="15.75">
      <c r="A104" s="1"/>
      <c r="B104" s="431" t="s">
        <v>8</v>
      </c>
      <c r="C104" s="432"/>
      <c r="D104" s="433" t="s">
        <v>9</v>
      </c>
      <c r="E104" s="433"/>
      <c r="F104" s="433"/>
      <c r="G104" s="432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'10'!A106+(B106-SUM(D106:F106))</f>
        <v>1033.8800000000001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'10'!A107+(B107-SUM(D107:F107))</f>
        <v>284.02000000000004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'10'!A108+(B108-SUM(D108:F108))</f>
        <v>683.09999999999991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'10'!A109+(B109-SUM(D109:F109))</f>
        <v>2749.2400000000016</v>
      </c>
      <c r="B109" s="134">
        <v>25.53</v>
      </c>
      <c r="C109" s="18" t="s">
        <v>205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2001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30" t="str">
        <f>AÑO!A26</f>
        <v>Teléfono</v>
      </c>
      <c r="C122" s="419"/>
      <c r="D122" s="419"/>
      <c r="E122" s="419"/>
      <c r="F122" s="419"/>
      <c r="G122" s="420"/>
      <c r="H122" s="1"/>
      <c r="M122" s="1"/>
      <c r="R122" s="3"/>
    </row>
    <row r="123" spans="1:18" ht="16.149999999999999" customHeight="1" thickBot="1">
      <c r="A123" s="1"/>
      <c r="B123" s="421"/>
      <c r="C123" s="422"/>
      <c r="D123" s="422"/>
      <c r="E123" s="422"/>
      <c r="F123" s="422"/>
      <c r="G123" s="423"/>
      <c r="H123" s="1"/>
      <c r="M123" s="1"/>
      <c r="R123" s="3"/>
    </row>
    <row r="124" spans="1:18" ht="15.75">
      <c r="A124" s="1"/>
      <c r="B124" s="431" t="s">
        <v>8</v>
      </c>
      <c r="C124" s="432"/>
      <c r="D124" s="433" t="s">
        <v>9</v>
      </c>
      <c r="E124" s="433"/>
      <c r="F124" s="433"/>
      <c r="G124" s="432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30" t="str">
        <f>AÑO!A27</f>
        <v>Gatos</v>
      </c>
      <c r="C142" s="419"/>
      <c r="D142" s="419"/>
      <c r="E142" s="419"/>
      <c r="F142" s="419"/>
      <c r="G142" s="420"/>
      <c r="H142" s="1"/>
      <c r="M142" s="1"/>
      <c r="R142" s="3"/>
    </row>
    <row r="143" spans="1:18" ht="16.149999999999999" customHeight="1" thickBot="1">
      <c r="A143" s="1"/>
      <c r="B143" s="421"/>
      <c r="C143" s="422"/>
      <c r="D143" s="422"/>
      <c r="E143" s="422"/>
      <c r="F143" s="422"/>
      <c r="G143" s="423"/>
      <c r="H143" s="1"/>
      <c r="M143" s="1"/>
      <c r="R143" s="3"/>
    </row>
    <row r="144" spans="1:18" ht="15.75">
      <c r="A144" s="1"/>
      <c r="B144" s="431" t="s">
        <v>8</v>
      </c>
      <c r="C144" s="432"/>
      <c r="D144" s="433" t="s">
        <v>9</v>
      </c>
      <c r="E144" s="433"/>
      <c r="F144" s="433"/>
      <c r="G144" s="432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30" t="str">
        <f>AÑO!A28</f>
        <v>Vacaciones</v>
      </c>
      <c r="C162" s="419"/>
      <c r="D162" s="419"/>
      <c r="E162" s="419"/>
      <c r="F162" s="419"/>
      <c r="G162" s="420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21"/>
      <c r="C163" s="422"/>
      <c r="D163" s="422"/>
      <c r="E163" s="422"/>
      <c r="F163" s="422"/>
      <c r="G163" s="423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31" t="s">
        <v>8</v>
      </c>
      <c r="C164" s="432"/>
      <c r="D164" s="433" t="s">
        <v>9</v>
      </c>
      <c r="E164" s="433"/>
      <c r="F164" s="433"/>
      <c r="G164" s="432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30" t="str">
        <f>AÑO!A29</f>
        <v>Ropa</v>
      </c>
      <c r="C182" s="419"/>
      <c r="D182" s="419"/>
      <c r="E182" s="419"/>
      <c r="F182" s="419"/>
      <c r="G182" s="42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21"/>
      <c r="C183" s="422"/>
      <c r="D183" s="422"/>
      <c r="E183" s="422"/>
      <c r="F183" s="422"/>
      <c r="G183" s="42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31" t="s">
        <v>8</v>
      </c>
      <c r="C184" s="432"/>
      <c r="D184" s="433" t="s">
        <v>9</v>
      </c>
      <c r="E184" s="433"/>
      <c r="F184" s="433"/>
      <c r="G184" s="432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30" t="str">
        <f>AÑO!A30</f>
        <v>Belleza</v>
      </c>
      <c r="C202" s="419"/>
      <c r="D202" s="419"/>
      <c r="E202" s="419"/>
      <c r="F202" s="419"/>
      <c r="G202" s="420"/>
    </row>
    <row r="203" spans="2:12" ht="15" customHeight="1" thickBot="1">
      <c r="B203" s="421"/>
      <c r="C203" s="422"/>
      <c r="D203" s="422"/>
      <c r="E203" s="422"/>
      <c r="F203" s="422"/>
      <c r="G203" s="423"/>
    </row>
    <row r="204" spans="2:12">
      <c r="B204" s="431" t="s">
        <v>8</v>
      </c>
      <c r="C204" s="432"/>
      <c r="D204" s="433" t="s">
        <v>9</v>
      </c>
      <c r="E204" s="433"/>
      <c r="F204" s="433"/>
      <c r="G204" s="432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30" t="str">
        <f>AÑO!A31</f>
        <v>Deportes</v>
      </c>
      <c r="C222" s="419"/>
      <c r="D222" s="419"/>
      <c r="E222" s="419"/>
      <c r="F222" s="419"/>
      <c r="G222" s="420"/>
    </row>
    <row r="223" spans="2:7" ht="15" customHeight="1" thickBot="1">
      <c r="B223" s="421"/>
      <c r="C223" s="422"/>
      <c r="D223" s="422"/>
      <c r="E223" s="422"/>
      <c r="F223" s="422"/>
      <c r="G223" s="423"/>
    </row>
    <row r="224" spans="2:7">
      <c r="B224" s="431" t="s">
        <v>8</v>
      </c>
      <c r="C224" s="432"/>
      <c r="D224" s="433" t="s">
        <v>9</v>
      </c>
      <c r="E224" s="433"/>
      <c r="F224" s="433"/>
      <c r="G224" s="432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430" t="str">
        <f>AÑO!A32</f>
        <v>Hogar</v>
      </c>
      <c r="C242" s="419"/>
      <c r="D242" s="419"/>
      <c r="E242" s="419"/>
      <c r="F242" s="419"/>
      <c r="G242" s="420"/>
    </row>
    <row r="243" spans="2:7" ht="15" customHeight="1" thickBot="1">
      <c r="B243" s="421"/>
      <c r="C243" s="422"/>
      <c r="D243" s="422"/>
      <c r="E243" s="422"/>
      <c r="F243" s="422"/>
      <c r="G243" s="423"/>
    </row>
    <row r="244" spans="2:7" ht="15" customHeight="1">
      <c r="B244" s="431" t="s">
        <v>8</v>
      </c>
      <c r="C244" s="432"/>
      <c r="D244" s="433" t="s">
        <v>9</v>
      </c>
      <c r="E244" s="433"/>
      <c r="F244" s="433"/>
      <c r="G244" s="432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430" t="str">
        <f>AÑO!A33</f>
        <v>Formación</v>
      </c>
      <c r="C262" s="419"/>
      <c r="D262" s="419"/>
      <c r="E262" s="419"/>
      <c r="F262" s="419"/>
      <c r="G262" s="420"/>
    </row>
    <row r="263" spans="2:7" ht="15" customHeight="1" thickBot="1">
      <c r="B263" s="421"/>
      <c r="C263" s="422"/>
      <c r="D263" s="422"/>
      <c r="E263" s="422"/>
      <c r="F263" s="422"/>
      <c r="G263" s="423"/>
    </row>
    <row r="264" spans="2:7">
      <c r="B264" s="431" t="s">
        <v>8</v>
      </c>
      <c r="C264" s="432"/>
      <c r="D264" s="433" t="s">
        <v>9</v>
      </c>
      <c r="E264" s="433"/>
      <c r="F264" s="433"/>
      <c r="G264" s="432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430" t="str">
        <f>AÑO!A34</f>
        <v>Regalos</v>
      </c>
      <c r="C282" s="419"/>
      <c r="D282" s="419"/>
      <c r="E282" s="419"/>
      <c r="F282" s="419"/>
      <c r="G282" s="420"/>
    </row>
    <row r="283" spans="2:8" ht="15" customHeight="1" thickBot="1">
      <c r="B283" s="421"/>
      <c r="C283" s="422"/>
      <c r="D283" s="422"/>
      <c r="E283" s="422"/>
      <c r="F283" s="422"/>
      <c r="G283" s="423"/>
    </row>
    <row r="284" spans="2:8">
      <c r="B284" s="431" t="s">
        <v>8</v>
      </c>
      <c r="C284" s="432"/>
      <c r="D284" s="433" t="s">
        <v>9</v>
      </c>
      <c r="E284" s="433"/>
      <c r="F284" s="433"/>
      <c r="G284" s="432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30" t="str">
        <f>AÑO!A35</f>
        <v>Salud</v>
      </c>
      <c r="C302" s="419"/>
      <c r="D302" s="419"/>
      <c r="E302" s="419"/>
      <c r="F302" s="419"/>
      <c r="G302" s="420"/>
    </row>
    <row r="303" spans="2:8" ht="15" customHeight="1" thickBot="1">
      <c r="B303" s="421"/>
      <c r="C303" s="422"/>
      <c r="D303" s="422"/>
      <c r="E303" s="422"/>
      <c r="F303" s="422"/>
      <c r="G303" s="423"/>
    </row>
    <row r="304" spans="2:8">
      <c r="B304" s="431" t="s">
        <v>8</v>
      </c>
      <c r="C304" s="432"/>
      <c r="D304" s="433" t="s">
        <v>9</v>
      </c>
      <c r="E304" s="433"/>
      <c r="F304" s="433"/>
      <c r="G304" s="432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100</v>
      </c>
      <c r="C306" s="19" t="s">
        <v>172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430" t="str">
        <f>AÑO!A36</f>
        <v>Nenas</v>
      </c>
      <c r="C322" s="419"/>
      <c r="D322" s="419"/>
      <c r="E322" s="419"/>
      <c r="F322" s="419"/>
      <c r="G322" s="420"/>
    </row>
    <row r="323" spans="2:7" ht="15" customHeight="1" thickBot="1">
      <c r="B323" s="421"/>
      <c r="C323" s="422"/>
      <c r="D323" s="422"/>
      <c r="E323" s="422"/>
      <c r="F323" s="422"/>
      <c r="G323" s="423"/>
    </row>
    <row r="324" spans="2:7">
      <c r="B324" s="431" t="s">
        <v>8</v>
      </c>
      <c r="C324" s="432"/>
      <c r="D324" s="433" t="s">
        <v>9</v>
      </c>
      <c r="E324" s="433"/>
      <c r="F324" s="433"/>
      <c r="G324" s="432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430" t="str">
        <f>AÑO!A37</f>
        <v>Impuestos</v>
      </c>
      <c r="C342" s="419"/>
      <c r="D342" s="419"/>
      <c r="E342" s="419"/>
      <c r="F342" s="419"/>
      <c r="G342" s="420"/>
    </row>
    <row r="343" spans="2:7" ht="15" customHeight="1" thickBot="1">
      <c r="B343" s="421"/>
      <c r="C343" s="422"/>
      <c r="D343" s="422"/>
      <c r="E343" s="422"/>
      <c r="F343" s="422"/>
      <c r="G343" s="423"/>
    </row>
    <row r="344" spans="2:7">
      <c r="B344" s="431" t="s">
        <v>8</v>
      </c>
      <c r="C344" s="432"/>
      <c r="D344" s="433" t="s">
        <v>9</v>
      </c>
      <c r="E344" s="433"/>
      <c r="F344" s="433"/>
      <c r="G344" s="432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199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430" t="str">
        <f>AÑO!A38</f>
        <v>Gastos Curros</v>
      </c>
      <c r="C362" s="419"/>
      <c r="D362" s="419"/>
      <c r="E362" s="419"/>
      <c r="F362" s="419"/>
      <c r="G362" s="420"/>
    </row>
    <row r="363" spans="2:7" ht="15" customHeight="1" thickBot="1">
      <c r="B363" s="421"/>
      <c r="C363" s="422"/>
      <c r="D363" s="422"/>
      <c r="E363" s="422"/>
      <c r="F363" s="422"/>
      <c r="G363" s="423"/>
    </row>
    <row r="364" spans="2:7">
      <c r="B364" s="431" t="s">
        <v>8</v>
      </c>
      <c r="C364" s="432"/>
      <c r="D364" s="433" t="s">
        <v>9</v>
      </c>
      <c r="E364" s="433"/>
      <c r="F364" s="433"/>
      <c r="G364" s="432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30" t="str">
        <f>AÑO!A39</f>
        <v>Dreamed Holidays</v>
      </c>
      <c r="C382" s="419"/>
      <c r="D382" s="419"/>
      <c r="E382" s="419"/>
      <c r="F382" s="419"/>
      <c r="G382" s="420"/>
    </row>
    <row r="383" spans="2:7" ht="15" customHeight="1" thickBot="1">
      <c r="B383" s="421"/>
      <c r="C383" s="422"/>
      <c r="D383" s="422"/>
      <c r="E383" s="422"/>
      <c r="F383" s="422"/>
      <c r="G383" s="423"/>
    </row>
    <row r="384" spans="2:7">
      <c r="B384" s="431" t="s">
        <v>8</v>
      </c>
      <c r="C384" s="432"/>
      <c r="D384" s="433" t="s">
        <v>9</v>
      </c>
      <c r="E384" s="433"/>
      <c r="F384" s="433"/>
      <c r="G384" s="432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30" t="str">
        <f>AÑO!A40</f>
        <v>Financieros</v>
      </c>
      <c r="C402" s="419"/>
      <c r="D402" s="419"/>
      <c r="E402" s="419"/>
      <c r="F402" s="419"/>
      <c r="G402" s="420"/>
    </row>
    <row r="403" spans="2:7" ht="15" customHeight="1" thickBot="1">
      <c r="B403" s="421"/>
      <c r="C403" s="422"/>
      <c r="D403" s="422"/>
      <c r="E403" s="422"/>
      <c r="F403" s="422"/>
      <c r="G403" s="423"/>
    </row>
    <row r="404" spans="2:7">
      <c r="B404" s="431" t="s">
        <v>8</v>
      </c>
      <c r="C404" s="432"/>
      <c r="D404" s="433" t="s">
        <v>9</v>
      </c>
      <c r="E404" s="433"/>
      <c r="F404" s="433"/>
      <c r="G404" s="432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30" t="str">
        <f>AÑO!A41</f>
        <v>Ahorros Colchón</v>
      </c>
      <c r="C422" s="436"/>
      <c r="D422" s="436"/>
      <c r="E422" s="436"/>
      <c r="F422" s="436"/>
      <c r="G422" s="437"/>
    </row>
    <row r="423" spans="1:7" ht="15" customHeight="1" thickBot="1">
      <c r="B423" s="438"/>
      <c r="C423" s="439"/>
      <c r="D423" s="439"/>
      <c r="E423" s="439"/>
      <c r="F423" s="439"/>
      <c r="G423" s="440"/>
    </row>
    <row r="424" spans="1:7">
      <c r="B424" s="431" t="s">
        <v>8</v>
      </c>
      <c r="C424" s="432"/>
      <c r="D424" s="433" t="s">
        <v>9</v>
      </c>
      <c r="E424" s="433"/>
      <c r="F424" s="433"/>
      <c r="G424" s="432"/>
    </row>
    <row r="425" spans="1:7">
      <c r="A425" s="113">
        <f>AÑO!AQ17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A425 -A426</f>
        <v>-3900</v>
      </c>
      <c r="C426" s="19" t="s">
        <v>198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30" t="str">
        <f>AÑO!A42</f>
        <v>Dinero Bloqueado</v>
      </c>
      <c r="C442" s="436"/>
      <c r="D442" s="436"/>
      <c r="E442" s="436"/>
      <c r="F442" s="436"/>
      <c r="G442" s="437"/>
    </row>
    <row r="443" spans="2:7" ht="15" customHeight="1" thickBot="1">
      <c r="B443" s="438"/>
      <c r="C443" s="439"/>
      <c r="D443" s="439"/>
      <c r="E443" s="439"/>
      <c r="F443" s="439"/>
      <c r="G443" s="440"/>
    </row>
    <row r="444" spans="2:7">
      <c r="B444" s="431" t="s">
        <v>8</v>
      </c>
      <c r="C444" s="432"/>
      <c r="D444" s="433" t="s">
        <v>9</v>
      </c>
      <c r="E444" s="433"/>
      <c r="F444" s="433"/>
      <c r="G444" s="432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30" t="str">
        <f>AÑO!A43</f>
        <v>Cartama Finanazas</v>
      </c>
      <c r="C462" s="436"/>
      <c r="D462" s="436"/>
      <c r="E462" s="436"/>
      <c r="F462" s="436"/>
      <c r="G462" s="437"/>
    </row>
    <row r="463" spans="2:7" ht="15" customHeight="1" thickBot="1">
      <c r="B463" s="438"/>
      <c r="C463" s="439"/>
      <c r="D463" s="439"/>
      <c r="E463" s="439"/>
      <c r="F463" s="439"/>
      <c r="G463" s="440"/>
    </row>
    <row r="464" spans="2:7">
      <c r="B464" s="431" t="s">
        <v>8</v>
      </c>
      <c r="C464" s="432"/>
      <c r="D464" s="433" t="s">
        <v>9</v>
      </c>
      <c r="E464" s="433"/>
      <c r="F464" s="433"/>
      <c r="G464" s="432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'10'!A466+(B466-SUM(D466:F466))</f>
        <v>75</v>
      </c>
      <c r="B466" s="134">
        <v>25</v>
      </c>
      <c r="C466" s="16" t="s">
        <v>174</v>
      </c>
      <c r="D466" s="137"/>
      <c r="E466" s="138"/>
      <c r="F466" s="138"/>
      <c r="G466" s="16"/>
    </row>
    <row r="467" spans="1:7" ht="15.75">
      <c r="A467" s="112">
        <f>'10'!A467+(B467-SUM(D467:F467))</f>
        <v>585.23</v>
      </c>
      <c r="B467" s="134">
        <v>20</v>
      </c>
      <c r="C467" s="16" t="s">
        <v>185</v>
      </c>
      <c r="D467" s="137"/>
      <c r="E467" s="138"/>
      <c r="F467" s="138"/>
      <c r="G467" s="16"/>
    </row>
    <row r="468" spans="1:7" ht="15.75">
      <c r="A468" s="112">
        <f>'10'!A468+(B468-SUM(D468:F468))</f>
        <v>198.4</v>
      </c>
      <c r="B468" s="134">
        <v>5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858.63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30" t="str">
        <f>AÑO!A44</f>
        <v>NULO</v>
      </c>
      <c r="C482" s="436"/>
      <c r="D482" s="436"/>
      <c r="E482" s="436"/>
      <c r="F482" s="436"/>
      <c r="G482" s="437"/>
    </row>
    <row r="483" spans="2:7" ht="15" customHeight="1" thickBot="1">
      <c r="B483" s="438"/>
      <c r="C483" s="439"/>
      <c r="D483" s="439"/>
      <c r="E483" s="439"/>
      <c r="F483" s="439"/>
      <c r="G483" s="440"/>
    </row>
    <row r="484" spans="2:7">
      <c r="B484" s="431" t="s">
        <v>8</v>
      </c>
      <c r="C484" s="432"/>
      <c r="D484" s="433" t="s">
        <v>9</v>
      </c>
      <c r="E484" s="433"/>
      <c r="F484" s="433"/>
      <c r="G484" s="432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30" t="str">
        <f>AÑO!A45</f>
        <v>OTROS</v>
      </c>
      <c r="C502" s="436"/>
      <c r="D502" s="436"/>
      <c r="E502" s="436"/>
      <c r="F502" s="436"/>
      <c r="G502" s="437"/>
    </row>
    <row r="503" spans="2:7" ht="15" customHeight="1" thickBot="1">
      <c r="B503" s="438"/>
      <c r="C503" s="439"/>
      <c r="D503" s="439"/>
      <c r="E503" s="439"/>
      <c r="F503" s="439"/>
      <c r="G503" s="440"/>
    </row>
    <row r="504" spans="2:7">
      <c r="B504" s="431" t="s">
        <v>8</v>
      </c>
      <c r="C504" s="432"/>
      <c r="D504" s="433" t="s">
        <v>9</v>
      </c>
      <c r="E504" s="433"/>
      <c r="F504" s="433"/>
      <c r="G504" s="432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2" location="Trimestre!C39:F40" display="TELÉFONO" xr:uid="{BBBCB373-1FB5-4F0D-AA74-5BBD10DD91A9}"/>
    <hyperlink ref="I22:L23" location="AÑO!G7:J17" display="INGRESOS" xr:uid="{E282AF9C-B591-4A52-9494-0A5F5A82E27E}"/>
    <hyperlink ref="I2" location="Trimestre!C39:F40" display="TELÉFONO" xr:uid="{30484E9B-E7F6-46A1-B784-C1418D479010}"/>
    <hyperlink ref="I2:L3" location="AÑO!G4:J5" display="SALDO REAL" xr:uid="{6CB45ADF-76A7-4747-8F76-7F47E5F323EF}"/>
    <hyperlink ref="B2" location="Trimestre!C25:F26" display="HIPOTECA" xr:uid="{6DB2B9F5-FF65-4123-8C85-765D9C034E14}"/>
    <hyperlink ref="B2:G3" location="AÑO!G20:J20" display="AÑO!G20:J20" xr:uid="{F11C72AB-192F-4475-8C12-F8BD41A8C9C5}"/>
    <hyperlink ref="B22" location="Trimestre!C25:F26" display="HIPOTECA" xr:uid="{21D11D4C-E9E3-4F9E-A9D7-171884BE47C1}"/>
    <hyperlink ref="B22:G23" location="AÑO!G21:J21" display="AÑO!G21:J21" xr:uid="{B1246B28-04E0-4D2F-9F15-CE4B56A845A5}"/>
    <hyperlink ref="B42" location="Trimestre!C25:F26" display="HIPOTECA" xr:uid="{27F6D88C-DF95-49D0-8EA4-58026914FB48}"/>
    <hyperlink ref="B42:G43" location="AÑO!G22:J22" display="AÑO!G22:J22" xr:uid="{E1C2B11E-2BB2-4347-B3C1-A70FC9BD0CBC}"/>
    <hyperlink ref="B62" location="Trimestre!C25:F26" display="HIPOTECA" xr:uid="{98B31D56-AD3C-48D3-B201-F93FC6842B86}"/>
    <hyperlink ref="B62:G63" location="AÑO!G23:J23" display="AÑO!G23:J23" xr:uid="{A381DDE4-4483-4C69-8CB5-555D93B8B7BF}"/>
    <hyperlink ref="B82" location="Trimestre!C25:F26" display="HIPOTECA" xr:uid="{C74AD30A-FE4E-4D86-BEF6-3C1988BFEBE2}"/>
    <hyperlink ref="B82:G83" location="AÑO!G24:J24" display="AÑO!G24:J24" xr:uid="{63760DED-1430-42E1-956D-10B359821847}"/>
    <hyperlink ref="B102" location="Trimestre!C25:F26" display="HIPOTECA" xr:uid="{8FB14B71-20AB-45D1-AC3F-CDD965DDDCCB}"/>
    <hyperlink ref="B102:G103" location="AÑO!G25:J25" display="AÑO!G25:J25" xr:uid="{D18757EB-E013-4FDA-814B-2EE97023C75B}"/>
    <hyperlink ref="B122" location="Trimestre!C25:F26" display="HIPOTECA" xr:uid="{77AFAEAD-4156-4CB3-8EC2-706A126FE1EE}"/>
    <hyperlink ref="B122:G123" location="AÑO!G26:J26" display="AÑO!G26:J26" xr:uid="{94E76C8B-BCCA-41CD-909A-92C576190B85}"/>
    <hyperlink ref="B142" location="Trimestre!C25:F26" display="HIPOTECA" xr:uid="{51F4F74E-046D-42DB-8CAD-1301337CD87B}"/>
    <hyperlink ref="B142:G143" location="AÑO!G27:J27" display="AÑO!G27:J27" xr:uid="{67D79098-1E06-435A-98ED-AF442B199629}"/>
    <hyperlink ref="B162" location="Trimestre!C25:F26" display="HIPOTECA" xr:uid="{1B5F42CC-E6FA-4FD5-89CB-5112A0648768}"/>
    <hyperlink ref="B162:G163" location="AÑO!G28:J28" display="AÑO!G28:J28" xr:uid="{E3DE2FF4-873A-49C6-AB3F-0DAD5F8B3B35}"/>
    <hyperlink ref="B182" location="Trimestre!C25:F26" display="HIPOTECA" xr:uid="{A115D2FC-B0D2-4A14-829E-B18548376522}"/>
    <hyperlink ref="B182:G183" location="AÑO!G29:J29" display="AÑO!G29:J29" xr:uid="{1320C1B9-D232-4D2F-ADD1-2637836A9504}"/>
    <hyperlink ref="B202" location="Trimestre!C25:F26" display="HIPOTECA" xr:uid="{2B086B7D-6445-4B40-949C-7D27C1FAC659}"/>
    <hyperlink ref="B202:G203" location="AÑO!G30:J30" display="AÑO!G30:J30" xr:uid="{8CD32F74-1A7A-400F-9076-C497773DF432}"/>
    <hyperlink ref="B222" location="Trimestre!C25:F26" display="HIPOTECA" xr:uid="{14479288-502B-4601-8E59-A6584FD4250E}"/>
    <hyperlink ref="B222:G223" location="AÑO!G31:J31" display="AÑO!G31:J31" xr:uid="{A4F9EEDA-B20B-46AC-B459-5319AFA29F49}"/>
    <hyperlink ref="B242" location="Trimestre!C25:F26" display="HIPOTECA" xr:uid="{6AB6B7E6-A436-41C0-874B-E7A53CDF3159}"/>
    <hyperlink ref="B242:G243" location="AÑO!G32:J32" display="AÑO!G32:J32" xr:uid="{9A67DA89-8B9E-4AA0-B4D9-BCCB333F08AB}"/>
    <hyperlink ref="B262" location="Trimestre!C25:F26" display="HIPOTECA" xr:uid="{18BE684B-40EF-46BD-81D7-5F6E7E715DA9}"/>
    <hyperlink ref="B262:G263" location="AÑO!G33:J33" display="AÑO!G33:J33" xr:uid="{528733ED-9495-464F-89C1-B8A12819F80E}"/>
    <hyperlink ref="B282" location="Trimestre!C25:F26" display="HIPOTECA" xr:uid="{C650B393-FCD5-4521-B4D7-3016C934A61C}"/>
    <hyperlink ref="B282:G283" location="AÑO!G34:J34" display="AÑO!G34:J34" xr:uid="{0250757C-CA12-4886-B535-43B25D01DEDD}"/>
    <hyperlink ref="B302" location="Trimestre!C25:F26" display="HIPOTECA" xr:uid="{CCE32628-B549-4C82-9730-EBC66A41B070}"/>
    <hyperlink ref="B302:G303" location="AÑO!G35:J35" display="AÑO!G35:J35" xr:uid="{BAD4A4C8-CE19-48DD-8C7D-D301D61CBC21}"/>
    <hyperlink ref="B322" location="Trimestre!C25:F26" display="HIPOTECA" xr:uid="{C5DD3679-D718-444C-9911-C1152476FB11}"/>
    <hyperlink ref="B322:G323" location="AÑO!G36:J36" display="AÑO!G36:J36" xr:uid="{79BD2A8F-7C9C-4682-873C-DBED02CE3586}"/>
    <hyperlink ref="B342" location="Trimestre!C25:F26" display="HIPOTECA" xr:uid="{E9D2FD09-03B6-42DC-80D6-BC9982FC3D6D}"/>
    <hyperlink ref="B342:G343" location="AÑO!G37:J37" display="AÑO!G37:J37" xr:uid="{44323583-0E9E-41CA-9BF1-0AA66C4E7FE0}"/>
    <hyperlink ref="B362" location="Trimestre!C25:F26" display="HIPOTECA" xr:uid="{028AFC57-6CF5-49B2-8B4B-59F6378D94FD}"/>
    <hyperlink ref="B362:G363" location="AÑO!G38:J38" display="AÑO!G38:J38" xr:uid="{D52C6CD0-4C55-4F52-BD8F-F38CAC4EE5B0}"/>
    <hyperlink ref="B382" location="Trimestre!C25:F26" display="HIPOTECA" xr:uid="{ACF63E33-1FCD-4244-BF60-68B30031F378}"/>
    <hyperlink ref="B382:G383" location="AÑO!G39:J39" display="AÑO!G39:J39" xr:uid="{9ECDEDEC-F02B-49AA-A83C-92676CC1BD72}"/>
    <hyperlink ref="B402" location="Trimestre!C25:F26" display="HIPOTECA" xr:uid="{217ADFCE-5080-4A53-AD40-3A9D05EEF1AB}"/>
    <hyperlink ref="B402:G403" location="AÑO!G40:J40" display="AÑO!G40:J40" xr:uid="{CF096300-9542-4E13-9D16-2DF5AE7B5F6D}"/>
    <hyperlink ref="B422" location="Trimestre!C25:F26" display="HIPOTECA" xr:uid="{48007D8F-4A4D-42D0-97B4-B75F9BB7F943}"/>
    <hyperlink ref="B422:G423" location="AÑO!G41:J41" display="AÑO!G41:J41" xr:uid="{74BD7C7E-AD48-4ABC-8850-96DD9FD49743}"/>
    <hyperlink ref="B442" location="Trimestre!C25:F26" display="HIPOTECA" xr:uid="{CCF03B96-0737-41F3-A6D6-47556021B67A}"/>
    <hyperlink ref="B442:G443" location="AÑO!G42:J42" display="AÑO!G42:J42" xr:uid="{210E9BC1-D793-4330-8176-63459B79B3C8}"/>
    <hyperlink ref="B462" location="Trimestre!C25:F26" display="HIPOTECA" xr:uid="{4AB5887B-8771-4F17-9DE5-94884BF27417}"/>
    <hyperlink ref="B462:G463" location="AÑO!G43:J43" display="AÑO!G43:J43" xr:uid="{4190FCAA-7D5A-4267-96DF-B60C88115BB0}"/>
    <hyperlink ref="B482" location="Trimestre!C25:F26" display="HIPOTECA" xr:uid="{6917B037-D563-4878-BA76-2FA2F093DD07}"/>
    <hyperlink ref="B482:G483" location="AÑO!G44:J44" display="AÑO!G44:J44" xr:uid="{EC96969E-50DD-41A3-9E45-1F356AFEC319}"/>
    <hyperlink ref="B502" location="Trimestre!C25:F26" display="HIPOTECA" xr:uid="{A0E3CD93-D8BD-472B-9250-2A8CFC85B6B8}"/>
    <hyperlink ref="B502:G503" location="AÑO!G45:J45" display="AÑO!G45:J45" xr:uid="{7B4FEEBC-1672-429C-8EDB-08CD601E57DB}"/>
  </hyperlink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V520"/>
  <sheetViews>
    <sheetView topLeftCell="A13" workbookViewId="0">
      <selection activeCell="F473" sqref="F473"/>
    </sheetView>
  </sheetViews>
  <sheetFormatPr defaultColWidth="11.42578125" defaultRowHeight="15"/>
  <cols>
    <col min="1" max="1" width="11.42578125" style="89"/>
    <col min="2" max="2" width="10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197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30" t="str">
        <f>AÑO!A20</f>
        <v>Cártama Gastos</v>
      </c>
      <c r="C2" s="419"/>
      <c r="D2" s="419"/>
      <c r="E2" s="419"/>
      <c r="F2" s="419"/>
      <c r="G2" s="420"/>
      <c r="H2" s="222"/>
      <c r="I2" s="418" t="s">
        <v>4</v>
      </c>
      <c r="J2" s="419"/>
      <c r="K2" s="419"/>
      <c r="L2" s="420"/>
      <c r="M2" s="1"/>
      <c r="N2" s="1"/>
      <c r="R2" s="3"/>
    </row>
    <row r="3" spans="1:22" ht="16.5" thickBot="1">
      <c r="A3" s="1"/>
      <c r="B3" s="421"/>
      <c r="C3" s="422"/>
      <c r="D3" s="422"/>
      <c r="E3" s="422"/>
      <c r="F3" s="422"/>
      <c r="G3" s="423"/>
      <c r="H3" s="1"/>
      <c r="I3" s="421"/>
      <c r="J3" s="422"/>
      <c r="K3" s="422"/>
      <c r="L3" s="423"/>
      <c r="M3" s="1"/>
      <c r="N3" s="1"/>
      <c r="R3" s="3"/>
    </row>
    <row r="4" spans="1:22" ht="15.75">
      <c r="A4" s="1"/>
      <c r="B4" s="431" t="s">
        <v>8</v>
      </c>
      <c r="C4" s="432"/>
      <c r="D4" s="433" t="s">
        <v>9</v>
      </c>
      <c r="E4" s="433"/>
      <c r="F4" s="433"/>
      <c r="G4" s="432"/>
      <c r="H4" s="222"/>
      <c r="I4" s="40" t="s">
        <v>57</v>
      </c>
      <c r="J4" s="105" t="s">
        <v>58</v>
      </c>
      <c r="K4" s="424" t="s">
        <v>59</v>
      </c>
      <c r="L4" s="425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26"/>
      <c r="L5" s="427"/>
      <c r="M5" s="1"/>
      <c r="N5" s="1"/>
      <c r="R5" s="3"/>
    </row>
    <row r="6" spans="1:22" ht="15.75">
      <c r="A6" s="112">
        <f>'11'!A6+(B6-SUM(D6:F6))</f>
        <v>2410.52</v>
      </c>
      <c r="B6" s="133">
        <v>399.59</v>
      </c>
      <c r="C6" s="19" t="s">
        <v>181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428">
        <v>550</v>
      </c>
      <c r="L6" s="429"/>
      <c r="M6" s="1" t="s">
        <v>165</v>
      </c>
      <c r="N6" s="1"/>
      <c r="R6" s="3"/>
    </row>
    <row r="7" spans="1:22" ht="15.75">
      <c r="A7" s="112">
        <f>'11'!A7+(B7-SUM(D7:F7))</f>
        <v>517.93000000000006</v>
      </c>
      <c r="B7" s="134">
        <v>70.180000000000007</v>
      </c>
      <c r="C7" s="16" t="s">
        <v>200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428"/>
      <c r="L7" s="429"/>
      <c r="M7" s="1"/>
      <c r="N7" s="1"/>
      <c r="R7" s="3"/>
    </row>
    <row r="8" spans="1:22" ht="15.75">
      <c r="A8" s="112">
        <f>'11'!A8+(B8-SUM(D8:F8))</f>
        <v>9.0000000000017621E-2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28">
        <v>7000</v>
      </c>
      <c r="L8" s="429"/>
      <c r="M8" s="1"/>
      <c r="N8" s="1"/>
      <c r="R8" s="3"/>
    </row>
    <row r="9" spans="1:22" ht="15.75">
      <c r="A9" s="112">
        <f>'11'!A9+(B9-SUM(D9:F9))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428">
        <v>659.77</v>
      </c>
      <c r="L9" s="429"/>
      <c r="M9" s="1"/>
      <c r="N9" s="1"/>
      <c r="R9" s="3"/>
    </row>
    <row r="10" spans="1:22" ht="15.75">
      <c r="A10" s="112">
        <f>'11'!A10+(B10-SUM(D10:F10))</f>
        <v>72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428">
        <v>1800.04</v>
      </c>
      <c r="L10" s="429"/>
      <c r="M10" s="1" t="s">
        <v>156</v>
      </c>
      <c r="N10" s="1"/>
      <c r="R10" s="3"/>
    </row>
    <row r="11" spans="1:22" ht="15.75">
      <c r="A11" s="112">
        <f>'11'!A11+(B11-SUM(D11:F11))</f>
        <v>151.14000000000001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428"/>
      <c r="L11" s="429"/>
      <c r="M11" s="1"/>
      <c r="N11" s="1"/>
      <c r="R11" s="3"/>
    </row>
    <row r="12" spans="1:22" ht="15.75">
      <c r="A12" s="112">
        <f>'11'!A12+(B12-SUM(D12:F12))</f>
        <v>338.04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28">
        <v>5092.08</v>
      </c>
      <c r="L12" s="429"/>
      <c r="M12" s="92"/>
      <c r="N12" s="1"/>
      <c r="R12" s="3"/>
    </row>
    <row r="13" spans="1:22" ht="15.75">
      <c r="A13" s="112">
        <f>'11'!A13+(B13-SUM(D13:F13))</f>
        <v>65.5</v>
      </c>
      <c r="B13" s="134">
        <v>7</v>
      </c>
      <c r="C13" s="16" t="s">
        <v>201</v>
      </c>
      <c r="D13" s="137"/>
      <c r="E13" s="138"/>
      <c r="F13" s="138"/>
      <c r="G13" s="16"/>
      <c r="H13" s="1"/>
      <c r="I13" s="108"/>
      <c r="J13" s="107"/>
      <c r="K13" s="428"/>
      <c r="L13" s="429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8"/>
      <c r="L14" s="429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8"/>
      <c r="L15" s="429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8"/>
      <c r="L16" s="429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8"/>
      <c r="L17" s="429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4"/>
      <c r="L18" s="435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34">
        <f>SUM(K5:K18)</f>
        <v>15101.890000000001</v>
      </c>
      <c r="L19" s="435"/>
      <c r="M19" s="1"/>
      <c r="N19" s="1"/>
      <c r="R19" s="3"/>
    </row>
    <row r="20" spans="1:18" ht="16.5" thickBot="1">
      <c r="A20" s="112">
        <f>SUM(A6:A15)</f>
        <v>3555.22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30" t="str">
        <f>AÑO!A21</f>
        <v>Waterloo</v>
      </c>
      <c r="C22" s="419"/>
      <c r="D22" s="419"/>
      <c r="E22" s="419"/>
      <c r="F22" s="419"/>
      <c r="G22" s="420"/>
      <c r="H22" s="1"/>
      <c r="I22" s="418" t="s">
        <v>6</v>
      </c>
      <c r="J22" s="419"/>
      <c r="K22" s="419"/>
      <c r="L22" s="420"/>
      <c r="M22" s="1"/>
      <c r="R22" s="3"/>
    </row>
    <row r="23" spans="1:18" ht="16.149999999999999" customHeight="1" thickBot="1">
      <c r="A23" s="1"/>
      <c r="B23" s="421"/>
      <c r="C23" s="422"/>
      <c r="D23" s="422"/>
      <c r="E23" s="422"/>
      <c r="F23" s="422"/>
      <c r="G23" s="423"/>
      <c r="H23" s="1"/>
      <c r="I23" s="421"/>
      <c r="J23" s="422"/>
      <c r="K23" s="422"/>
      <c r="L23" s="423"/>
      <c r="M23" s="1"/>
      <c r="R23" s="3"/>
    </row>
    <row r="24" spans="1:18" ht="15.75">
      <c r="A24" s="1"/>
      <c r="B24" s="431" t="s">
        <v>8</v>
      </c>
      <c r="C24" s="432"/>
      <c r="D24" s="433" t="s">
        <v>9</v>
      </c>
      <c r="E24" s="433"/>
      <c r="F24" s="433"/>
      <c r="G24" s="432"/>
      <c r="H24" s="1"/>
      <c r="I24" s="40" t="s">
        <v>31</v>
      </c>
      <c r="J24" s="403" t="s">
        <v>87</v>
      </c>
      <c r="K24" s="404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05" t="str">
        <f>AÑO!A8</f>
        <v>Manolo Salario</v>
      </c>
      <c r="J25" s="408"/>
      <c r="K25" s="409"/>
      <c r="L25" s="198"/>
      <c r="M25" s="1"/>
      <c r="R25" s="3"/>
    </row>
    <row r="26" spans="1:18" ht="15.75">
      <c r="A26" s="112">
        <f>'11'!A26+(B26-SUM(D26:F26))</f>
        <v>4500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406"/>
      <c r="J26" s="410"/>
      <c r="K26" s="411"/>
      <c r="L26" s="199"/>
      <c r="M26" s="1"/>
      <c r="R26" s="3"/>
    </row>
    <row r="27" spans="1:18" ht="15.75">
      <c r="A27" s="112">
        <f>'11'!A27+(B27-SUM(D27:F27))</f>
        <v>904.04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406"/>
      <c r="J27" s="410"/>
      <c r="K27" s="411"/>
      <c r="L27" s="199"/>
      <c r="M27" s="1"/>
      <c r="R27" s="3"/>
    </row>
    <row r="28" spans="1:18" ht="15.75">
      <c r="A28" s="112">
        <f>'11'!A28+(B28-SUM(D28:F28))</f>
        <v>358.3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06"/>
      <c r="J28" s="410"/>
      <c r="K28" s="411"/>
      <c r="L28" s="199"/>
      <c r="M28" s="1"/>
      <c r="R28" s="3"/>
    </row>
    <row r="29" spans="1:18" ht="15.75">
      <c r="A29" s="112">
        <f>'11'!A29+(B29-SUM(D29:F29))</f>
        <v>91.53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414"/>
      <c r="J29" s="415"/>
      <c r="K29" s="416"/>
      <c r="L29" s="201"/>
      <c r="M29" s="1"/>
      <c r="R29" s="3"/>
    </row>
    <row r="30" spans="1:18" ht="15.75" customHeight="1">
      <c r="A30" s="112">
        <f>'11'!A30+(B30-SUM(D30:F30))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05" t="str">
        <f>AÑO!A9</f>
        <v>Rocío Salario</v>
      </c>
      <c r="J30" s="408"/>
      <c r="K30" s="409"/>
      <c r="L30" s="198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6"/>
      <c r="J31" s="410"/>
      <c r="K31" s="411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6"/>
      <c r="J32" s="410"/>
      <c r="K32" s="411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6"/>
      <c r="J33" s="410"/>
      <c r="K33" s="411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4"/>
      <c r="J34" s="415"/>
      <c r="K34" s="416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5" t="s">
        <v>218</v>
      </c>
      <c r="J35" s="408"/>
      <c r="K35" s="409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6"/>
      <c r="J36" s="410"/>
      <c r="K36" s="411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6"/>
      <c r="J37" s="410"/>
      <c r="K37" s="411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6"/>
      <c r="J38" s="410"/>
      <c r="K38" s="411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4"/>
      <c r="J39" s="415"/>
      <c r="K39" s="416"/>
      <c r="L39" s="201"/>
      <c r="M39" s="1"/>
      <c r="R39" s="3"/>
    </row>
    <row r="40" spans="1:18" ht="16.5" thickBot="1">
      <c r="A40" s="112">
        <f>SUM(A26:A35)</f>
        <v>6040.15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05" t="str">
        <f>AÑO!A11</f>
        <v>Finanazas</v>
      </c>
      <c r="J40" s="408"/>
      <c r="K40" s="409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6"/>
      <c r="J41" s="410"/>
      <c r="K41" s="411"/>
      <c r="L41" s="199"/>
      <c r="M41" s="1"/>
      <c r="R41" s="3"/>
    </row>
    <row r="42" spans="1:18" ht="15.6" customHeight="1">
      <c r="A42" s="1"/>
      <c r="B42" s="430" t="str">
        <f>AÑO!A22</f>
        <v>Comida+Limpieza</v>
      </c>
      <c r="C42" s="419"/>
      <c r="D42" s="419"/>
      <c r="E42" s="419"/>
      <c r="F42" s="419"/>
      <c r="G42" s="420"/>
      <c r="H42" s="1"/>
      <c r="I42" s="406"/>
      <c r="J42" s="410"/>
      <c r="K42" s="411"/>
      <c r="L42" s="199"/>
      <c r="M42" s="1"/>
      <c r="R42" s="3"/>
    </row>
    <row r="43" spans="1:18" ht="16.149999999999999" customHeight="1" thickBot="1">
      <c r="A43" s="1"/>
      <c r="B43" s="421"/>
      <c r="C43" s="422"/>
      <c r="D43" s="422"/>
      <c r="E43" s="422"/>
      <c r="F43" s="422"/>
      <c r="G43" s="423"/>
      <c r="H43" s="1"/>
      <c r="I43" s="406"/>
      <c r="J43" s="410"/>
      <c r="K43" s="411"/>
      <c r="L43" s="199"/>
      <c r="M43" s="1"/>
      <c r="R43" s="3"/>
    </row>
    <row r="44" spans="1:18" ht="15.75">
      <c r="A44" s="1"/>
      <c r="B44" s="431" t="s">
        <v>8</v>
      </c>
      <c r="C44" s="432"/>
      <c r="D44" s="433" t="s">
        <v>9</v>
      </c>
      <c r="E44" s="433"/>
      <c r="F44" s="433"/>
      <c r="G44" s="432"/>
      <c r="H44" s="1"/>
      <c r="I44" s="414"/>
      <c r="J44" s="415"/>
      <c r="K44" s="416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05" t="str">
        <f>AÑO!A12</f>
        <v>Regalos</v>
      </c>
      <c r="J45" s="408"/>
      <c r="K45" s="409"/>
      <c r="L45" s="198"/>
      <c r="M45" s="1"/>
      <c r="R45" s="3"/>
    </row>
    <row r="46" spans="1:18" ht="15.75">
      <c r="A46" s="1"/>
      <c r="B46" s="133">
        <v>462</v>
      </c>
      <c r="C46" s="19"/>
      <c r="D46" s="137"/>
      <c r="E46" s="138"/>
      <c r="F46" s="138"/>
      <c r="G46" s="30"/>
      <c r="H46" s="1"/>
      <c r="I46" s="406"/>
      <c r="J46" s="410"/>
      <c r="K46" s="411"/>
      <c r="L46" s="199"/>
      <c r="M46" s="1"/>
      <c r="R46" s="3"/>
    </row>
    <row r="47" spans="1:18" ht="15.75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406"/>
      <c r="J47" s="410"/>
      <c r="K47" s="411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406"/>
      <c r="J48" s="410"/>
      <c r="K48" s="411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414"/>
      <c r="J49" s="415"/>
      <c r="K49" s="416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405" t="str">
        <f>AÑO!A13</f>
        <v>Gubernamental</v>
      </c>
      <c r="J50" s="408"/>
      <c r="K50" s="409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406"/>
      <c r="J51" s="410"/>
      <c r="K51" s="411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06"/>
      <c r="J52" s="410"/>
      <c r="K52" s="411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06"/>
      <c r="J53" s="410"/>
      <c r="K53" s="411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14"/>
      <c r="J54" s="415"/>
      <c r="K54" s="416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05" t="str">
        <f>AÑO!A14</f>
        <v>Mutualite/DKV</v>
      </c>
      <c r="J55" s="408"/>
      <c r="K55" s="409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6"/>
      <c r="J56" s="410"/>
      <c r="K56" s="411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6"/>
      <c r="J57" s="410"/>
      <c r="K57" s="411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6"/>
      <c r="J58" s="410"/>
      <c r="K58" s="411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4"/>
      <c r="J59" s="415"/>
      <c r="K59" s="416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05" t="str">
        <f>AÑO!A15</f>
        <v>Alquiler Cartama</v>
      </c>
      <c r="J60" s="408"/>
      <c r="K60" s="409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6"/>
      <c r="J61" s="410"/>
      <c r="K61" s="411"/>
      <c r="L61" s="199"/>
      <c r="M61" s="1"/>
      <c r="R61" s="3"/>
    </row>
    <row r="62" spans="1:18" ht="15.6" customHeight="1">
      <c r="A62" s="1"/>
      <c r="B62" s="430" t="str">
        <f>AÑO!A23</f>
        <v>Ocio</v>
      </c>
      <c r="C62" s="419"/>
      <c r="D62" s="419"/>
      <c r="E62" s="419"/>
      <c r="F62" s="419"/>
      <c r="G62" s="420"/>
      <c r="H62" s="1"/>
      <c r="I62" s="406"/>
      <c r="J62" s="410"/>
      <c r="K62" s="411"/>
      <c r="L62" s="199"/>
      <c r="M62" s="1"/>
      <c r="R62" s="3"/>
    </row>
    <row r="63" spans="1:18" ht="16.149999999999999" customHeight="1" thickBot="1">
      <c r="A63" s="1"/>
      <c r="B63" s="421"/>
      <c r="C63" s="422"/>
      <c r="D63" s="422"/>
      <c r="E63" s="422"/>
      <c r="F63" s="422"/>
      <c r="G63" s="423"/>
      <c r="H63" s="1"/>
      <c r="I63" s="406"/>
      <c r="J63" s="410"/>
      <c r="K63" s="411"/>
      <c r="L63" s="199"/>
      <c r="M63" s="1"/>
      <c r="R63" s="3"/>
    </row>
    <row r="64" spans="1:18" ht="15.75">
      <c r="A64" s="1"/>
      <c r="B64" s="431" t="s">
        <v>8</v>
      </c>
      <c r="C64" s="432"/>
      <c r="D64" s="433" t="s">
        <v>9</v>
      </c>
      <c r="E64" s="433"/>
      <c r="F64" s="433"/>
      <c r="G64" s="432"/>
      <c r="H64" s="1"/>
      <c r="I64" s="414"/>
      <c r="J64" s="415"/>
      <c r="K64" s="416"/>
      <c r="L64" s="201"/>
      <c r="M64" s="1"/>
      <c r="R64" s="3"/>
    </row>
    <row r="65" spans="1:18" ht="15.75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05" t="str">
        <f>AÑO!A16</f>
        <v>Otros</v>
      </c>
      <c r="J65" s="408"/>
      <c r="K65" s="409"/>
      <c r="L65" s="198"/>
      <c r="M65" s="1"/>
      <c r="R65" s="3"/>
    </row>
    <row r="66" spans="1:18" ht="15.75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406"/>
      <c r="J66" s="410"/>
      <c r="K66" s="411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406"/>
      <c r="J67" s="410"/>
      <c r="K67" s="411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406"/>
      <c r="J68" s="410"/>
      <c r="K68" s="411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407"/>
      <c r="J69" s="412"/>
      <c r="K69" s="413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30" t="str">
        <f>AÑO!A24</f>
        <v>Transportes</v>
      </c>
      <c r="C82" s="419"/>
      <c r="D82" s="419"/>
      <c r="E82" s="419"/>
      <c r="F82" s="419"/>
      <c r="G82" s="420"/>
      <c r="H82" s="1"/>
      <c r="M82" s="1"/>
      <c r="R82" s="3"/>
    </row>
    <row r="83" spans="1:18" ht="16.149999999999999" customHeight="1" thickBot="1">
      <c r="A83" s="1"/>
      <c r="B83" s="421"/>
      <c r="C83" s="422"/>
      <c r="D83" s="422"/>
      <c r="E83" s="422"/>
      <c r="F83" s="422"/>
      <c r="G83" s="423"/>
      <c r="H83" s="1"/>
      <c r="M83" s="1"/>
      <c r="R83" s="3"/>
    </row>
    <row r="84" spans="1:18" ht="15.75">
      <c r="A84" s="1"/>
      <c r="B84" s="431" t="s">
        <v>8</v>
      </c>
      <c r="C84" s="432"/>
      <c r="D84" s="433" t="s">
        <v>9</v>
      </c>
      <c r="E84" s="433"/>
      <c r="F84" s="433"/>
      <c r="G84" s="432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202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30" t="str">
        <f>AÑO!A25</f>
        <v>Coche</v>
      </c>
      <c r="C102" s="419"/>
      <c r="D102" s="419"/>
      <c r="E102" s="419"/>
      <c r="F102" s="419"/>
      <c r="G102" s="420"/>
      <c r="H102" s="1"/>
      <c r="M102" s="1"/>
      <c r="R102" s="3"/>
    </row>
    <row r="103" spans="1:18" ht="16.149999999999999" customHeight="1" thickBot="1">
      <c r="A103" s="1"/>
      <c r="B103" s="421"/>
      <c r="C103" s="422"/>
      <c r="D103" s="422"/>
      <c r="E103" s="422"/>
      <c r="F103" s="422"/>
      <c r="G103" s="423"/>
      <c r="H103" s="1"/>
      <c r="M103" s="1"/>
      <c r="R103" s="3"/>
    </row>
    <row r="104" spans="1:18" ht="15.75">
      <c r="A104" s="1"/>
      <c r="B104" s="431" t="s">
        <v>8</v>
      </c>
      <c r="C104" s="432"/>
      <c r="D104" s="433" t="s">
        <v>9</v>
      </c>
      <c r="E104" s="433"/>
      <c r="F104" s="433"/>
      <c r="G104" s="432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'11'!A106+(B106-SUM(D106:F106))</f>
        <v>1292.3500000000001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'11'!A107+(B107-SUM(D107:F107))</f>
        <v>355.02000000000004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'11'!A108+(B108-SUM(D108:F108))</f>
        <v>733.09999999999991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'11'!A109+(B109-SUM(D109:F109))</f>
        <v>2774.7700000000018</v>
      </c>
      <c r="B109" s="134">
        <v>25.53</v>
      </c>
      <c r="C109" s="18" t="s">
        <v>205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2380.4700000000003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30" t="str">
        <f>AÑO!A26</f>
        <v>Teléfono</v>
      </c>
      <c r="C122" s="419"/>
      <c r="D122" s="419"/>
      <c r="E122" s="419"/>
      <c r="F122" s="419"/>
      <c r="G122" s="420"/>
      <c r="H122" s="1"/>
      <c r="M122" s="1"/>
      <c r="R122" s="3"/>
    </row>
    <row r="123" spans="1:18" ht="16.149999999999999" customHeight="1" thickBot="1">
      <c r="A123" s="1"/>
      <c r="B123" s="421"/>
      <c r="C123" s="422"/>
      <c r="D123" s="422"/>
      <c r="E123" s="422"/>
      <c r="F123" s="422"/>
      <c r="G123" s="423"/>
      <c r="H123" s="1"/>
      <c r="M123" s="1"/>
      <c r="R123" s="3"/>
    </row>
    <row r="124" spans="1:18" ht="15.75">
      <c r="A124" s="1"/>
      <c r="B124" s="431" t="s">
        <v>8</v>
      </c>
      <c r="C124" s="432"/>
      <c r="D124" s="433" t="s">
        <v>9</v>
      </c>
      <c r="E124" s="433"/>
      <c r="F124" s="433"/>
      <c r="G124" s="432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30" t="str">
        <f>AÑO!A27</f>
        <v>Gatos</v>
      </c>
      <c r="C142" s="419"/>
      <c r="D142" s="419"/>
      <c r="E142" s="419"/>
      <c r="F142" s="419"/>
      <c r="G142" s="420"/>
      <c r="H142" s="1"/>
      <c r="M142" s="1"/>
      <c r="R142" s="3"/>
    </row>
    <row r="143" spans="1:18" ht="16.149999999999999" customHeight="1" thickBot="1">
      <c r="A143" s="1"/>
      <c r="B143" s="421"/>
      <c r="C143" s="422"/>
      <c r="D143" s="422"/>
      <c r="E143" s="422"/>
      <c r="F143" s="422"/>
      <c r="G143" s="423"/>
      <c r="H143" s="1"/>
      <c r="M143" s="1"/>
      <c r="R143" s="3"/>
    </row>
    <row r="144" spans="1:18" ht="15.75">
      <c r="A144" s="1"/>
      <c r="B144" s="431" t="s">
        <v>8</v>
      </c>
      <c r="C144" s="432"/>
      <c r="D144" s="433" t="s">
        <v>9</v>
      </c>
      <c r="E144" s="433"/>
      <c r="F144" s="433"/>
      <c r="G144" s="432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30" t="str">
        <f>AÑO!A28</f>
        <v>Vacaciones</v>
      </c>
      <c r="C162" s="419"/>
      <c r="D162" s="419"/>
      <c r="E162" s="419"/>
      <c r="F162" s="419"/>
      <c r="G162" s="420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21"/>
      <c r="C163" s="422"/>
      <c r="D163" s="422"/>
      <c r="E163" s="422"/>
      <c r="F163" s="422"/>
      <c r="G163" s="423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31" t="s">
        <v>8</v>
      </c>
      <c r="C164" s="432"/>
      <c r="D164" s="433" t="s">
        <v>9</v>
      </c>
      <c r="E164" s="433"/>
      <c r="F164" s="433"/>
      <c r="G164" s="432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30" t="str">
        <f>AÑO!A29</f>
        <v>Ropa</v>
      </c>
      <c r="C182" s="419"/>
      <c r="D182" s="419"/>
      <c r="E182" s="419"/>
      <c r="F182" s="419"/>
      <c r="G182" s="42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21"/>
      <c r="C183" s="422"/>
      <c r="D183" s="422"/>
      <c r="E183" s="422"/>
      <c r="F183" s="422"/>
      <c r="G183" s="42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31" t="s">
        <v>8</v>
      </c>
      <c r="C184" s="432"/>
      <c r="D184" s="433" t="s">
        <v>9</v>
      </c>
      <c r="E184" s="433"/>
      <c r="F184" s="433"/>
      <c r="G184" s="432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30" t="str">
        <f>AÑO!A30</f>
        <v>Belleza</v>
      </c>
      <c r="C202" s="419"/>
      <c r="D202" s="419"/>
      <c r="E202" s="419"/>
      <c r="F202" s="419"/>
      <c r="G202" s="420"/>
    </row>
    <row r="203" spans="2:12" ht="15" customHeight="1" thickBot="1">
      <c r="B203" s="421"/>
      <c r="C203" s="422"/>
      <c r="D203" s="422"/>
      <c r="E203" s="422"/>
      <c r="F203" s="422"/>
      <c r="G203" s="423"/>
    </row>
    <row r="204" spans="2:12">
      <c r="B204" s="431" t="s">
        <v>8</v>
      </c>
      <c r="C204" s="432"/>
      <c r="D204" s="433" t="s">
        <v>9</v>
      </c>
      <c r="E204" s="433"/>
      <c r="F204" s="433"/>
      <c r="G204" s="432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30" t="str">
        <f>AÑO!A31</f>
        <v>Deportes</v>
      </c>
      <c r="C222" s="419"/>
      <c r="D222" s="419"/>
      <c r="E222" s="419"/>
      <c r="F222" s="419"/>
      <c r="G222" s="420"/>
    </row>
    <row r="223" spans="2:7" ht="15" customHeight="1" thickBot="1">
      <c r="B223" s="421"/>
      <c r="C223" s="422"/>
      <c r="D223" s="422"/>
      <c r="E223" s="422"/>
      <c r="F223" s="422"/>
      <c r="G223" s="423"/>
    </row>
    <row r="224" spans="2:7">
      <c r="B224" s="431" t="s">
        <v>8</v>
      </c>
      <c r="C224" s="432"/>
      <c r="D224" s="433" t="s">
        <v>9</v>
      </c>
      <c r="E224" s="433"/>
      <c r="F224" s="433"/>
      <c r="G224" s="432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430" t="str">
        <f>AÑO!A32</f>
        <v>Hogar</v>
      </c>
      <c r="C242" s="419"/>
      <c r="D242" s="419"/>
      <c r="E242" s="419"/>
      <c r="F242" s="419"/>
      <c r="G242" s="420"/>
    </row>
    <row r="243" spans="2:7" ht="15" customHeight="1" thickBot="1">
      <c r="B243" s="421"/>
      <c r="C243" s="422"/>
      <c r="D243" s="422"/>
      <c r="E243" s="422"/>
      <c r="F243" s="422"/>
      <c r="G243" s="423"/>
    </row>
    <row r="244" spans="2:7" ht="15" customHeight="1">
      <c r="B244" s="431" t="s">
        <v>8</v>
      </c>
      <c r="C244" s="432"/>
      <c r="D244" s="433" t="s">
        <v>9</v>
      </c>
      <c r="E244" s="433"/>
      <c r="F244" s="433"/>
      <c r="G244" s="432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430" t="str">
        <f>AÑO!A33</f>
        <v>Formación</v>
      </c>
      <c r="C262" s="419"/>
      <c r="D262" s="419"/>
      <c r="E262" s="419"/>
      <c r="F262" s="419"/>
      <c r="G262" s="420"/>
    </row>
    <row r="263" spans="2:7" ht="15" customHeight="1" thickBot="1">
      <c r="B263" s="421"/>
      <c r="C263" s="422"/>
      <c r="D263" s="422"/>
      <c r="E263" s="422"/>
      <c r="F263" s="422"/>
      <c r="G263" s="423"/>
    </row>
    <row r="264" spans="2:7">
      <c r="B264" s="431" t="s">
        <v>8</v>
      </c>
      <c r="C264" s="432"/>
      <c r="D264" s="433" t="s">
        <v>9</v>
      </c>
      <c r="E264" s="433"/>
      <c r="F264" s="433"/>
      <c r="G264" s="432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430" t="str">
        <f>AÑO!A34</f>
        <v>Regalos</v>
      </c>
      <c r="C282" s="419"/>
      <c r="D282" s="419"/>
      <c r="E282" s="419"/>
      <c r="F282" s="419"/>
      <c r="G282" s="420"/>
    </row>
    <row r="283" spans="2:8" ht="15" customHeight="1" thickBot="1">
      <c r="B283" s="421"/>
      <c r="C283" s="422"/>
      <c r="D283" s="422"/>
      <c r="E283" s="422"/>
      <c r="F283" s="422"/>
      <c r="G283" s="423"/>
    </row>
    <row r="284" spans="2:8">
      <c r="B284" s="431" t="s">
        <v>8</v>
      </c>
      <c r="C284" s="432"/>
      <c r="D284" s="433" t="s">
        <v>9</v>
      </c>
      <c r="E284" s="433"/>
      <c r="F284" s="433"/>
      <c r="G284" s="432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30" t="str">
        <f>AÑO!A35</f>
        <v>Salud</v>
      </c>
      <c r="C302" s="419"/>
      <c r="D302" s="419"/>
      <c r="E302" s="419"/>
      <c r="F302" s="419"/>
      <c r="G302" s="420"/>
    </row>
    <row r="303" spans="2:8" ht="15" customHeight="1" thickBot="1">
      <c r="B303" s="421"/>
      <c r="C303" s="422"/>
      <c r="D303" s="422"/>
      <c r="E303" s="422"/>
      <c r="F303" s="422"/>
      <c r="G303" s="423"/>
    </row>
    <row r="304" spans="2:8">
      <c r="B304" s="431" t="s">
        <v>8</v>
      </c>
      <c r="C304" s="432"/>
      <c r="D304" s="433" t="s">
        <v>9</v>
      </c>
      <c r="E304" s="433"/>
      <c r="F304" s="433"/>
      <c r="G304" s="432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100</v>
      </c>
      <c r="C306" s="19" t="s">
        <v>172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430" t="str">
        <f>AÑO!A36</f>
        <v>Nenas</v>
      </c>
      <c r="C322" s="419"/>
      <c r="D322" s="419"/>
      <c r="E322" s="419"/>
      <c r="F322" s="419"/>
      <c r="G322" s="420"/>
    </row>
    <row r="323" spans="2:7" ht="15" customHeight="1" thickBot="1">
      <c r="B323" s="421"/>
      <c r="C323" s="422"/>
      <c r="D323" s="422"/>
      <c r="E323" s="422"/>
      <c r="F323" s="422"/>
      <c r="G323" s="423"/>
    </row>
    <row r="324" spans="2:7">
      <c r="B324" s="431" t="s">
        <v>8</v>
      </c>
      <c r="C324" s="432"/>
      <c r="D324" s="433" t="s">
        <v>9</v>
      </c>
      <c r="E324" s="433"/>
      <c r="F324" s="433"/>
      <c r="G324" s="432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430" t="str">
        <f>AÑO!A37</f>
        <v>Impuestos</v>
      </c>
      <c r="C342" s="419"/>
      <c r="D342" s="419"/>
      <c r="E342" s="419"/>
      <c r="F342" s="419"/>
      <c r="G342" s="420"/>
    </row>
    <row r="343" spans="2:7" ht="15" customHeight="1" thickBot="1">
      <c r="B343" s="421"/>
      <c r="C343" s="422"/>
      <c r="D343" s="422"/>
      <c r="E343" s="422"/>
      <c r="F343" s="422"/>
      <c r="G343" s="423"/>
    </row>
    <row r="344" spans="2:7">
      <c r="B344" s="431" t="s">
        <v>8</v>
      </c>
      <c r="C344" s="432"/>
      <c r="D344" s="433" t="s">
        <v>9</v>
      </c>
      <c r="E344" s="433"/>
      <c r="F344" s="433"/>
      <c r="G344" s="432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199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430" t="str">
        <f>AÑO!A38</f>
        <v>Gastos Curros</v>
      </c>
      <c r="C362" s="419"/>
      <c r="D362" s="419"/>
      <c r="E362" s="419"/>
      <c r="F362" s="419"/>
      <c r="G362" s="420"/>
    </row>
    <row r="363" spans="2:7" ht="15" customHeight="1" thickBot="1">
      <c r="B363" s="421"/>
      <c r="C363" s="422"/>
      <c r="D363" s="422"/>
      <c r="E363" s="422"/>
      <c r="F363" s="422"/>
      <c r="G363" s="423"/>
    </row>
    <row r="364" spans="2:7">
      <c r="B364" s="431" t="s">
        <v>8</v>
      </c>
      <c r="C364" s="432"/>
      <c r="D364" s="433" t="s">
        <v>9</v>
      </c>
      <c r="E364" s="433"/>
      <c r="F364" s="433"/>
      <c r="G364" s="432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30" t="str">
        <f>AÑO!A39</f>
        <v>Dreamed Holidays</v>
      </c>
      <c r="C382" s="419"/>
      <c r="D382" s="419"/>
      <c r="E382" s="419"/>
      <c r="F382" s="419"/>
      <c r="G382" s="420"/>
    </row>
    <row r="383" spans="2:7" ht="15" customHeight="1" thickBot="1">
      <c r="B383" s="421"/>
      <c r="C383" s="422"/>
      <c r="D383" s="422"/>
      <c r="E383" s="422"/>
      <c r="F383" s="422"/>
      <c r="G383" s="423"/>
    </row>
    <row r="384" spans="2:7">
      <c r="B384" s="431" t="s">
        <v>8</v>
      </c>
      <c r="C384" s="432"/>
      <c r="D384" s="433" t="s">
        <v>9</v>
      </c>
      <c r="E384" s="433"/>
      <c r="F384" s="433"/>
      <c r="G384" s="432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30" t="str">
        <f>AÑO!A40</f>
        <v>Financieros</v>
      </c>
      <c r="C402" s="419"/>
      <c r="D402" s="419"/>
      <c r="E402" s="419"/>
      <c r="F402" s="419"/>
      <c r="G402" s="420"/>
    </row>
    <row r="403" spans="2:7" ht="15" customHeight="1" thickBot="1">
      <c r="B403" s="421"/>
      <c r="C403" s="422"/>
      <c r="D403" s="422"/>
      <c r="E403" s="422"/>
      <c r="F403" s="422"/>
      <c r="G403" s="423"/>
    </row>
    <row r="404" spans="2:7">
      <c r="B404" s="431" t="s">
        <v>8</v>
      </c>
      <c r="C404" s="432"/>
      <c r="D404" s="433" t="s">
        <v>9</v>
      </c>
      <c r="E404" s="433"/>
      <c r="F404" s="433"/>
      <c r="G404" s="432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30" t="str">
        <f>AÑO!A41</f>
        <v>Ahorros Colchón</v>
      </c>
      <c r="C422" s="436"/>
      <c r="D422" s="436"/>
      <c r="E422" s="436"/>
      <c r="F422" s="436"/>
      <c r="G422" s="437"/>
    </row>
    <row r="423" spans="1:7" ht="15" customHeight="1" thickBot="1">
      <c r="B423" s="438"/>
      <c r="C423" s="439"/>
      <c r="D423" s="439"/>
      <c r="E423" s="439"/>
      <c r="F423" s="439"/>
      <c r="G423" s="440"/>
    </row>
    <row r="424" spans="1:7">
      <c r="B424" s="431" t="s">
        <v>8</v>
      </c>
      <c r="C424" s="432"/>
      <c r="D424" s="433" t="s">
        <v>9</v>
      </c>
      <c r="E424" s="433"/>
      <c r="F424" s="433"/>
      <c r="G424" s="432"/>
    </row>
    <row r="425" spans="1:7">
      <c r="A425" s="113">
        <f>AÑO!AU17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A425 -A426</f>
        <v>-3900</v>
      </c>
      <c r="C426" s="19" t="s">
        <v>198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30" t="str">
        <f>AÑO!A42</f>
        <v>Dinero Bloqueado</v>
      </c>
      <c r="C442" s="436"/>
      <c r="D442" s="436"/>
      <c r="E442" s="436"/>
      <c r="F442" s="436"/>
      <c r="G442" s="437"/>
    </row>
    <row r="443" spans="2:7" ht="15" customHeight="1" thickBot="1">
      <c r="B443" s="438"/>
      <c r="C443" s="439"/>
      <c r="D443" s="439"/>
      <c r="E443" s="439"/>
      <c r="F443" s="439"/>
      <c r="G443" s="440"/>
    </row>
    <row r="444" spans="2:7">
      <c r="B444" s="431" t="s">
        <v>8</v>
      </c>
      <c r="C444" s="432"/>
      <c r="D444" s="433" t="s">
        <v>9</v>
      </c>
      <c r="E444" s="433"/>
      <c r="F444" s="433"/>
      <c r="G444" s="432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30" t="str">
        <f>AÑO!A43</f>
        <v>Cartama Finanazas</v>
      </c>
      <c r="C462" s="436"/>
      <c r="D462" s="436"/>
      <c r="E462" s="436"/>
      <c r="F462" s="436"/>
      <c r="G462" s="437"/>
    </row>
    <row r="463" spans="2:7" ht="15" customHeight="1" thickBot="1">
      <c r="B463" s="438"/>
      <c r="C463" s="439"/>
      <c r="D463" s="439"/>
      <c r="E463" s="439"/>
      <c r="F463" s="439"/>
      <c r="G463" s="440"/>
    </row>
    <row r="464" spans="2:7">
      <c r="B464" s="431" t="s">
        <v>8</v>
      </c>
      <c r="C464" s="432"/>
      <c r="D464" s="433" t="s">
        <v>9</v>
      </c>
      <c r="E464" s="433"/>
      <c r="F464" s="433"/>
      <c r="G464" s="432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'11'!A466+(B466-SUM(D466:F466))</f>
        <v>100</v>
      </c>
      <c r="B466" s="134">
        <v>25</v>
      </c>
      <c r="C466" s="16" t="s">
        <v>174</v>
      </c>
      <c r="D466" s="137"/>
      <c r="E466" s="138"/>
      <c r="F466" s="138"/>
      <c r="G466" s="16"/>
    </row>
    <row r="467" spans="1:7" ht="15.75">
      <c r="A467" s="112">
        <f>'11'!A467+(B467-SUM(D467:F467))</f>
        <v>605.23</v>
      </c>
      <c r="B467" s="134">
        <v>20</v>
      </c>
      <c r="C467" s="16" t="s">
        <v>185</v>
      </c>
      <c r="D467" s="137"/>
      <c r="E467" s="138"/>
      <c r="F467" s="138"/>
      <c r="G467" s="16"/>
    </row>
    <row r="468" spans="1:7" ht="15.75">
      <c r="A468" s="112">
        <f>'11'!A468+(B468-SUM(D468:F468))</f>
        <v>203.4</v>
      </c>
      <c r="B468" s="134">
        <v>5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908.63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30" t="str">
        <f>AÑO!A44</f>
        <v>NULO</v>
      </c>
      <c r="C482" s="436"/>
      <c r="D482" s="436"/>
      <c r="E482" s="436"/>
      <c r="F482" s="436"/>
      <c r="G482" s="437"/>
    </row>
    <row r="483" spans="2:7" ht="15" customHeight="1" thickBot="1">
      <c r="B483" s="438"/>
      <c r="C483" s="439"/>
      <c r="D483" s="439"/>
      <c r="E483" s="439"/>
      <c r="F483" s="439"/>
      <c r="G483" s="440"/>
    </row>
    <row r="484" spans="2:7">
      <c r="B484" s="431" t="s">
        <v>8</v>
      </c>
      <c r="C484" s="432"/>
      <c r="D484" s="433" t="s">
        <v>9</v>
      </c>
      <c r="E484" s="433"/>
      <c r="F484" s="433"/>
      <c r="G484" s="432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30" t="str">
        <f>AÑO!A45</f>
        <v>OTROS</v>
      </c>
      <c r="C502" s="436"/>
      <c r="D502" s="436"/>
      <c r="E502" s="436"/>
      <c r="F502" s="436"/>
      <c r="G502" s="437"/>
    </row>
    <row r="503" spans="2:7" ht="15" customHeight="1" thickBot="1">
      <c r="B503" s="438"/>
      <c r="C503" s="439"/>
      <c r="D503" s="439"/>
      <c r="E503" s="439"/>
      <c r="F503" s="439"/>
      <c r="G503" s="440"/>
    </row>
    <row r="504" spans="2:7">
      <c r="B504" s="431" t="s">
        <v>8</v>
      </c>
      <c r="C504" s="432"/>
      <c r="D504" s="433" t="s">
        <v>9</v>
      </c>
      <c r="E504" s="433"/>
      <c r="F504" s="433"/>
      <c r="G504" s="432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2" location="Trimestre!C39:F40" display="TELÉFONO" xr:uid="{20438195-0F13-4C04-9471-654DEABA7209}"/>
    <hyperlink ref="I22:L23" location="AÑO!G7:J17" display="INGRESOS" xr:uid="{9CACA1B4-E542-48AB-A505-14B11D6A2666}"/>
    <hyperlink ref="I2" location="Trimestre!C39:F40" display="TELÉFONO" xr:uid="{2915906E-64A7-4B00-9923-5AE15EA9A115}"/>
    <hyperlink ref="I2:L3" location="AÑO!G4:J5" display="SALDO REAL" xr:uid="{2AE4DA69-F991-45EF-8934-16F19915B3CC}"/>
    <hyperlink ref="B2" location="Trimestre!C25:F26" display="HIPOTECA" xr:uid="{1612C0DB-1BB2-468C-97B5-836822F981B1}"/>
    <hyperlink ref="B2:G3" location="AÑO!G20:J20" display="AÑO!G20:J20" xr:uid="{EF21322C-F603-4E71-91F5-8903DAC6719E}"/>
    <hyperlink ref="B22" location="Trimestre!C25:F26" display="HIPOTECA" xr:uid="{0ECEB6EF-D1F8-4BBC-A20F-908B83315F36}"/>
    <hyperlink ref="B22:G23" location="AÑO!G21:J21" display="AÑO!G21:J21" xr:uid="{FBF12B13-465B-4EAD-BBD9-F0B9FC7C011F}"/>
    <hyperlink ref="B42" location="Trimestre!C25:F26" display="HIPOTECA" xr:uid="{FF3FA28D-3DF9-4682-A38A-047480B9D403}"/>
    <hyperlink ref="B42:G43" location="AÑO!G22:J22" display="AÑO!G22:J22" xr:uid="{F06118D0-F1CE-407D-B380-5AA6F39A51CB}"/>
    <hyperlink ref="B62" location="Trimestre!C25:F26" display="HIPOTECA" xr:uid="{9A09A15E-F815-4332-9402-DBC1D9137A17}"/>
    <hyperlink ref="B62:G63" location="AÑO!G23:J23" display="AÑO!G23:J23" xr:uid="{7745A220-DD3F-460E-A6C5-56D4CE464519}"/>
    <hyperlink ref="B82" location="Trimestre!C25:F26" display="HIPOTECA" xr:uid="{93E3189E-8BF2-4BE7-9622-2600CF158E56}"/>
    <hyperlink ref="B82:G83" location="AÑO!G24:J24" display="AÑO!G24:J24" xr:uid="{72B03189-DD34-4DD0-8998-1F1C1B025A6B}"/>
    <hyperlink ref="B102" location="Trimestre!C25:F26" display="HIPOTECA" xr:uid="{853B2BB6-ED8C-40E4-BD91-75FF166FEE90}"/>
    <hyperlink ref="B102:G103" location="AÑO!G25:J25" display="AÑO!G25:J25" xr:uid="{9160BE5E-F121-40EE-8615-8907BDEBD403}"/>
    <hyperlink ref="B122" location="Trimestre!C25:F26" display="HIPOTECA" xr:uid="{43FD924E-D18B-43CD-96B1-8C5066F56861}"/>
    <hyperlink ref="B122:G123" location="AÑO!G26:J26" display="AÑO!G26:J26" xr:uid="{D27720F2-105A-4778-BE1D-C7F3D1BC19F1}"/>
    <hyperlink ref="B142" location="Trimestre!C25:F26" display="HIPOTECA" xr:uid="{1E06B1FB-F6C4-41A0-B06C-C789EA34869E}"/>
    <hyperlink ref="B142:G143" location="AÑO!G27:J27" display="AÑO!G27:J27" xr:uid="{E899E6F5-414C-463F-8827-82CB86BFAC64}"/>
    <hyperlink ref="B162" location="Trimestre!C25:F26" display="HIPOTECA" xr:uid="{A9A76ED2-0239-4FD1-A5EE-69255067C8A6}"/>
    <hyperlink ref="B162:G163" location="AÑO!G28:J28" display="AÑO!G28:J28" xr:uid="{56B373E3-493A-46F0-AC0E-CA9CEB471C7D}"/>
    <hyperlink ref="B182" location="Trimestre!C25:F26" display="HIPOTECA" xr:uid="{57843207-C64E-4F65-ACD8-A6F24007B431}"/>
    <hyperlink ref="B182:G183" location="AÑO!G29:J29" display="AÑO!G29:J29" xr:uid="{FABEE905-B111-4B9C-9C80-12AA0E90E881}"/>
    <hyperlink ref="B202" location="Trimestre!C25:F26" display="HIPOTECA" xr:uid="{CC4D3EDB-E7A3-41E6-B5FE-75DB59FA73D0}"/>
    <hyperlink ref="B202:G203" location="AÑO!G30:J30" display="AÑO!G30:J30" xr:uid="{A819E8BB-6188-40EF-8A92-2A6F640809B1}"/>
    <hyperlink ref="B222" location="Trimestre!C25:F26" display="HIPOTECA" xr:uid="{1CD785F2-43B1-496F-AAF4-5D22AB9DF7CB}"/>
    <hyperlink ref="B222:G223" location="AÑO!G31:J31" display="AÑO!G31:J31" xr:uid="{B83DF037-5A4A-4FA3-81F2-70DC6C83A927}"/>
    <hyperlink ref="B242" location="Trimestre!C25:F26" display="HIPOTECA" xr:uid="{30645D87-23EF-4A76-96F4-FB660470EF12}"/>
    <hyperlink ref="B242:G243" location="AÑO!G32:J32" display="AÑO!G32:J32" xr:uid="{234630AE-CCBD-41D4-AD0F-4F5026F41E69}"/>
    <hyperlink ref="B262" location="Trimestre!C25:F26" display="HIPOTECA" xr:uid="{DDB7411D-DA8C-438D-A5A2-493B10F03380}"/>
    <hyperlink ref="B262:G263" location="AÑO!G33:J33" display="AÑO!G33:J33" xr:uid="{F0046EAB-1149-4A9F-8937-195CC7FC04B0}"/>
    <hyperlink ref="B282" location="Trimestre!C25:F26" display="HIPOTECA" xr:uid="{6ABE98A1-1F67-403A-BD0F-BD1395F3A638}"/>
    <hyperlink ref="B282:G283" location="AÑO!G34:J34" display="AÑO!G34:J34" xr:uid="{AE36AFF3-BA6D-4E87-9800-6C59DB6B1DD7}"/>
    <hyperlink ref="B302" location="Trimestre!C25:F26" display="HIPOTECA" xr:uid="{7689437A-A5C6-481B-9B12-25BA0A596146}"/>
    <hyperlink ref="B302:G303" location="AÑO!G35:J35" display="AÑO!G35:J35" xr:uid="{307A02EE-BFE3-464C-B12D-8A3335746CBE}"/>
    <hyperlink ref="B322" location="Trimestre!C25:F26" display="HIPOTECA" xr:uid="{C82811C5-B2D1-43F8-8BA0-24689B334CC2}"/>
    <hyperlink ref="B322:G323" location="AÑO!G36:J36" display="AÑO!G36:J36" xr:uid="{B4381FE5-1A7D-473B-B51D-DAC2FEF1871F}"/>
    <hyperlink ref="B342" location="Trimestre!C25:F26" display="HIPOTECA" xr:uid="{CBC06CD0-2C2A-4E17-AA90-28F5BDDD900D}"/>
    <hyperlink ref="B342:G343" location="AÑO!G37:J37" display="AÑO!G37:J37" xr:uid="{EBF84231-6310-452D-A1E6-E2D0769D791C}"/>
    <hyperlink ref="B362" location="Trimestre!C25:F26" display="HIPOTECA" xr:uid="{98EECB6C-9212-4B75-889F-FAB4D0A39984}"/>
    <hyperlink ref="B362:G363" location="AÑO!G38:J38" display="AÑO!G38:J38" xr:uid="{09C04FC0-9E2A-48B5-BF36-5C03214CE97A}"/>
    <hyperlink ref="B382" location="Trimestre!C25:F26" display="HIPOTECA" xr:uid="{3EFD74D5-8A85-4DA2-809C-88FD23288A38}"/>
    <hyperlink ref="B382:G383" location="AÑO!G39:J39" display="AÑO!G39:J39" xr:uid="{7E1222A8-3494-4415-AF97-F73B3D7C6F50}"/>
    <hyperlink ref="B402" location="Trimestre!C25:F26" display="HIPOTECA" xr:uid="{F9599B8E-3C2A-4C8C-BF1F-14EE5FE045D4}"/>
    <hyperlink ref="B402:G403" location="AÑO!G40:J40" display="AÑO!G40:J40" xr:uid="{8DF38622-CC35-45E2-A5F5-3CF1250202BF}"/>
    <hyperlink ref="B422" location="Trimestre!C25:F26" display="HIPOTECA" xr:uid="{CFDA8725-3B41-4398-AB3A-9648CE27852C}"/>
    <hyperlink ref="B422:G423" location="AÑO!G41:J41" display="AÑO!G41:J41" xr:uid="{A79A53F9-4949-4F09-98E6-3E8385F9AD0F}"/>
    <hyperlink ref="B442" location="Trimestre!C25:F26" display="HIPOTECA" xr:uid="{47122CB1-03C6-4A65-9F6D-71367370A415}"/>
    <hyperlink ref="B442:G443" location="AÑO!G42:J42" display="AÑO!G42:J42" xr:uid="{2F211955-1776-49C0-A934-9F356B3D7754}"/>
    <hyperlink ref="B462" location="Trimestre!C25:F26" display="HIPOTECA" xr:uid="{B572D287-080D-44B2-ACB3-F13452981D7E}"/>
    <hyperlink ref="B462:G463" location="AÑO!G43:J43" display="AÑO!G43:J43" xr:uid="{6C9D4A55-A4E5-4A6C-BCB7-54E2051E23D6}"/>
    <hyperlink ref="B482" location="Trimestre!C25:F26" display="HIPOTECA" xr:uid="{ACD0A4E8-F10A-4D79-96D8-7EA7A333EAF6}"/>
    <hyperlink ref="B482:G483" location="AÑO!G44:J44" display="AÑO!G44:J44" xr:uid="{0C4736D4-2276-496B-9870-DFCF578EA19C}"/>
    <hyperlink ref="B502" location="Trimestre!C25:F26" display="HIPOTECA" xr:uid="{C0759D93-0E4B-4E96-857C-64BACFD1600B}"/>
    <hyperlink ref="B502:G503" location="AÑO!G45:J45" display="AÑO!G45:J45" xr:uid="{25259CB5-257E-4640-8D79-F823FF4D0375}"/>
  </hyperlink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58"/>
  <sheetViews>
    <sheetView workbookViewId="0">
      <selection activeCell="E25" sqref="E25"/>
    </sheetView>
  </sheetViews>
  <sheetFormatPr defaultColWidth="11.7109375" defaultRowHeight="15"/>
  <cols>
    <col min="1" max="1" width="30.140625" customWidth="1"/>
    <col min="2" max="2" width="15" customWidth="1"/>
    <col min="3" max="3" width="14.42578125" customWidth="1"/>
    <col min="4" max="4" width="29.140625" customWidth="1"/>
    <col min="5" max="5" width="24.5703125" customWidth="1"/>
    <col min="6" max="6" width="13.140625" customWidth="1"/>
    <col min="7" max="7" width="8.7109375" customWidth="1"/>
    <col min="8" max="8" width="8" customWidth="1"/>
    <col min="9" max="9" width="12.28515625" customWidth="1"/>
    <col min="10" max="10" width="20.28515625" customWidth="1"/>
    <col min="11" max="11" width="13.85546875" customWidth="1"/>
    <col min="12" max="12" width="8.7109375" customWidth="1"/>
    <col min="257" max="257" width="30.140625" customWidth="1"/>
    <col min="258" max="258" width="15" customWidth="1"/>
    <col min="259" max="259" width="14.42578125" customWidth="1"/>
    <col min="260" max="260" width="29.140625" customWidth="1"/>
    <col min="261" max="261" width="24.5703125" customWidth="1"/>
    <col min="262" max="262" width="13.140625" customWidth="1"/>
    <col min="263" max="263" width="8.7109375" customWidth="1"/>
    <col min="264" max="264" width="8" customWidth="1"/>
    <col min="265" max="265" width="12.28515625" customWidth="1"/>
    <col min="266" max="266" width="20.28515625" customWidth="1"/>
    <col min="267" max="267" width="13.85546875" customWidth="1"/>
    <col min="268" max="268" width="8" customWidth="1"/>
    <col min="513" max="513" width="30.140625" customWidth="1"/>
    <col min="514" max="514" width="15" customWidth="1"/>
    <col min="515" max="515" width="14.42578125" customWidth="1"/>
    <col min="516" max="516" width="29.140625" customWidth="1"/>
    <col min="517" max="517" width="24.5703125" customWidth="1"/>
    <col min="518" max="518" width="13.140625" customWidth="1"/>
    <col min="519" max="519" width="8.7109375" customWidth="1"/>
    <col min="520" max="520" width="8" customWidth="1"/>
    <col min="521" max="521" width="12.28515625" customWidth="1"/>
    <col min="522" max="522" width="20.28515625" customWidth="1"/>
    <col min="523" max="523" width="13.85546875" customWidth="1"/>
    <col min="524" max="524" width="8" customWidth="1"/>
    <col min="769" max="769" width="30.140625" customWidth="1"/>
    <col min="770" max="770" width="15" customWidth="1"/>
    <col min="771" max="771" width="14.42578125" customWidth="1"/>
    <col min="772" max="772" width="29.140625" customWidth="1"/>
    <col min="773" max="773" width="24.5703125" customWidth="1"/>
    <col min="774" max="774" width="13.140625" customWidth="1"/>
    <col min="775" max="775" width="8.7109375" customWidth="1"/>
    <col min="776" max="776" width="8" customWidth="1"/>
    <col min="777" max="777" width="12.28515625" customWidth="1"/>
    <col min="778" max="778" width="20.28515625" customWidth="1"/>
    <col min="779" max="779" width="13.85546875" customWidth="1"/>
    <col min="780" max="780" width="8" customWidth="1"/>
    <col min="1025" max="1025" width="30.140625" customWidth="1"/>
    <col min="1026" max="1026" width="15" customWidth="1"/>
    <col min="1027" max="1027" width="14.42578125" customWidth="1"/>
    <col min="1028" max="1028" width="29.140625" customWidth="1"/>
    <col min="1029" max="1029" width="24.5703125" customWidth="1"/>
    <col min="1030" max="1030" width="13.140625" customWidth="1"/>
    <col min="1031" max="1031" width="8.7109375" customWidth="1"/>
    <col min="1032" max="1032" width="8" customWidth="1"/>
    <col min="1033" max="1033" width="12.28515625" customWidth="1"/>
    <col min="1034" max="1034" width="20.28515625" customWidth="1"/>
    <col min="1035" max="1035" width="13.85546875" customWidth="1"/>
    <col min="1036" max="1036" width="8" customWidth="1"/>
    <col min="1281" max="1281" width="30.140625" customWidth="1"/>
    <col min="1282" max="1282" width="15" customWidth="1"/>
    <col min="1283" max="1283" width="14.42578125" customWidth="1"/>
    <col min="1284" max="1284" width="29.140625" customWidth="1"/>
    <col min="1285" max="1285" width="24.5703125" customWidth="1"/>
    <col min="1286" max="1286" width="13.140625" customWidth="1"/>
    <col min="1287" max="1287" width="8.7109375" customWidth="1"/>
    <col min="1288" max="1288" width="8" customWidth="1"/>
    <col min="1289" max="1289" width="12.28515625" customWidth="1"/>
    <col min="1290" max="1290" width="20.28515625" customWidth="1"/>
    <col min="1291" max="1291" width="13.85546875" customWidth="1"/>
    <col min="1292" max="1292" width="8" customWidth="1"/>
    <col min="1537" max="1537" width="30.140625" customWidth="1"/>
    <col min="1538" max="1538" width="15" customWidth="1"/>
    <col min="1539" max="1539" width="14.42578125" customWidth="1"/>
    <col min="1540" max="1540" width="29.140625" customWidth="1"/>
    <col min="1541" max="1541" width="24.5703125" customWidth="1"/>
    <col min="1542" max="1542" width="13.140625" customWidth="1"/>
    <col min="1543" max="1543" width="8.7109375" customWidth="1"/>
    <col min="1544" max="1544" width="8" customWidth="1"/>
    <col min="1545" max="1545" width="12.28515625" customWidth="1"/>
    <col min="1546" max="1546" width="20.28515625" customWidth="1"/>
    <col min="1547" max="1547" width="13.85546875" customWidth="1"/>
    <col min="1548" max="1548" width="8" customWidth="1"/>
    <col min="1793" max="1793" width="30.140625" customWidth="1"/>
    <col min="1794" max="1794" width="15" customWidth="1"/>
    <col min="1795" max="1795" width="14.42578125" customWidth="1"/>
    <col min="1796" max="1796" width="29.140625" customWidth="1"/>
    <col min="1797" max="1797" width="24.5703125" customWidth="1"/>
    <col min="1798" max="1798" width="13.140625" customWidth="1"/>
    <col min="1799" max="1799" width="8.7109375" customWidth="1"/>
    <col min="1800" max="1800" width="8" customWidth="1"/>
    <col min="1801" max="1801" width="12.28515625" customWidth="1"/>
    <col min="1802" max="1802" width="20.28515625" customWidth="1"/>
    <col min="1803" max="1803" width="13.85546875" customWidth="1"/>
    <col min="1804" max="1804" width="8" customWidth="1"/>
    <col min="2049" max="2049" width="30.140625" customWidth="1"/>
    <col min="2050" max="2050" width="15" customWidth="1"/>
    <col min="2051" max="2051" width="14.42578125" customWidth="1"/>
    <col min="2052" max="2052" width="29.140625" customWidth="1"/>
    <col min="2053" max="2053" width="24.5703125" customWidth="1"/>
    <col min="2054" max="2054" width="13.140625" customWidth="1"/>
    <col min="2055" max="2055" width="8.7109375" customWidth="1"/>
    <col min="2056" max="2056" width="8" customWidth="1"/>
    <col min="2057" max="2057" width="12.28515625" customWidth="1"/>
    <col min="2058" max="2058" width="20.28515625" customWidth="1"/>
    <col min="2059" max="2059" width="13.85546875" customWidth="1"/>
    <col min="2060" max="2060" width="8" customWidth="1"/>
    <col min="2305" max="2305" width="30.140625" customWidth="1"/>
    <col min="2306" max="2306" width="15" customWidth="1"/>
    <col min="2307" max="2307" width="14.42578125" customWidth="1"/>
    <col min="2308" max="2308" width="29.140625" customWidth="1"/>
    <col min="2309" max="2309" width="24.5703125" customWidth="1"/>
    <col min="2310" max="2310" width="13.140625" customWidth="1"/>
    <col min="2311" max="2311" width="8.7109375" customWidth="1"/>
    <col min="2312" max="2312" width="8" customWidth="1"/>
    <col min="2313" max="2313" width="12.28515625" customWidth="1"/>
    <col min="2314" max="2314" width="20.28515625" customWidth="1"/>
    <col min="2315" max="2315" width="13.85546875" customWidth="1"/>
    <col min="2316" max="2316" width="8" customWidth="1"/>
    <col min="2561" max="2561" width="30.140625" customWidth="1"/>
    <col min="2562" max="2562" width="15" customWidth="1"/>
    <col min="2563" max="2563" width="14.42578125" customWidth="1"/>
    <col min="2564" max="2564" width="29.140625" customWidth="1"/>
    <col min="2565" max="2565" width="24.5703125" customWidth="1"/>
    <col min="2566" max="2566" width="13.140625" customWidth="1"/>
    <col min="2567" max="2567" width="8.7109375" customWidth="1"/>
    <col min="2568" max="2568" width="8" customWidth="1"/>
    <col min="2569" max="2569" width="12.28515625" customWidth="1"/>
    <col min="2570" max="2570" width="20.28515625" customWidth="1"/>
    <col min="2571" max="2571" width="13.85546875" customWidth="1"/>
    <col min="2572" max="2572" width="8" customWidth="1"/>
    <col min="2817" max="2817" width="30.140625" customWidth="1"/>
    <col min="2818" max="2818" width="15" customWidth="1"/>
    <col min="2819" max="2819" width="14.42578125" customWidth="1"/>
    <col min="2820" max="2820" width="29.140625" customWidth="1"/>
    <col min="2821" max="2821" width="24.5703125" customWidth="1"/>
    <col min="2822" max="2822" width="13.140625" customWidth="1"/>
    <col min="2823" max="2823" width="8.7109375" customWidth="1"/>
    <col min="2824" max="2824" width="8" customWidth="1"/>
    <col min="2825" max="2825" width="12.28515625" customWidth="1"/>
    <col min="2826" max="2826" width="20.28515625" customWidth="1"/>
    <col min="2827" max="2827" width="13.85546875" customWidth="1"/>
    <col min="2828" max="2828" width="8" customWidth="1"/>
    <col min="3073" max="3073" width="30.140625" customWidth="1"/>
    <col min="3074" max="3074" width="15" customWidth="1"/>
    <col min="3075" max="3075" width="14.42578125" customWidth="1"/>
    <col min="3076" max="3076" width="29.140625" customWidth="1"/>
    <col min="3077" max="3077" width="24.5703125" customWidth="1"/>
    <col min="3078" max="3078" width="13.140625" customWidth="1"/>
    <col min="3079" max="3079" width="8.7109375" customWidth="1"/>
    <col min="3080" max="3080" width="8" customWidth="1"/>
    <col min="3081" max="3081" width="12.28515625" customWidth="1"/>
    <col min="3082" max="3082" width="20.28515625" customWidth="1"/>
    <col min="3083" max="3083" width="13.85546875" customWidth="1"/>
    <col min="3084" max="3084" width="8" customWidth="1"/>
    <col min="3329" max="3329" width="30.140625" customWidth="1"/>
    <col min="3330" max="3330" width="15" customWidth="1"/>
    <col min="3331" max="3331" width="14.42578125" customWidth="1"/>
    <col min="3332" max="3332" width="29.140625" customWidth="1"/>
    <col min="3333" max="3333" width="24.5703125" customWidth="1"/>
    <col min="3334" max="3334" width="13.140625" customWidth="1"/>
    <col min="3335" max="3335" width="8.7109375" customWidth="1"/>
    <col min="3336" max="3336" width="8" customWidth="1"/>
    <col min="3337" max="3337" width="12.28515625" customWidth="1"/>
    <col min="3338" max="3338" width="20.28515625" customWidth="1"/>
    <col min="3339" max="3339" width="13.85546875" customWidth="1"/>
    <col min="3340" max="3340" width="8" customWidth="1"/>
    <col min="3585" max="3585" width="30.140625" customWidth="1"/>
    <col min="3586" max="3586" width="15" customWidth="1"/>
    <col min="3587" max="3587" width="14.42578125" customWidth="1"/>
    <col min="3588" max="3588" width="29.140625" customWidth="1"/>
    <col min="3589" max="3589" width="24.5703125" customWidth="1"/>
    <col min="3590" max="3590" width="13.140625" customWidth="1"/>
    <col min="3591" max="3591" width="8.7109375" customWidth="1"/>
    <col min="3592" max="3592" width="8" customWidth="1"/>
    <col min="3593" max="3593" width="12.28515625" customWidth="1"/>
    <col min="3594" max="3594" width="20.28515625" customWidth="1"/>
    <col min="3595" max="3595" width="13.85546875" customWidth="1"/>
    <col min="3596" max="3596" width="8" customWidth="1"/>
    <col min="3841" max="3841" width="30.140625" customWidth="1"/>
    <col min="3842" max="3842" width="15" customWidth="1"/>
    <col min="3843" max="3843" width="14.42578125" customWidth="1"/>
    <col min="3844" max="3844" width="29.140625" customWidth="1"/>
    <col min="3845" max="3845" width="24.5703125" customWidth="1"/>
    <col min="3846" max="3846" width="13.140625" customWidth="1"/>
    <col min="3847" max="3847" width="8.7109375" customWidth="1"/>
    <col min="3848" max="3848" width="8" customWidth="1"/>
    <col min="3849" max="3849" width="12.28515625" customWidth="1"/>
    <col min="3850" max="3850" width="20.28515625" customWidth="1"/>
    <col min="3851" max="3851" width="13.85546875" customWidth="1"/>
    <col min="3852" max="3852" width="8" customWidth="1"/>
    <col min="4097" max="4097" width="30.140625" customWidth="1"/>
    <col min="4098" max="4098" width="15" customWidth="1"/>
    <col min="4099" max="4099" width="14.42578125" customWidth="1"/>
    <col min="4100" max="4100" width="29.140625" customWidth="1"/>
    <col min="4101" max="4101" width="24.5703125" customWidth="1"/>
    <col min="4102" max="4102" width="13.140625" customWidth="1"/>
    <col min="4103" max="4103" width="8.7109375" customWidth="1"/>
    <col min="4104" max="4104" width="8" customWidth="1"/>
    <col min="4105" max="4105" width="12.28515625" customWidth="1"/>
    <col min="4106" max="4106" width="20.28515625" customWidth="1"/>
    <col min="4107" max="4107" width="13.85546875" customWidth="1"/>
    <col min="4108" max="4108" width="8" customWidth="1"/>
    <col min="4353" max="4353" width="30.140625" customWidth="1"/>
    <col min="4354" max="4354" width="15" customWidth="1"/>
    <col min="4355" max="4355" width="14.42578125" customWidth="1"/>
    <col min="4356" max="4356" width="29.140625" customWidth="1"/>
    <col min="4357" max="4357" width="24.5703125" customWidth="1"/>
    <col min="4358" max="4358" width="13.140625" customWidth="1"/>
    <col min="4359" max="4359" width="8.7109375" customWidth="1"/>
    <col min="4360" max="4360" width="8" customWidth="1"/>
    <col min="4361" max="4361" width="12.28515625" customWidth="1"/>
    <col min="4362" max="4362" width="20.28515625" customWidth="1"/>
    <col min="4363" max="4363" width="13.85546875" customWidth="1"/>
    <col min="4364" max="4364" width="8" customWidth="1"/>
    <col min="4609" max="4609" width="30.140625" customWidth="1"/>
    <col min="4610" max="4610" width="15" customWidth="1"/>
    <col min="4611" max="4611" width="14.42578125" customWidth="1"/>
    <col min="4612" max="4612" width="29.140625" customWidth="1"/>
    <col min="4613" max="4613" width="24.5703125" customWidth="1"/>
    <col min="4614" max="4614" width="13.140625" customWidth="1"/>
    <col min="4615" max="4615" width="8.7109375" customWidth="1"/>
    <col min="4616" max="4616" width="8" customWidth="1"/>
    <col min="4617" max="4617" width="12.28515625" customWidth="1"/>
    <col min="4618" max="4618" width="20.28515625" customWidth="1"/>
    <col min="4619" max="4619" width="13.85546875" customWidth="1"/>
    <col min="4620" max="4620" width="8" customWidth="1"/>
    <col min="4865" max="4865" width="30.140625" customWidth="1"/>
    <col min="4866" max="4866" width="15" customWidth="1"/>
    <col min="4867" max="4867" width="14.42578125" customWidth="1"/>
    <col min="4868" max="4868" width="29.140625" customWidth="1"/>
    <col min="4869" max="4869" width="24.5703125" customWidth="1"/>
    <col min="4870" max="4870" width="13.140625" customWidth="1"/>
    <col min="4871" max="4871" width="8.7109375" customWidth="1"/>
    <col min="4872" max="4872" width="8" customWidth="1"/>
    <col min="4873" max="4873" width="12.28515625" customWidth="1"/>
    <col min="4874" max="4874" width="20.28515625" customWidth="1"/>
    <col min="4875" max="4875" width="13.85546875" customWidth="1"/>
    <col min="4876" max="4876" width="8" customWidth="1"/>
    <col min="5121" max="5121" width="30.140625" customWidth="1"/>
    <col min="5122" max="5122" width="15" customWidth="1"/>
    <col min="5123" max="5123" width="14.42578125" customWidth="1"/>
    <col min="5124" max="5124" width="29.140625" customWidth="1"/>
    <col min="5125" max="5125" width="24.5703125" customWidth="1"/>
    <col min="5126" max="5126" width="13.140625" customWidth="1"/>
    <col min="5127" max="5127" width="8.7109375" customWidth="1"/>
    <col min="5128" max="5128" width="8" customWidth="1"/>
    <col min="5129" max="5129" width="12.28515625" customWidth="1"/>
    <col min="5130" max="5130" width="20.28515625" customWidth="1"/>
    <col min="5131" max="5131" width="13.85546875" customWidth="1"/>
    <col min="5132" max="5132" width="8" customWidth="1"/>
    <col min="5377" max="5377" width="30.140625" customWidth="1"/>
    <col min="5378" max="5378" width="15" customWidth="1"/>
    <col min="5379" max="5379" width="14.42578125" customWidth="1"/>
    <col min="5380" max="5380" width="29.140625" customWidth="1"/>
    <col min="5381" max="5381" width="24.5703125" customWidth="1"/>
    <col min="5382" max="5382" width="13.140625" customWidth="1"/>
    <col min="5383" max="5383" width="8.7109375" customWidth="1"/>
    <col min="5384" max="5384" width="8" customWidth="1"/>
    <col min="5385" max="5385" width="12.28515625" customWidth="1"/>
    <col min="5386" max="5386" width="20.28515625" customWidth="1"/>
    <col min="5387" max="5387" width="13.85546875" customWidth="1"/>
    <col min="5388" max="5388" width="8" customWidth="1"/>
    <col min="5633" max="5633" width="30.140625" customWidth="1"/>
    <col min="5634" max="5634" width="15" customWidth="1"/>
    <col min="5635" max="5635" width="14.42578125" customWidth="1"/>
    <col min="5636" max="5636" width="29.140625" customWidth="1"/>
    <col min="5637" max="5637" width="24.5703125" customWidth="1"/>
    <col min="5638" max="5638" width="13.140625" customWidth="1"/>
    <col min="5639" max="5639" width="8.7109375" customWidth="1"/>
    <col min="5640" max="5640" width="8" customWidth="1"/>
    <col min="5641" max="5641" width="12.28515625" customWidth="1"/>
    <col min="5642" max="5642" width="20.28515625" customWidth="1"/>
    <col min="5643" max="5643" width="13.85546875" customWidth="1"/>
    <col min="5644" max="5644" width="8" customWidth="1"/>
    <col min="5889" max="5889" width="30.140625" customWidth="1"/>
    <col min="5890" max="5890" width="15" customWidth="1"/>
    <col min="5891" max="5891" width="14.42578125" customWidth="1"/>
    <col min="5892" max="5892" width="29.140625" customWidth="1"/>
    <col min="5893" max="5893" width="24.5703125" customWidth="1"/>
    <col min="5894" max="5894" width="13.140625" customWidth="1"/>
    <col min="5895" max="5895" width="8.7109375" customWidth="1"/>
    <col min="5896" max="5896" width="8" customWidth="1"/>
    <col min="5897" max="5897" width="12.28515625" customWidth="1"/>
    <col min="5898" max="5898" width="20.28515625" customWidth="1"/>
    <col min="5899" max="5899" width="13.85546875" customWidth="1"/>
    <col min="5900" max="5900" width="8" customWidth="1"/>
    <col min="6145" max="6145" width="30.140625" customWidth="1"/>
    <col min="6146" max="6146" width="15" customWidth="1"/>
    <col min="6147" max="6147" width="14.42578125" customWidth="1"/>
    <col min="6148" max="6148" width="29.140625" customWidth="1"/>
    <col min="6149" max="6149" width="24.5703125" customWidth="1"/>
    <col min="6150" max="6150" width="13.140625" customWidth="1"/>
    <col min="6151" max="6151" width="8.7109375" customWidth="1"/>
    <col min="6152" max="6152" width="8" customWidth="1"/>
    <col min="6153" max="6153" width="12.28515625" customWidth="1"/>
    <col min="6154" max="6154" width="20.28515625" customWidth="1"/>
    <col min="6155" max="6155" width="13.85546875" customWidth="1"/>
    <col min="6156" max="6156" width="8" customWidth="1"/>
    <col min="6401" max="6401" width="30.140625" customWidth="1"/>
    <col min="6402" max="6402" width="15" customWidth="1"/>
    <col min="6403" max="6403" width="14.42578125" customWidth="1"/>
    <col min="6404" max="6404" width="29.140625" customWidth="1"/>
    <col min="6405" max="6405" width="24.5703125" customWidth="1"/>
    <col min="6406" max="6406" width="13.140625" customWidth="1"/>
    <col min="6407" max="6407" width="8.7109375" customWidth="1"/>
    <col min="6408" max="6408" width="8" customWidth="1"/>
    <col min="6409" max="6409" width="12.28515625" customWidth="1"/>
    <col min="6410" max="6410" width="20.28515625" customWidth="1"/>
    <col min="6411" max="6411" width="13.85546875" customWidth="1"/>
    <col min="6412" max="6412" width="8" customWidth="1"/>
    <col min="6657" max="6657" width="30.140625" customWidth="1"/>
    <col min="6658" max="6658" width="15" customWidth="1"/>
    <col min="6659" max="6659" width="14.42578125" customWidth="1"/>
    <col min="6660" max="6660" width="29.140625" customWidth="1"/>
    <col min="6661" max="6661" width="24.5703125" customWidth="1"/>
    <col min="6662" max="6662" width="13.140625" customWidth="1"/>
    <col min="6663" max="6663" width="8.7109375" customWidth="1"/>
    <col min="6664" max="6664" width="8" customWidth="1"/>
    <col min="6665" max="6665" width="12.28515625" customWidth="1"/>
    <col min="6666" max="6666" width="20.28515625" customWidth="1"/>
    <col min="6667" max="6667" width="13.85546875" customWidth="1"/>
    <col min="6668" max="6668" width="8" customWidth="1"/>
    <col min="6913" max="6913" width="30.140625" customWidth="1"/>
    <col min="6914" max="6914" width="15" customWidth="1"/>
    <col min="6915" max="6915" width="14.42578125" customWidth="1"/>
    <col min="6916" max="6916" width="29.140625" customWidth="1"/>
    <col min="6917" max="6917" width="24.5703125" customWidth="1"/>
    <col min="6918" max="6918" width="13.140625" customWidth="1"/>
    <col min="6919" max="6919" width="8.7109375" customWidth="1"/>
    <col min="6920" max="6920" width="8" customWidth="1"/>
    <col min="6921" max="6921" width="12.28515625" customWidth="1"/>
    <col min="6922" max="6922" width="20.28515625" customWidth="1"/>
    <col min="6923" max="6923" width="13.85546875" customWidth="1"/>
    <col min="6924" max="6924" width="8" customWidth="1"/>
    <col min="7169" max="7169" width="30.140625" customWidth="1"/>
    <col min="7170" max="7170" width="15" customWidth="1"/>
    <col min="7171" max="7171" width="14.42578125" customWidth="1"/>
    <col min="7172" max="7172" width="29.140625" customWidth="1"/>
    <col min="7173" max="7173" width="24.5703125" customWidth="1"/>
    <col min="7174" max="7174" width="13.140625" customWidth="1"/>
    <col min="7175" max="7175" width="8.7109375" customWidth="1"/>
    <col min="7176" max="7176" width="8" customWidth="1"/>
    <col min="7177" max="7177" width="12.28515625" customWidth="1"/>
    <col min="7178" max="7178" width="20.28515625" customWidth="1"/>
    <col min="7179" max="7179" width="13.85546875" customWidth="1"/>
    <col min="7180" max="7180" width="8" customWidth="1"/>
    <col min="7425" max="7425" width="30.140625" customWidth="1"/>
    <col min="7426" max="7426" width="15" customWidth="1"/>
    <col min="7427" max="7427" width="14.42578125" customWidth="1"/>
    <col min="7428" max="7428" width="29.140625" customWidth="1"/>
    <col min="7429" max="7429" width="24.5703125" customWidth="1"/>
    <col min="7430" max="7430" width="13.140625" customWidth="1"/>
    <col min="7431" max="7431" width="8.7109375" customWidth="1"/>
    <col min="7432" max="7432" width="8" customWidth="1"/>
    <col min="7433" max="7433" width="12.28515625" customWidth="1"/>
    <col min="7434" max="7434" width="20.28515625" customWidth="1"/>
    <col min="7435" max="7435" width="13.85546875" customWidth="1"/>
    <col min="7436" max="7436" width="8" customWidth="1"/>
    <col min="7681" max="7681" width="30.140625" customWidth="1"/>
    <col min="7682" max="7682" width="15" customWidth="1"/>
    <col min="7683" max="7683" width="14.42578125" customWidth="1"/>
    <col min="7684" max="7684" width="29.140625" customWidth="1"/>
    <col min="7685" max="7685" width="24.5703125" customWidth="1"/>
    <col min="7686" max="7686" width="13.140625" customWidth="1"/>
    <col min="7687" max="7687" width="8.7109375" customWidth="1"/>
    <col min="7688" max="7688" width="8" customWidth="1"/>
    <col min="7689" max="7689" width="12.28515625" customWidth="1"/>
    <col min="7690" max="7690" width="20.28515625" customWidth="1"/>
    <col min="7691" max="7691" width="13.85546875" customWidth="1"/>
    <col min="7692" max="7692" width="8" customWidth="1"/>
    <col min="7937" max="7937" width="30.140625" customWidth="1"/>
    <col min="7938" max="7938" width="15" customWidth="1"/>
    <col min="7939" max="7939" width="14.42578125" customWidth="1"/>
    <col min="7940" max="7940" width="29.140625" customWidth="1"/>
    <col min="7941" max="7941" width="24.5703125" customWidth="1"/>
    <col min="7942" max="7942" width="13.140625" customWidth="1"/>
    <col min="7943" max="7943" width="8.7109375" customWidth="1"/>
    <col min="7944" max="7944" width="8" customWidth="1"/>
    <col min="7945" max="7945" width="12.28515625" customWidth="1"/>
    <col min="7946" max="7946" width="20.28515625" customWidth="1"/>
    <col min="7947" max="7947" width="13.85546875" customWidth="1"/>
    <col min="7948" max="7948" width="8" customWidth="1"/>
    <col min="8193" max="8193" width="30.140625" customWidth="1"/>
    <col min="8194" max="8194" width="15" customWidth="1"/>
    <col min="8195" max="8195" width="14.42578125" customWidth="1"/>
    <col min="8196" max="8196" width="29.140625" customWidth="1"/>
    <col min="8197" max="8197" width="24.5703125" customWidth="1"/>
    <col min="8198" max="8198" width="13.140625" customWidth="1"/>
    <col min="8199" max="8199" width="8.7109375" customWidth="1"/>
    <col min="8200" max="8200" width="8" customWidth="1"/>
    <col min="8201" max="8201" width="12.28515625" customWidth="1"/>
    <col min="8202" max="8202" width="20.28515625" customWidth="1"/>
    <col min="8203" max="8203" width="13.85546875" customWidth="1"/>
    <col min="8204" max="8204" width="8" customWidth="1"/>
    <col min="8449" max="8449" width="30.140625" customWidth="1"/>
    <col min="8450" max="8450" width="15" customWidth="1"/>
    <col min="8451" max="8451" width="14.42578125" customWidth="1"/>
    <col min="8452" max="8452" width="29.140625" customWidth="1"/>
    <col min="8453" max="8453" width="24.5703125" customWidth="1"/>
    <col min="8454" max="8454" width="13.140625" customWidth="1"/>
    <col min="8455" max="8455" width="8.7109375" customWidth="1"/>
    <col min="8456" max="8456" width="8" customWidth="1"/>
    <col min="8457" max="8457" width="12.28515625" customWidth="1"/>
    <col min="8458" max="8458" width="20.28515625" customWidth="1"/>
    <col min="8459" max="8459" width="13.85546875" customWidth="1"/>
    <col min="8460" max="8460" width="8" customWidth="1"/>
    <col min="8705" max="8705" width="30.140625" customWidth="1"/>
    <col min="8706" max="8706" width="15" customWidth="1"/>
    <col min="8707" max="8707" width="14.42578125" customWidth="1"/>
    <col min="8708" max="8708" width="29.140625" customWidth="1"/>
    <col min="8709" max="8709" width="24.5703125" customWidth="1"/>
    <col min="8710" max="8710" width="13.140625" customWidth="1"/>
    <col min="8711" max="8711" width="8.7109375" customWidth="1"/>
    <col min="8712" max="8712" width="8" customWidth="1"/>
    <col min="8713" max="8713" width="12.28515625" customWidth="1"/>
    <col min="8714" max="8714" width="20.28515625" customWidth="1"/>
    <col min="8715" max="8715" width="13.85546875" customWidth="1"/>
    <col min="8716" max="8716" width="8" customWidth="1"/>
    <col min="8961" max="8961" width="30.140625" customWidth="1"/>
    <col min="8962" max="8962" width="15" customWidth="1"/>
    <col min="8963" max="8963" width="14.42578125" customWidth="1"/>
    <col min="8964" max="8964" width="29.140625" customWidth="1"/>
    <col min="8965" max="8965" width="24.5703125" customWidth="1"/>
    <col min="8966" max="8966" width="13.140625" customWidth="1"/>
    <col min="8967" max="8967" width="8.7109375" customWidth="1"/>
    <col min="8968" max="8968" width="8" customWidth="1"/>
    <col min="8969" max="8969" width="12.28515625" customWidth="1"/>
    <col min="8970" max="8970" width="20.28515625" customWidth="1"/>
    <col min="8971" max="8971" width="13.85546875" customWidth="1"/>
    <col min="8972" max="8972" width="8" customWidth="1"/>
    <col min="9217" max="9217" width="30.140625" customWidth="1"/>
    <col min="9218" max="9218" width="15" customWidth="1"/>
    <col min="9219" max="9219" width="14.42578125" customWidth="1"/>
    <col min="9220" max="9220" width="29.140625" customWidth="1"/>
    <col min="9221" max="9221" width="24.5703125" customWidth="1"/>
    <col min="9222" max="9222" width="13.140625" customWidth="1"/>
    <col min="9223" max="9223" width="8.7109375" customWidth="1"/>
    <col min="9224" max="9224" width="8" customWidth="1"/>
    <col min="9225" max="9225" width="12.28515625" customWidth="1"/>
    <col min="9226" max="9226" width="20.28515625" customWidth="1"/>
    <col min="9227" max="9227" width="13.85546875" customWidth="1"/>
    <col min="9228" max="9228" width="8" customWidth="1"/>
    <col min="9473" max="9473" width="30.140625" customWidth="1"/>
    <col min="9474" max="9474" width="15" customWidth="1"/>
    <col min="9475" max="9475" width="14.42578125" customWidth="1"/>
    <col min="9476" max="9476" width="29.140625" customWidth="1"/>
    <col min="9477" max="9477" width="24.5703125" customWidth="1"/>
    <col min="9478" max="9478" width="13.140625" customWidth="1"/>
    <col min="9479" max="9479" width="8.7109375" customWidth="1"/>
    <col min="9480" max="9480" width="8" customWidth="1"/>
    <col min="9481" max="9481" width="12.28515625" customWidth="1"/>
    <col min="9482" max="9482" width="20.28515625" customWidth="1"/>
    <col min="9483" max="9483" width="13.85546875" customWidth="1"/>
    <col min="9484" max="9484" width="8" customWidth="1"/>
    <col min="9729" max="9729" width="30.140625" customWidth="1"/>
    <col min="9730" max="9730" width="15" customWidth="1"/>
    <col min="9731" max="9731" width="14.42578125" customWidth="1"/>
    <col min="9732" max="9732" width="29.140625" customWidth="1"/>
    <col min="9733" max="9733" width="24.5703125" customWidth="1"/>
    <col min="9734" max="9734" width="13.140625" customWidth="1"/>
    <col min="9735" max="9735" width="8.7109375" customWidth="1"/>
    <col min="9736" max="9736" width="8" customWidth="1"/>
    <col min="9737" max="9737" width="12.28515625" customWidth="1"/>
    <col min="9738" max="9738" width="20.28515625" customWidth="1"/>
    <col min="9739" max="9739" width="13.85546875" customWidth="1"/>
    <col min="9740" max="9740" width="8" customWidth="1"/>
    <col min="9985" max="9985" width="30.140625" customWidth="1"/>
    <col min="9986" max="9986" width="15" customWidth="1"/>
    <col min="9987" max="9987" width="14.42578125" customWidth="1"/>
    <col min="9988" max="9988" width="29.140625" customWidth="1"/>
    <col min="9989" max="9989" width="24.5703125" customWidth="1"/>
    <col min="9990" max="9990" width="13.140625" customWidth="1"/>
    <col min="9991" max="9991" width="8.7109375" customWidth="1"/>
    <col min="9992" max="9992" width="8" customWidth="1"/>
    <col min="9993" max="9993" width="12.28515625" customWidth="1"/>
    <col min="9994" max="9994" width="20.28515625" customWidth="1"/>
    <col min="9995" max="9995" width="13.85546875" customWidth="1"/>
    <col min="9996" max="9996" width="8" customWidth="1"/>
    <col min="10241" max="10241" width="30.140625" customWidth="1"/>
    <col min="10242" max="10242" width="15" customWidth="1"/>
    <col min="10243" max="10243" width="14.42578125" customWidth="1"/>
    <col min="10244" max="10244" width="29.140625" customWidth="1"/>
    <col min="10245" max="10245" width="24.5703125" customWidth="1"/>
    <col min="10246" max="10246" width="13.140625" customWidth="1"/>
    <col min="10247" max="10247" width="8.7109375" customWidth="1"/>
    <col min="10248" max="10248" width="8" customWidth="1"/>
    <col min="10249" max="10249" width="12.28515625" customWidth="1"/>
    <col min="10250" max="10250" width="20.28515625" customWidth="1"/>
    <col min="10251" max="10251" width="13.85546875" customWidth="1"/>
    <col min="10252" max="10252" width="8" customWidth="1"/>
    <col min="10497" max="10497" width="30.140625" customWidth="1"/>
    <col min="10498" max="10498" width="15" customWidth="1"/>
    <col min="10499" max="10499" width="14.42578125" customWidth="1"/>
    <col min="10500" max="10500" width="29.140625" customWidth="1"/>
    <col min="10501" max="10501" width="24.5703125" customWidth="1"/>
    <col min="10502" max="10502" width="13.140625" customWidth="1"/>
    <col min="10503" max="10503" width="8.7109375" customWidth="1"/>
    <col min="10504" max="10504" width="8" customWidth="1"/>
    <col min="10505" max="10505" width="12.28515625" customWidth="1"/>
    <col min="10506" max="10506" width="20.28515625" customWidth="1"/>
    <col min="10507" max="10507" width="13.85546875" customWidth="1"/>
    <col min="10508" max="10508" width="8" customWidth="1"/>
    <col min="10753" max="10753" width="30.140625" customWidth="1"/>
    <col min="10754" max="10754" width="15" customWidth="1"/>
    <col min="10755" max="10755" width="14.42578125" customWidth="1"/>
    <col min="10756" max="10756" width="29.140625" customWidth="1"/>
    <col min="10757" max="10757" width="24.5703125" customWidth="1"/>
    <col min="10758" max="10758" width="13.140625" customWidth="1"/>
    <col min="10759" max="10759" width="8.7109375" customWidth="1"/>
    <col min="10760" max="10760" width="8" customWidth="1"/>
    <col min="10761" max="10761" width="12.28515625" customWidth="1"/>
    <col min="10762" max="10762" width="20.28515625" customWidth="1"/>
    <col min="10763" max="10763" width="13.85546875" customWidth="1"/>
    <col min="10764" max="10764" width="8" customWidth="1"/>
    <col min="11009" max="11009" width="30.140625" customWidth="1"/>
    <col min="11010" max="11010" width="15" customWidth="1"/>
    <col min="11011" max="11011" width="14.42578125" customWidth="1"/>
    <col min="11012" max="11012" width="29.140625" customWidth="1"/>
    <col min="11013" max="11013" width="24.5703125" customWidth="1"/>
    <col min="11014" max="11014" width="13.140625" customWidth="1"/>
    <col min="11015" max="11015" width="8.7109375" customWidth="1"/>
    <col min="11016" max="11016" width="8" customWidth="1"/>
    <col min="11017" max="11017" width="12.28515625" customWidth="1"/>
    <col min="11018" max="11018" width="20.28515625" customWidth="1"/>
    <col min="11019" max="11019" width="13.85546875" customWidth="1"/>
    <col min="11020" max="11020" width="8" customWidth="1"/>
    <col min="11265" max="11265" width="30.140625" customWidth="1"/>
    <col min="11266" max="11266" width="15" customWidth="1"/>
    <col min="11267" max="11267" width="14.42578125" customWidth="1"/>
    <col min="11268" max="11268" width="29.140625" customWidth="1"/>
    <col min="11269" max="11269" width="24.5703125" customWidth="1"/>
    <col min="11270" max="11270" width="13.140625" customWidth="1"/>
    <col min="11271" max="11271" width="8.7109375" customWidth="1"/>
    <col min="11272" max="11272" width="8" customWidth="1"/>
    <col min="11273" max="11273" width="12.28515625" customWidth="1"/>
    <col min="11274" max="11274" width="20.28515625" customWidth="1"/>
    <col min="11275" max="11275" width="13.85546875" customWidth="1"/>
    <col min="11276" max="11276" width="8" customWidth="1"/>
    <col min="11521" max="11521" width="30.140625" customWidth="1"/>
    <col min="11522" max="11522" width="15" customWidth="1"/>
    <col min="11523" max="11523" width="14.42578125" customWidth="1"/>
    <col min="11524" max="11524" width="29.140625" customWidth="1"/>
    <col min="11525" max="11525" width="24.5703125" customWidth="1"/>
    <col min="11526" max="11526" width="13.140625" customWidth="1"/>
    <col min="11527" max="11527" width="8.7109375" customWidth="1"/>
    <col min="11528" max="11528" width="8" customWidth="1"/>
    <col min="11529" max="11529" width="12.28515625" customWidth="1"/>
    <col min="11530" max="11530" width="20.28515625" customWidth="1"/>
    <col min="11531" max="11531" width="13.85546875" customWidth="1"/>
    <col min="11532" max="11532" width="8" customWidth="1"/>
    <col min="11777" max="11777" width="30.140625" customWidth="1"/>
    <col min="11778" max="11778" width="15" customWidth="1"/>
    <col min="11779" max="11779" width="14.42578125" customWidth="1"/>
    <col min="11780" max="11780" width="29.140625" customWidth="1"/>
    <col min="11781" max="11781" width="24.5703125" customWidth="1"/>
    <col min="11782" max="11782" width="13.140625" customWidth="1"/>
    <col min="11783" max="11783" width="8.7109375" customWidth="1"/>
    <col min="11784" max="11784" width="8" customWidth="1"/>
    <col min="11785" max="11785" width="12.28515625" customWidth="1"/>
    <col min="11786" max="11786" width="20.28515625" customWidth="1"/>
    <col min="11787" max="11787" width="13.85546875" customWidth="1"/>
    <col min="11788" max="11788" width="8" customWidth="1"/>
    <col min="12033" max="12033" width="30.140625" customWidth="1"/>
    <col min="12034" max="12034" width="15" customWidth="1"/>
    <col min="12035" max="12035" width="14.42578125" customWidth="1"/>
    <col min="12036" max="12036" width="29.140625" customWidth="1"/>
    <col min="12037" max="12037" width="24.5703125" customWidth="1"/>
    <col min="12038" max="12038" width="13.140625" customWidth="1"/>
    <col min="12039" max="12039" width="8.7109375" customWidth="1"/>
    <col min="12040" max="12040" width="8" customWidth="1"/>
    <col min="12041" max="12041" width="12.28515625" customWidth="1"/>
    <col min="12042" max="12042" width="20.28515625" customWidth="1"/>
    <col min="12043" max="12043" width="13.85546875" customWidth="1"/>
    <col min="12044" max="12044" width="8" customWidth="1"/>
    <col min="12289" max="12289" width="30.140625" customWidth="1"/>
    <col min="12290" max="12290" width="15" customWidth="1"/>
    <col min="12291" max="12291" width="14.42578125" customWidth="1"/>
    <col min="12292" max="12292" width="29.140625" customWidth="1"/>
    <col min="12293" max="12293" width="24.5703125" customWidth="1"/>
    <col min="12294" max="12294" width="13.140625" customWidth="1"/>
    <col min="12295" max="12295" width="8.7109375" customWidth="1"/>
    <col min="12296" max="12296" width="8" customWidth="1"/>
    <col min="12297" max="12297" width="12.28515625" customWidth="1"/>
    <col min="12298" max="12298" width="20.28515625" customWidth="1"/>
    <col min="12299" max="12299" width="13.85546875" customWidth="1"/>
    <col min="12300" max="12300" width="8" customWidth="1"/>
    <col min="12545" max="12545" width="30.140625" customWidth="1"/>
    <col min="12546" max="12546" width="15" customWidth="1"/>
    <col min="12547" max="12547" width="14.42578125" customWidth="1"/>
    <col min="12548" max="12548" width="29.140625" customWidth="1"/>
    <col min="12549" max="12549" width="24.5703125" customWidth="1"/>
    <col min="12550" max="12550" width="13.140625" customWidth="1"/>
    <col min="12551" max="12551" width="8.7109375" customWidth="1"/>
    <col min="12552" max="12552" width="8" customWidth="1"/>
    <col min="12553" max="12553" width="12.28515625" customWidth="1"/>
    <col min="12554" max="12554" width="20.28515625" customWidth="1"/>
    <col min="12555" max="12555" width="13.85546875" customWidth="1"/>
    <col min="12556" max="12556" width="8" customWidth="1"/>
    <col min="12801" max="12801" width="30.140625" customWidth="1"/>
    <col min="12802" max="12802" width="15" customWidth="1"/>
    <col min="12803" max="12803" width="14.42578125" customWidth="1"/>
    <col min="12804" max="12804" width="29.140625" customWidth="1"/>
    <col min="12805" max="12805" width="24.5703125" customWidth="1"/>
    <col min="12806" max="12806" width="13.140625" customWidth="1"/>
    <col min="12807" max="12807" width="8.7109375" customWidth="1"/>
    <col min="12808" max="12808" width="8" customWidth="1"/>
    <col min="12809" max="12809" width="12.28515625" customWidth="1"/>
    <col min="12810" max="12810" width="20.28515625" customWidth="1"/>
    <col min="12811" max="12811" width="13.85546875" customWidth="1"/>
    <col min="12812" max="12812" width="8" customWidth="1"/>
    <col min="13057" max="13057" width="30.140625" customWidth="1"/>
    <col min="13058" max="13058" width="15" customWidth="1"/>
    <col min="13059" max="13059" width="14.42578125" customWidth="1"/>
    <col min="13060" max="13060" width="29.140625" customWidth="1"/>
    <col min="13061" max="13061" width="24.5703125" customWidth="1"/>
    <col min="13062" max="13062" width="13.140625" customWidth="1"/>
    <col min="13063" max="13063" width="8.7109375" customWidth="1"/>
    <col min="13064" max="13064" width="8" customWidth="1"/>
    <col min="13065" max="13065" width="12.28515625" customWidth="1"/>
    <col min="13066" max="13066" width="20.28515625" customWidth="1"/>
    <col min="13067" max="13067" width="13.85546875" customWidth="1"/>
    <col min="13068" max="13068" width="8" customWidth="1"/>
    <col min="13313" max="13313" width="30.140625" customWidth="1"/>
    <col min="13314" max="13314" width="15" customWidth="1"/>
    <col min="13315" max="13315" width="14.42578125" customWidth="1"/>
    <col min="13316" max="13316" width="29.140625" customWidth="1"/>
    <col min="13317" max="13317" width="24.5703125" customWidth="1"/>
    <col min="13318" max="13318" width="13.140625" customWidth="1"/>
    <col min="13319" max="13319" width="8.7109375" customWidth="1"/>
    <col min="13320" max="13320" width="8" customWidth="1"/>
    <col min="13321" max="13321" width="12.28515625" customWidth="1"/>
    <col min="13322" max="13322" width="20.28515625" customWidth="1"/>
    <col min="13323" max="13323" width="13.85546875" customWidth="1"/>
    <col min="13324" max="13324" width="8" customWidth="1"/>
    <col min="13569" max="13569" width="30.140625" customWidth="1"/>
    <col min="13570" max="13570" width="15" customWidth="1"/>
    <col min="13571" max="13571" width="14.42578125" customWidth="1"/>
    <col min="13572" max="13572" width="29.140625" customWidth="1"/>
    <col min="13573" max="13573" width="24.5703125" customWidth="1"/>
    <col min="13574" max="13574" width="13.140625" customWidth="1"/>
    <col min="13575" max="13575" width="8.7109375" customWidth="1"/>
    <col min="13576" max="13576" width="8" customWidth="1"/>
    <col min="13577" max="13577" width="12.28515625" customWidth="1"/>
    <col min="13578" max="13578" width="20.28515625" customWidth="1"/>
    <col min="13579" max="13579" width="13.85546875" customWidth="1"/>
    <col min="13580" max="13580" width="8" customWidth="1"/>
    <col min="13825" max="13825" width="30.140625" customWidth="1"/>
    <col min="13826" max="13826" width="15" customWidth="1"/>
    <col min="13827" max="13827" width="14.42578125" customWidth="1"/>
    <col min="13828" max="13828" width="29.140625" customWidth="1"/>
    <col min="13829" max="13829" width="24.5703125" customWidth="1"/>
    <col min="13830" max="13830" width="13.140625" customWidth="1"/>
    <col min="13831" max="13831" width="8.7109375" customWidth="1"/>
    <col min="13832" max="13832" width="8" customWidth="1"/>
    <col min="13833" max="13833" width="12.28515625" customWidth="1"/>
    <col min="13834" max="13834" width="20.28515625" customWidth="1"/>
    <col min="13835" max="13835" width="13.85546875" customWidth="1"/>
    <col min="13836" max="13836" width="8" customWidth="1"/>
    <col min="14081" max="14081" width="30.140625" customWidth="1"/>
    <col min="14082" max="14082" width="15" customWidth="1"/>
    <col min="14083" max="14083" width="14.42578125" customWidth="1"/>
    <col min="14084" max="14084" width="29.140625" customWidth="1"/>
    <col min="14085" max="14085" width="24.5703125" customWidth="1"/>
    <col min="14086" max="14086" width="13.140625" customWidth="1"/>
    <col min="14087" max="14087" width="8.7109375" customWidth="1"/>
    <col min="14088" max="14088" width="8" customWidth="1"/>
    <col min="14089" max="14089" width="12.28515625" customWidth="1"/>
    <col min="14090" max="14090" width="20.28515625" customWidth="1"/>
    <col min="14091" max="14091" width="13.85546875" customWidth="1"/>
    <col min="14092" max="14092" width="8" customWidth="1"/>
    <col min="14337" max="14337" width="30.140625" customWidth="1"/>
    <col min="14338" max="14338" width="15" customWidth="1"/>
    <col min="14339" max="14339" width="14.42578125" customWidth="1"/>
    <col min="14340" max="14340" width="29.140625" customWidth="1"/>
    <col min="14341" max="14341" width="24.5703125" customWidth="1"/>
    <col min="14342" max="14342" width="13.140625" customWidth="1"/>
    <col min="14343" max="14343" width="8.7109375" customWidth="1"/>
    <col min="14344" max="14344" width="8" customWidth="1"/>
    <col min="14345" max="14345" width="12.28515625" customWidth="1"/>
    <col min="14346" max="14346" width="20.28515625" customWidth="1"/>
    <col min="14347" max="14347" width="13.85546875" customWidth="1"/>
    <col min="14348" max="14348" width="8" customWidth="1"/>
    <col min="14593" max="14593" width="30.140625" customWidth="1"/>
    <col min="14594" max="14594" width="15" customWidth="1"/>
    <col min="14595" max="14595" width="14.42578125" customWidth="1"/>
    <col min="14596" max="14596" width="29.140625" customWidth="1"/>
    <col min="14597" max="14597" width="24.5703125" customWidth="1"/>
    <col min="14598" max="14598" width="13.140625" customWidth="1"/>
    <col min="14599" max="14599" width="8.7109375" customWidth="1"/>
    <col min="14600" max="14600" width="8" customWidth="1"/>
    <col min="14601" max="14601" width="12.28515625" customWidth="1"/>
    <col min="14602" max="14602" width="20.28515625" customWidth="1"/>
    <col min="14603" max="14603" width="13.85546875" customWidth="1"/>
    <col min="14604" max="14604" width="8" customWidth="1"/>
    <col min="14849" max="14849" width="30.140625" customWidth="1"/>
    <col min="14850" max="14850" width="15" customWidth="1"/>
    <col min="14851" max="14851" width="14.42578125" customWidth="1"/>
    <col min="14852" max="14852" width="29.140625" customWidth="1"/>
    <col min="14853" max="14853" width="24.5703125" customWidth="1"/>
    <col min="14854" max="14854" width="13.140625" customWidth="1"/>
    <col min="14855" max="14855" width="8.7109375" customWidth="1"/>
    <col min="14856" max="14856" width="8" customWidth="1"/>
    <col min="14857" max="14857" width="12.28515625" customWidth="1"/>
    <col min="14858" max="14858" width="20.28515625" customWidth="1"/>
    <col min="14859" max="14859" width="13.85546875" customWidth="1"/>
    <col min="14860" max="14860" width="8" customWidth="1"/>
    <col min="15105" max="15105" width="30.140625" customWidth="1"/>
    <col min="15106" max="15106" width="15" customWidth="1"/>
    <col min="15107" max="15107" width="14.42578125" customWidth="1"/>
    <col min="15108" max="15108" width="29.140625" customWidth="1"/>
    <col min="15109" max="15109" width="24.5703125" customWidth="1"/>
    <col min="15110" max="15110" width="13.140625" customWidth="1"/>
    <col min="15111" max="15111" width="8.7109375" customWidth="1"/>
    <col min="15112" max="15112" width="8" customWidth="1"/>
    <col min="15113" max="15113" width="12.28515625" customWidth="1"/>
    <col min="15114" max="15114" width="20.28515625" customWidth="1"/>
    <col min="15115" max="15115" width="13.85546875" customWidth="1"/>
    <col min="15116" max="15116" width="8" customWidth="1"/>
    <col min="15361" max="15361" width="30.140625" customWidth="1"/>
    <col min="15362" max="15362" width="15" customWidth="1"/>
    <col min="15363" max="15363" width="14.42578125" customWidth="1"/>
    <col min="15364" max="15364" width="29.140625" customWidth="1"/>
    <col min="15365" max="15365" width="24.5703125" customWidth="1"/>
    <col min="15366" max="15366" width="13.140625" customWidth="1"/>
    <col min="15367" max="15367" width="8.7109375" customWidth="1"/>
    <col min="15368" max="15368" width="8" customWidth="1"/>
    <col min="15369" max="15369" width="12.28515625" customWidth="1"/>
    <col min="15370" max="15370" width="20.28515625" customWidth="1"/>
    <col min="15371" max="15371" width="13.85546875" customWidth="1"/>
    <col min="15372" max="15372" width="8" customWidth="1"/>
    <col min="15617" max="15617" width="30.140625" customWidth="1"/>
    <col min="15618" max="15618" width="15" customWidth="1"/>
    <col min="15619" max="15619" width="14.42578125" customWidth="1"/>
    <col min="15620" max="15620" width="29.140625" customWidth="1"/>
    <col min="15621" max="15621" width="24.5703125" customWidth="1"/>
    <col min="15622" max="15622" width="13.140625" customWidth="1"/>
    <col min="15623" max="15623" width="8.7109375" customWidth="1"/>
    <col min="15624" max="15624" width="8" customWidth="1"/>
    <col min="15625" max="15625" width="12.28515625" customWidth="1"/>
    <col min="15626" max="15626" width="20.28515625" customWidth="1"/>
    <col min="15627" max="15627" width="13.85546875" customWidth="1"/>
    <col min="15628" max="15628" width="8" customWidth="1"/>
    <col min="15873" max="15873" width="30.140625" customWidth="1"/>
    <col min="15874" max="15874" width="15" customWidth="1"/>
    <col min="15875" max="15875" width="14.42578125" customWidth="1"/>
    <col min="15876" max="15876" width="29.140625" customWidth="1"/>
    <col min="15877" max="15877" width="24.5703125" customWidth="1"/>
    <col min="15878" max="15878" width="13.140625" customWidth="1"/>
    <col min="15879" max="15879" width="8.7109375" customWidth="1"/>
    <col min="15880" max="15880" width="8" customWidth="1"/>
    <col min="15881" max="15881" width="12.28515625" customWidth="1"/>
    <col min="15882" max="15882" width="20.28515625" customWidth="1"/>
    <col min="15883" max="15883" width="13.85546875" customWidth="1"/>
    <col min="15884" max="15884" width="8" customWidth="1"/>
    <col min="16129" max="16129" width="30.140625" customWidth="1"/>
    <col min="16130" max="16130" width="15" customWidth="1"/>
    <col min="16131" max="16131" width="14.42578125" customWidth="1"/>
    <col min="16132" max="16132" width="29.140625" customWidth="1"/>
    <col min="16133" max="16133" width="24.5703125" customWidth="1"/>
    <col min="16134" max="16134" width="13.140625" customWidth="1"/>
    <col min="16135" max="16135" width="8.7109375" customWidth="1"/>
    <col min="16136" max="16136" width="8" customWidth="1"/>
    <col min="16137" max="16137" width="12.28515625" customWidth="1"/>
    <col min="16138" max="16138" width="20.28515625" customWidth="1"/>
    <col min="16139" max="16139" width="13.85546875" customWidth="1"/>
    <col min="16140" max="16140" width="8" customWidth="1"/>
  </cols>
  <sheetData>
    <row r="1" spans="1:13" ht="12.75" customHeight="1">
      <c r="B1" s="41"/>
      <c r="E1" s="42"/>
    </row>
    <row r="2" spans="1:13" ht="12.75" customHeight="1">
      <c r="A2" s="43" t="s">
        <v>89</v>
      </c>
      <c r="B2" s="42"/>
      <c r="C2" s="114"/>
      <c r="E2" s="42"/>
    </row>
    <row r="3" spans="1:13" ht="12.75" customHeight="1">
      <c r="A3" t="s">
        <v>180</v>
      </c>
      <c r="B3" s="114">
        <f>Historico!I25</f>
        <v>43739</v>
      </c>
      <c r="D3" s="44"/>
      <c r="E3" s="45"/>
    </row>
    <row r="4" spans="1:13" ht="12.75" customHeight="1">
      <c r="A4" t="s">
        <v>179</v>
      </c>
      <c r="B4" s="119">
        <v>130048.84</v>
      </c>
      <c r="C4" s="114"/>
      <c r="E4" s="41"/>
    </row>
    <row r="5" spans="1:13" ht="12.75" customHeight="1">
      <c r="A5" t="s">
        <v>90</v>
      </c>
      <c r="B5" s="46">
        <f>((YEAR(B9)-YEAR(B3))*12)+(MONTH(B9)-MONTH(B3)+1)</f>
        <v>341</v>
      </c>
      <c r="E5" s="42"/>
      <c r="J5" s="47" t="s">
        <v>91</v>
      </c>
      <c r="L5" s="44" t="s">
        <v>92</v>
      </c>
      <c r="M5" t="s">
        <v>93</v>
      </c>
    </row>
    <row r="6" spans="1:13" ht="12.75" customHeight="1">
      <c r="A6" t="s">
        <v>94</v>
      </c>
      <c r="B6" s="48">
        <f>E19</f>
        <v>-0.3</v>
      </c>
      <c r="C6" s="44" t="s">
        <v>95</v>
      </c>
      <c r="D6" s="43" t="s">
        <v>96</v>
      </c>
      <c r="E6" s="42"/>
      <c r="J6" t="s">
        <v>97</v>
      </c>
      <c r="K6" s="49">
        <f>B4-B15</f>
        <v>129678.16808539932</v>
      </c>
      <c r="L6" s="39">
        <f>B4*(E8/100)</f>
        <v>21.674806666666665</v>
      </c>
      <c r="M6" s="49">
        <f>B13-L6</f>
        <v>370.67191460067761</v>
      </c>
    </row>
    <row r="7" spans="1:13" ht="12.75" customHeight="1">
      <c r="E7" s="42"/>
      <c r="J7" t="s">
        <v>98</v>
      </c>
      <c r="K7" s="49">
        <f>K6-(B13-L7)</f>
        <v>129307.4343921462</v>
      </c>
      <c r="L7" s="39">
        <f>(K6*(E8/100))</f>
        <v>21.613028014233219</v>
      </c>
      <c r="M7" s="49">
        <f>B13-L7</f>
        <v>370.73369325311103</v>
      </c>
    </row>
    <row r="8" spans="1:13" ht="12.75" customHeight="1">
      <c r="B8" s="42"/>
      <c r="D8" t="s">
        <v>183</v>
      </c>
      <c r="E8" s="50">
        <f>(B6+0.5)/12</f>
        <v>1.6666666666666666E-2</v>
      </c>
      <c r="J8" t="s">
        <v>99</v>
      </c>
      <c r="K8" s="49">
        <f>K7-(B13-L8)</f>
        <v>128936.63890994422</v>
      </c>
      <c r="L8" s="39">
        <f>(K7*(E8/100))</f>
        <v>21.551239065357699</v>
      </c>
      <c r="M8" s="49">
        <f>B13-L8</f>
        <v>370.79548220198654</v>
      </c>
    </row>
    <row r="9" spans="1:13" ht="12.75" customHeight="1">
      <c r="A9" t="s">
        <v>310</v>
      </c>
      <c r="B9" s="114">
        <v>54117</v>
      </c>
      <c r="D9" t="s">
        <v>100</v>
      </c>
      <c r="E9" s="50">
        <f>1+(E8/100)</f>
        <v>1.0001666666666666</v>
      </c>
      <c r="J9" t="s">
        <v>101</v>
      </c>
      <c r="K9" s="49">
        <f>K8-(B13-L9)</f>
        <v>128565.7816284952</v>
      </c>
      <c r="L9" s="39">
        <f>(K8*(E8/100))</f>
        <v>21.489439818324037</v>
      </c>
      <c r="M9" s="49">
        <f>B13-L9</f>
        <v>370.85728144902021</v>
      </c>
    </row>
    <row r="10" spans="1:13" ht="12.75" customHeight="1">
      <c r="B10" s="42"/>
      <c r="D10" t="s">
        <v>102</v>
      </c>
      <c r="E10" s="50">
        <f>E9^-B5</f>
        <v>0.94475598879314326</v>
      </c>
      <c r="J10" t="s">
        <v>103</v>
      </c>
      <c r="K10" s="49">
        <f>K9-(B13-L10)</f>
        <v>128194.86253749927</v>
      </c>
      <c r="L10" s="39">
        <f>(K9*(E8/100))</f>
        <v>21.427630271415865</v>
      </c>
      <c r="M10" s="49">
        <f>B13-L10</f>
        <v>370.9190909959284</v>
      </c>
    </row>
    <row r="11" spans="1:13" ht="12.75" customHeight="1">
      <c r="A11" s="43" t="s">
        <v>104</v>
      </c>
      <c r="B11" s="42"/>
      <c r="D11" t="s">
        <v>105</v>
      </c>
      <c r="E11" s="50">
        <f>100*(1-E10)</f>
        <v>5.524401120685674</v>
      </c>
      <c r="J11" t="s">
        <v>106</v>
      </c>
      <c r="K11" s="51">
        <f>K10-(B13-L11)</f>
        <v>127823.88162665484</v>
      </c>
      <c r="L11" s="39">
        <f>(K10*(E8/100))</f>
        <v>21.365810422916546</v>
      </c>
      <c r="M11" s="49">
        <f>B13-L11</f>
        <v>370.98091084442774</v>
      </c>
    </row>
    <row r="12" spans="1:13" ht="12.75" customHeight="1">
      <c r="B12" s="42"/>
      <c r="E12" s="42"/>
    </row>
    <row r="13" spans="1:13" ht="12.75" customHeight="1">
      <c r="A13" t="s">
        <v>107</v>
      </c>
      <c r="B13" s="52">
        <f>(B4*E8)/E11</f>
        <v>392.34672126734426</v>
      </c>
      <c r="E13" s="42"/>
      <c r="F13" s="44"/>
      <c r="G13" s="53"/>
      <c r="L13" s="54">
        <f>SUM(L6:L11)</f>
        <v>129.12195425891403</v>
      </c>
      <c r="M13" s="54">
        <f>SUM(M6:M11)</f>
        <v>2224.9583733451518</v>
      </c>
    </row>
    <row r="14" spans="1:13" ht="12.75" customHeight="1">
      <c r="A14" t="s">
        <v>108</v>
      </c>
      <c r="B14" s="55">
        <f>B4*(E8/100)</f>
        <v>21.674806666666665</v>
      </c>
      <c r="E14" s="42"/>
    </row>
    <row r="15" spans="1:13" ht="12.75" customHeight="1">
      <c r="A15" t="s">
        <v>109</v>
      </c>
      <c r="B15" s="55">
        <f>B13-B14</f>
        <v>370.67191460067761</v>
      </c>
      <c r="E15" s="42"/>
    </row>
    <row r="16" spans="1:13" ht="12.75" customHeight="1">
      <c r="B16" s="42"/>
      <c r="E16" s="42"/>
    </row>
    <row r="17" spans="1:9" ht="12.75" customHeight="1">
      <c r="B17" s="42"/>
      <c r="D17" t="s">
        <v>110</v>
      </c>
      <c r="E17" s="53">
        <f>B13-Historico!C21</f>
        <v>392.34828126734425</v>
      </c>
    </row>
    <row r="18" spans="1:9" ht="12.75" customHeight="1">
      <c r="B18" s="42"/>
      <c r="E18" s="42"/>
    </row>
    <row r="19" spans="1:9" ht="12.75" customHeight="1">
      <c r="B19" s="50"/>
      <c r="D19" t="s">
        <v>111</v>
      </c>
      <c r="E19" s="56">
        <f>E20/G45</f>
        <v>-0.3</v>
      </c>
      <c r="F19" t="s">
        <v>112</v>
      </c>
    </row>
    <row r="20" spans="1:9" ht="12.75" customHeight="1">
      <c r="B20" s="42"/>
      <c r="D20" t="s">
        <v>113</v>
      </c>
      <c r="E20" s="57">
        <f>SUM(E21:E54)</f>
        <v>-0.3</v>
      </c>
    </row>
    <row r="21" spans="1:9" ht="12.75" customHeight="1">
      <c r="E21" s="42"/>
      <c r="F21">
        <v>1</v>
      </c>
      <c r="G21" s="57">
        <v>0</v>
      </c>
      <c r="I21" s="42"/>
    </row>
    <row r="22" spans="1:9" ht="12.75" customHeight="1">
      <c r="A22" s="44" t="s">
        <v>114</v>
      </c>
      <c r="B22" s="53">
        <f>(B13-L6)+(B13-L7)+(B13-L8)+(B13-L9)+(B13-L10)+(B13-L11)</f>
        <v>2224.9583733451518</v>
      </c>
      <c r="C22" s="58">
        <f>B22/170000</f>
        <v>1.308799043144207E-2</v>
      </c>
      <c r="E22" s="42"/>
      <c r="F22">
        <v>4</v>
      </c>
      <c r="G22" s="57">
        <v>0</v>
      </c>
    </row>
    <row r="23" spans="1:9" ht="12.75" customHeight="1">
      <c r="A23" t="s">
        <v>115</v>
      </c>
      <c r="B23" s="53">
        <f>K11</f>
        <v>127823.88162665484</v>
      </c>
      <c r="C23" s="59">
        <f>6/(40*6)</f>
        <v>2.5000000000000001E-2</v>
      </c>
      <c r="E23" s="42"/>
      <c r="F23">
        <v>5</v>
      </c>
      <c r="G23" s="57">
        <v>0</v>
      </c>
    </row>
    <row r="24" spans="1:9" ht="12.75" customHeight="1">
      <c r="E24" s="42"/>
      <c r="F24">
        <v>6</v>
      </c>
      <c r="G24" s="57">
        <v>0</v>
      </c>
    </row>
    <row r="25" spans="1:9" ht="12.75" customHeight="1">
      <c r="E25" s="42"/>
      <c r="F25">
        <v>7</v>
      </c>
      <c r="G25" s="57">
        <v>0</v>
      </c>
    </row>
    <row r="26" spans="1:9" ht="12.75" customHeight="1">
      <c r="E26" s="42"/>
      <c r="F26">
        <v>8</v>
      </c>
      <c r="G26" s="57">
        <v>0</v>
      </c>
    </row>
    <row r="27" spans="1:9" ht="12.75" customHeight="1">
      <c r="E27" s="42"/>
      <c r="F27">
        <v>11</v>
      </c>
      <c r="G27" s="57">
        <v>0</v>
      </c>
    </row>
    <row r="28" spans="1:9" ht="12.75" customHeight="1">
      <c r="C28" s="59"/>
      <c r="E28" s="42"/>
      <c r="F28">
        <v>12</v>
      </c>
      <c r="G28" s="57">
        <v>0</v>
      </c>
    </row>
    <row r="29" spans="1:9" ht="12.75" customHeight="1">
      <c r="C29" s="59"/>
      <c r="E29" s="42"/>
      <c r="F29">
        <v>13</v>
      </c>
      <c r="G29" s="57">
        <v>0</v>
      </c>
    </row>
    <row r="30" spans="1:9" ht="12.75" customHeight="1">
      <c r="C30" s="59"/>
      <c r="E30" s="42"/>
      <c r="F30">
        <v>14</v>
      </c>
      <c r="G30" s="57">
        <v>0</v>
      </c>
    </row>
    <row r="31" spans="1:9" ht="12.75" customHeight="1">
      <c r="E31" s="42"/>
      <c r="F31">
        <v>15</v>
      </c>
      <c r="G31" s="57">
        <v>0</v>
      </c>
    </row>
    <row r="32" spans="1:9" ht="12.75" customHeight="1">
      <c r="E32" s="42"/>
      <c r="F32">
        <v>18</v>
      </c>
      <c r="G32" s="57">
        <v>0</v>
      </c>
    </row>
    <row r="33" spans="2:10" ht="12.75" customHeight="1">
      <c r="C33" s="59"/>
      <c r="E33" s="42"/>
      <c r="F33">
        <v>19</v>
      </c>
      <c r="G33" s="57">
        <v>0</v>
      </c>
    </row>
    <row r="34" spans="2:10" ht="12.75" customHeight="1">
      <c r="C34" s="58"/>
      <c r="E34" s="42"/>
      <c r="F34">
        <v>20</v>
      </c>
      <c r="G34" s="57">
        <v>0</v>
      </c>
    </row>
    <row r="35" spans="2:10" ht="12.75" customHeight="1">
      <c r="C35" s="58"/>
      <c r="E35" s="42"/>
      <c r="F35">
        <v>21</v>
      </c>
      <c r="G35" s="57">
        <v>0</v>
      </c>
      <c r="J35" t="s">
        <v>362</v>
      </c>
    </row>
    <row r="36" spans="2:10" ht="12.75" customHeight="1">
      <c r="E36" s="42"/>
      <c r="F36">
        <v>22</v>
      </c>
      <c r="G36" s="57">
        <v>0</v>
      </c>
    </row>
    <row r="37" spans="2:10" ht="12.75" customHeight="1">
      <c r="E37" s="42"/>
      <c r="F37">
        <v>25</v>
      </c>
      <c r="G37" s="57">
        <v>0</v>
      </c>
    </row>
    <row r="38" spans="2:10" ht="12.75" customHeight="1">
      <c r="E38" s="42"/>
      <c r="F38">
        <v>26</v>
      </c>
      <c r="G38" s="57">
        <v>0</v>
      </c>
    </row>
    <row r="39" spans="2:10" ht="12.75" customHeight="1">
      <c r="E39" s="42"/>
      <c r="F39">
        <v>27</v>
      </c>
      <c r="G39" s="57">
        <v>0</v>
      </c>
    </row>
    <row r="40" spans="2:10" ht="12.75" customHeight="1">
      <c r="E40" s="42">
        <v>-0.3</v>
      </c>
      <c r="F40">
        <v>28</v>
      </c>
      <c r="G40" s="57">
        <f t="shared" ref="G40" si="0">IF(E40="",0,1)</f>
        <v>1</v>
      </c>
    </row>
    <row r="41" spans="2:10" ht="12.75" customHeight="1">
      <c r="E41" s="42"/>
      <c r="F41">
        <v>29</v>
      </c>
      <c r="G41" s="57">
        <f t="shared" ref="G41:G43" si="1">IF(E41="",0,1)</f>
        <v>0</v>
      </c>
    </row>
    <row r="42" spans="2:10" ht="12.75" customHeight="1">
      <c r="E42" s="42"/>
      <c r="F42">
        <v>30</v>
      </c>
      <c r="G42" s="57">
        <f t="shared" si="1"/>
        <v>0</v>
      </c>
    </row>
    <row r="43" spans="2:10" ht="12.75" customHeight="1">
      <c r="B43" s="39"/>
      <c r="E43" s="42"/>
      <c r="F43">
        <v>31</v>
      </c>
      <c r="G43" s="57">
        <f t="shared" si="1"/>
        <v>0</v>
      </c>
    </row>
    <row r="45" spans="2:10" ht="12.75" customHeight="1">
      <c r="G45" s="57">
        <f>SUM(G21:G43)</f>
        <v>1</v>
      </c>
    </row>
    <row r="46" spans="2:10">
      <c r="B46" s="60"/>
    </row>
    <row r="56" spans="3:3">
      <c r="C56" s="39"/>
    </row>
    <row r="57" spans="3:3">
      <c r="C57" s="39"/>
    </row>
    <row r="58" spans="3:3">
      <c r="C58" s="39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I63"/>
  <sheetViews>
    <sheetView topLeftCell="A16" workbookViewId="0">
      <selection activeCell="G22" sqref="G22"/>
    </sheetView>
  </sheetViews>
  <sheetFormatPr defaultColWidth="11" defaultRowHeight="15"/>
  <cols>
    <col min="3" max="3" width="14.140625" customWidth="1"/>
    <col min="4" max="4" width="18" customWidth="1"/>
  </cols>
  <sheetData>
    <row r="1" spans="1:5" ht="15.75" thickBot="1">
      <c r="A1" s="90">
        <v>258.47000000000003</v>
      </c>
    </row>
    <row r="2" spans="1:5" ht="15.75" thickBot="1">
      <c r="A2" s="90">
        <v>9486.92</v>
      </c>
      <c r="B2" s="64" t="s">
        <v>145</v>
      </c>
      <c r="C2" s="61" t="s">
        <v>146</v>
      </c>
      <c r="D2" s="63" t="s">
        <v>147</v>
      </c>
    </row>
    <row r="3" spans="1:5">
      <c r="B3" s="79">
        <v>43074</v>
      </c>
      <c r="C3" s="70">
        <v>0</v>
      </c>
      <c r="D3" s="66">
        <v>24736.65</v>
      </c>
      <c r="E3" t="s">
        <v>148</v>
      </c>
    </row>
    <row r="4" spans="1:5">
      <c r="B4" s="79">
        <f>EDATE(B3,1)</f>
        <v>43105</v>
      </c>
      <c r="C4" s="70">
        <f>C3+A$1</f>
        <v>258.47000000000003</v>
      </c>
      <c r="D4" s="66">
        <f>D3-A$1</f>
        <v>24478.18</v>
      </c>
      <c r="E4" t="s">
        <v>148</v>
      </c>
    </row>
    <row r="5" spans="1:5">
      <c r="B5" s="79">
        <f>EDATE(B4,1)</f>
        <v>43136</v>
      </c>
      <c r="C5" s="70">
        <f>C4+A$1</f>
        <v>516.94000000000005</v>
      </c>
      <c r="D5" s="66">
        <f t="shared" ref="D5:D61" si="0">D4-A$1</f>
        <v>24219.71</v>
      </c>
      <c r="E5" t="s">
        <v>148</v>
      </c>
    </row>
    <row r="6" spans="1:5">
      <c r="B6" s="79">
        <f t="shared" ref="B6:B63" si="1">EDATE(B5,1)</f>
        <v>43164</v>
      </c>
      <c r="C6" s="70">
        <f t="shared" ref="C6:C62" si="2">C5+A$1</f>
        <v>775.41000000000008</v>
      </c>
      <c r="D6" s="66">
        <f t="shared" si="0"/>
        <v>23961.239999999998</v>
      </c>
      <c r="E6" t="s">
        <v>148</v>
      </c>
    </row>
    <row r="7" spans="1:5">
      <c r="B7" s="79">
        <f t="shared" si="1"/>
        <v>43195</v>
      </c>
      <c r="C7" s="70">
        <f t="shared" si="2"/>
        <v>1033.8800000000001</v>
      </c>
      <c r="D7" s="66">
        <f t="shared" si="0"/>
        <v>23702.769999999997</v>
      </c>
      <c r="E7" t="s">
        <v>148</v>
      </c>
    </row>
    <row r="8" spans="1:5">
      <c r="B8" s="79">
        <f t="shared" si="1"/>
        <v>43225</v>
      </c>
      <c r="C8" s="70">
        <f t="shared" si="2"/>
        <v>1292.3500000000001</v>
      </c>
      <c r="D8" s="66">
        <f t="shared" si="0"/>
        <v>23444.299999999996</v>
      </c>
      <c r="E8" t="s">
        <v>148</v>
      </c>
    </row>
    <row r="9" spans="1:5">
      <c r="B9" s="79">
        <f t="shared" si="1"/>
        <v>43256</v>
      </c>
      <c r="C9" s="70">
        <f t="shared" si="2"/>
        <v>1550.8200000000002</v>
      </c>
      <c r="D9" s="66">
        <f t="shared" si="0"/>
        <v>23185.829999999994</v>
      </c>
      <c r="E9" t="s">
        <v>148</v>
      </c>
    </row>
    <row r="10" spans="1:5">
      <c r="B10" s="79">
        <f t="shared" si="1"/>
        <v>43286</v>
      </c>
      <c r="C10" s="70">
        <f t="shared" si="2"/>
        <v>1809.2900000000002</v>
      </c>
      <c r="D10" s="66">
        <f t="shared" si="0"/>
        <v>22927.359999999993</v>
      </c>
      <c r="E10" t="s">
        <v>148</v>
      </c>
    </row>
    <row r="11" spans="1:5">
      <c r="B11" s="79">
        <f t="shared" si="1"/>
        <v>43317</v>
      </c>
      <c r="C11" s="70">
        <f t="shared" si="2"/>
        <v>2067.7600000000002</v>
      </c>
      <c r="D11" s="66">
        <f t="shared" si="0"/>
        <v>22668.889999999992</v>
      </c>
      <c r="E11" t="s">
        <v>148</v>
      </c>
    </row>
    <row r="12" spans="1:5">
      <c r="B12" s="79">
        <f t="shared" si="1"/>
        <v>43348</v>
      </c>
      <c r="C12" s="70">
        <f t="shared" si="2"/>
        <v>2326.2300000000005</v>
      </c>
      <c r="D12" s="66">
        <f t="shared" si="0"/>
        <v>22410.419999999991</v>
      </c>
      <c r="E12" t="s">
        <v>148</v>
      </c>
    </row>
    <row r="13" spans="1:5">
      <c r="B13" s="79">
        <f t="shared" si="1"/>
        <v>43378</v>
      </c>
      <c r="C13" s="70">
        <f t="shared" si="2"/>
        <v>2584.7000000000007</v>
      </c>
      <c r="D13" s="66">
        <f t="shared" si="0"/>
        <v>22151.94999999999</v>
      </c>
      <c r="E13" t="s">
        <v>148</v>
      </c>
    </row>
    <row r="14" spans="1:5">
      <c r="B14" s="79">
        <f t="shared" si="1"/>
        <v>43409</v>
      </c>
      <c r="C14" s="70">
        <f t="shared" si="2"/>
        <v>2843.170000000001</v>
      </c>
      <c r="D14" s="66">
        <f t="shared" si="0"/>
        <v>21893.479999999989</v>
      </c>
      <c r="E14" t="s">
        <v>148</v>
      </c>
    </row>
    <row r="15" spans="1:5">
      <c r="B15" s="79">
        <f t="shared" si="1"/>
        <v>43439</v>
      </c>
      <c r="C15" s="70">
        <f t="shared" si="2"/>
        <v>3101.6400000000012</v>
      </c>
      <c r="D15" s="66">
        <f t="shared" si="0"/>
        <v>21635.009999999987</v>
      </c>
      <c r="E15" t="s">
        <v>148</v>
      </c>
    </row>
    <row r="16" spans="1:5">
      <c r="B16" s="79">
        <f t="shared" si="1"/>
        <v>43470</v>
      </c>
      <c r="C16" s="70">
        <f t="shared" si="2"/>
        <v>3360.1100000000015</v>
      </c>
      <c r="D16" s="66">
        <f t="shared" si="0"/>
        <v>21376.539999999986</v>
      </c>
      <c r="E16" t="s">
        <v>148</v>
      </c>
    </row>
    <row r="17" spans="2:9">
      <c r="B17" s="79">
        <f t="shared" si="1"/>
        <v>43501</v>
      </c>
      <c r="C17" s="70">
        <f t="shared" si="2"/>
        <v>3618.5800000000017</v>
      </c>
      <c r="D17" s="66">
        <f t="shared" si="0"/>
        <v>21118.069999999985</v>
      </c>
      <c r="E17" t="s">
        <v>148</v>
      </c>
    </row>
    <row r="18" spans="2:9">
      <c r="B18" s="79">
        <f t="shared" si="1"/>
        <v>43529</v>
      </c>
      <c r="C18" s="70">
        <f t="shared" si="2"/>
        <v>3877.050000000002</v>
      </c>
      <c r="D18" s="66">
        <f t="shared" si="0"/>
        <v>20859.599999999984</v>
      </c>
      <c r="E18" t="s">
        <v>148</v>
      </c>
    </row>
    <row r="19" spans="2:9">
      <c r="B19" s="79">
        <f t="shared" si="1"/>
        <v>43560</v>
      </c>
      <c r="C19" s="70">
        <f t="shared" si="2"/>
        <v>4135.5200000000023</v>
      </c>
      <c r="D19" s="66">
        <f t="shared" si="0"/>
        <v>20601.129999999983</v>
      </c>
      <c r="E19" t="s">
        <v>148</v>
      </c>
    </row>
    <row r="20" spans="2:9">
      <c r="B20" s="79">
        <f t="shared" si="1"/>
        <v>43590</v>
      </c>
      <c r="C20" s="70">
        <f t="shared" si="2"/>
        <v>4393.9900000000025</v>
      </c>
      <c r="D20" s="66">
        <f t="shared" si="0"/>
        <v>20342.659999999982</v>
      </c>
      <c r="E20" t="s">
        <v>148</v>
      </c>
      <c r="G20">
        <f>9486.92-I20</f>
        <v>6086.8600000000006</v>
      </c>
      <c r="H20">
        <v>67.53</v>
      </c>
      <c r="I20">
        <v>3400.06</v>
      </c>
    </row>
    <row r="21" spans="2:9">
      <c r="B21" s="79">
        <f t="shared" si="1"/>
        <v>43621</v>
      </c>
      <c r="C21" s="70">
        <f t="shared" si="2"/>
        <v>4652.4600000000028</v>
      </c>
      <c r="D21" s="66">
        <f t="shared" si="0"/>
        <v>20084.189999999981</v>
      </c>
      <c r="E21" t="s">
        <v>148</v>
      </c>
      <c r="G21">
        <f>G20-H$20</f>
        <v>6019.3300000000008</v>
      </c>
    </row>
    <row r="22" spans="2:9">
      <c r="B22" s="79">
        <f t="shared" si="1"/>
        <v>43651</v>
      </c>
      <c r="C22" s="70">
        <f t="shared" si="2"/>
        <v>4910.930000000003</v>
      </c>
      <c r="D22" s="66">
        <f t="shared" si="0"/>
        <v>19825.719999999979</v>
      </c>
      <c r="E22" t="s">
        <v>148</v>
      </c>
      <c r="G22">
        <f t="shared" ref="G22:G63" si="3">G21-H$20</f>
        <v>5951.8000000000011</v>
      </c>
    </row>
    <row r="23" spans="2:9">
      <c r="B23" s="79">
        <f t="shared" si="1"/>
        <v>43682</v>
      </c>
      <c r="C23" s="70">
        <f t="shared" si="2"/>
        <v>5169.4000000000033</v>
      </c>
      <c r="D23" s="66">
        <f t="shared" si="0"/>
        <v>19567.249999999978</v>
      </c>
      <c r="G23">
        <f t="shared" si="3"/>
        <v>5884.2700000000013</v>
      </c>
    </row>
    <row r="24" spans="2:9">
      <c r="B24" s="79">
        <f t="shared" si="1"/>
        <v>43713</v>
      </c>
      <c r="C24" s="70">
        <f t="shared" si="2"/>
        <v>5427.8700000000035</v>
      </c>
      <c r="D24" s="66">
        <f t="shared" si="0"/>
        <v>19308.779999999977</v>
      </c>
      <c r="G24">
        <f t="shared" si="3"/>
        <v>5816.7400000000016</v>
      </c>
    </row>
    <row r="25" spans="2:9">
      <c r="B25" s="79">
        <f t="shared" si="1"/>
        <v>43743</v>
      </c>
      <c r="C25" s="70">
        <f t="shared" si="2"/>
        <v>5686.3400000000038</v>
      </c>
      <c r="D25" s="66">
        <f t="shared" si="0"/>
        <v>19050.309999999976</v>
      </c>
      <c r="G25">
        <f t="shared" si="3"/>
        <v>5749.2100000000019</v>
      </c>
    </row>
    <row r="26" spans="2:9">
      <c r="B26" s="79">
        <f t="shared" si="1"/>
        <v>43774</v>
      </c>
      <c r="C26" s="70">
        <f t="shared" si="2"/>
        <v>5944.810000000004</v>
      </c>
      <c r="D26" s="66">
        <f t="shared" si="0"/>
        <v>18791.839999999975</v>
      </c>
      <c r="G26">
        <f t="shared" si="3"/>
        <v>5681.6800000000021</v>
      </c>
    </row>
    <row r="27" spans="2:9">
      <c r="B27" s="79">
        <f t="shared" si="1"/>
        <v>43804</v>
      </c>
      <c r="C27" s="70">
        <f t="shared" si="2"/>
        <v>6203.2800000000043</v>
      </c>
      <c r="D27" s="66">
        <f t="shared" si="0"/>
        <v>18533.369999999974</v>
      </c>
      <c r="G27">
        <f t="shared" si="3"/>
        <v>5614.1500000000024</v>
      </c>
    </row>
    <row r="28" spans="2:9">
      <c r="B28" s="79">
        <f t="shared" si="1"/>
        <v>43835</v>
      </c>
      <c r="C28" s="70">
        <f t="shared" si="2"/>
        <v>6461.7500000000045</v>
      </c>
      <c r="D28" s="66">
        <f t="shared" si="0"/>
        <v>18274.899999999972</v>
      </c>
      <c r="G28">
        <f t="shared" si="3"/>
        <v>5546.6200000000026</v>
      </c>
    </row>
    <row r="29" spans="2:9">
      <c r="B29" s="79">
        <f t="shared" si="1"/>
        <v>43866</v>
      </c>
      <c r="C29" s="70">
        <f t="shared" si="2"/>
        <v>6720.2200000000048</v>
      </c>
      <c r="D29" s="66">
        <f t="shared" si="0"/>
        <v>18016.429999999971</v>
      </c>
      <c r="G29">
        <f t="shared" si="3"/>
        <v>5479.0900000000029</v>
      </c>
    </row>
    <row r="30" spans="2:9">
      <c r="B30" s="79">
        <f t="shared" si="1"/>
        <v>43895</v>
      </c>
      <c r="C30" s="70">
        <f t="shared" si="2"/>
        <v>6978.6900000000051</v>
      </c>
      <c r="D30" s="66">
        <f t="shared" si="0"/>
        <v>17757.95999999997</v>
      </c>
      <c r="G30">
        <f t="shared" si="3"/>
        <v>5411.5600000000031</v>
      </c>
    </row>
    <row r="31" spans="2:9">
      <c r="B31" s="79">
        <f t="shared" si="1"/>
        <v>43926</v>
      </c>
      <c r="C31" s="70">
        <f t="shared" si="2"/>
        <v>7237.1600000000053</v>
      </c>
      <c r="D31" s="66">
        <f t="shared" si="0"/>
        <v>17499.489999999969</v>
      </c>
      <c r="G31">
        <f t="shared" si="3"/>
        <v>5344.0300000000034</v>
      </c>
    </row>
    <row r="32" spans="2:9">
      <c r="B32" s="79">
        <f t="shared" si="1"/>
        <v>43956</v>
      </c>
      <c r="C32" s="70">
        <f t="shared" si="2"/>
        <v>7495.6300000000056</v>
      </c>
      <c r="D32" s="66">
        <f t="shared" si="0"/>
        <v>17241.019999999968</v>
      </c>
      <c r="G32">
        <f t="shared" si="3"/>
        <v>5276.5000000000036</v>
      </c>
    </row>
    <row r="33" spans="2:7">
      <c r="B33" s="79">
        <f t="shared" si="1"/>
        <v>43987</v>
      </c>
      <c r="C33" s="70">
        <f t="shared" si="2"/>
        <v>7754.1000000000058</v>
      </c>
      <c r="D33" s="66">
        <f t="shared" si="0"/>
        <v>16982.549999999967</v>
      </c>
      <c r="G33">
        <f t="shared" si="3"/>
        <v>5208.9700000000039</v>
      </c>
    </row>
    <row r="34" spans="2:7">
      <c r="B34" s="79">
        <f t="shared" si="1"/>
        <v>44017</v>
      </c>
      <c r="C34" s="70">
        <f t="shared" si="2"/>
        <v>8012.5700000000061</v>
      </c>
      <c r="D34" s="66">
        <f t="shared" si="0"/>
        <v>16724.079999999965</v>
      </c>
      <c r="G34">
        <f t="shared" si="3"/>
        <v>5141.4400000000041</v>
      </c>
    </row>
    <row r="35" spans="2:7">
      <c r="B35" s="79">
        <f t="shared" si="1"/>
        <v>44048</v>
      </c>
      <c r="C35" s="70">
        <f t="shared" si="2"/>
        <v>8271.0400000000063</v>
      </c>
      <c r="D35" s="66">
        <f t="shared" si="0"/>
        <v>16465.609999999964</v>
      </c>
      <c r="G35">
        <f t="shared" si="3"/>
        <v>5073.9100000000044</v>
      </c>
    </row>
    <row r="36" spans="2:7">
      <c r="B36" s="79">
        <f t="shared" si="1"/>
        <v>44079</v>
      </c>
      <c r="C36" s="70">
        <f t="shared" si="2"/>
        <v>8529.5100000000057</v>
      </c>
      <c r="D36" s="66">
        <f t="shared" si="0"/>
        <v>16207.139999999965</v>
      </c>
      <c r="G36">
        <f t="shared" si="3"/>
        <v>5006.3800000000047</v>
      </c>
    </row>
    <row r="37" spans="2:7">
      <c r="B37" s="79">
        <f t="shared" si="1"/>
        <v>44109</v>
      </c>
      <c r="C37" s="70">
        <f t="shared" si="2"/>
        <v>8787.980000000005</v>
      </c>
      <c r="D37" s="66">
        <f t="shared" si="0"/>
        <v>15948.669999999966</v>
      </c>
      <c r="G37">
        <f t="shared" si="3"/>
        <v>4938.8500000000049</v>
      </c>
    </row>
    <row r="38" spans="2:7">
      <c r="B38" s="79">
        <f t="shared" si="1"/>
        <v>44140</v>
      </c>
      <c r="C38" s="70">
        <f t="shared" si="2"/>
        <v>9046.4500000000044</v>
      </c>
      <c r="D38" s="66">
        <f t="shared" si="0"/>
        <v>15690.199999999966</v>
      </c>
      <c r="G38">
        <f t="shared" si="3"/>
        <v>4871.3200000000052</v>
      </c>
    </row>
    <row r="39" spans="2:7">
      <c r="B39" s="79">
        <f t="shared" si="1"/>
        <v>44170</v>
      </c>
      <c r="C39" s="70">
        <f t="shared" si="2"/>
        <v>9304.9200000000037</v>
      </c>
      <c r="D39" s="66">
        <f t="shared" si="0"/>
        <v>15431.729999999967</v>
      </c>
      <c r="G39">
        <f t="shared" si="3"/>
        <v>4803.7900000000054</v>
      </c>
    </row>
    <row r="40" spans="2:7">
      <c r="B40" s="79">
        <f t="shared" si="1"/>
        <v>44201</v>
      </c>
      <c r="C40" s="70">
        <f t="shared" si="2"/>
        <v>9563.3900000000031</v>
      </c>
      <c r="D40" s="66">
        <f>D39-A$1</f>
        <v>15173.259999999967</v>
      </c>
      <c r="G40">
        <f t="shared" si="3"/>
        <v>4736.2600000000057</v>
      </c>
    </row>
    <row r="41" spans="2:7">
      <c r="B41" s="79">
        <f t="shared" si="1"/>
        <v>44232</v>
      </c>
      <c r="C41" s="70">
        <f t="shared" si="2"/>
        <v>9821.8600000000024</v>
      </c>
      <c r="D41" s="66">
        <f t="shared" si="0"/>
        <v>14914.789999999968</v>
      </c>
      <c r="G41">
        <f t="shared" si="3"/>
        <v>4668.7300000000059</v>
      </c>
    </row>
    <row r="42" spans="2:7">
      <c r="B42" s="79">
        <f t="shared" si="1"/>
        <v>44260</v>
      </c>
      <c r="C42" s="70">
        <f t="shared" si="2"/>
        <v>10080.330000000002</v>
      </c>
      <c r="D42" s="66">
        <f t="shared" si="0"/>
        <v>14656.319999999969</v>
      </c>
      <c r="G42">
        <f t="shared" si="3"/>
        <v>4601.2000000000062</v>
      </c>
    </row>
    <row r="43" spans="2:7">
      <c r="B43" s="79">
        <f t="shared" si="1"/>
        <v>44291</v>
      </c>
      <c r="C43" s="70">
        <f t="shared" si="2"/>
        <v>10338.800000000001</v>
      </c>
      <c r="D43" s="66">
        <f t="shared" si="0"/>
        <v>14397.849999999969</v>
      </c>
      <c r="G43">
        <f t="shared" si="3"/>
        <v>4533.6700000000064</v>
      </c>
    </row>
    <row r="44" spans="2:7">
      <c r="B44" s="79">
        <f t="shared" si="1"/>
        <v>44321</v>
      </c>
      <c r="C44" s="70">
        <f t="shared" si="2"/>
        <v>10597.27</v>
      </c>
      <c r="D44" s="66">
        <f t="shared" si="0"/>
        <v>14139.37999999997</v>
      </c>
      <c r="G44">
        <f t="shared" si="3"/>
        <v>4466.1400000000067</v>
      </c>
    </row>
    <row r="45" spans="2:7">
      <c r="B45" s="79">
        <f t="shared" si="1"/>
        <v>44352</v>
      </c>
      <c r="C45" s="70">
        <f t="shared" si="2"/>
        <v>10855.74</v>
      </c>
      <c r="D45" s="66">
        <f t="shared" si="0"/>
        <v>13880.909999999971</v>
      </c>
      <c r="G45">
        <f t="shared" si="3"/>
        <v>4398.6100000000069</v>
      </c>
    </row>
    <row r="46" spans="2:7">
      <c r="B46" s="79">
        <f t="shared" si="1"/>
        <v>44382</v>
      </c>
      <c r="C46" s="70">
        <f t="shared" si="2"/>
        <v>11114.21</v>
      </c>
      <c r="D46" s="66">
        <f t="shared" si="0"/>
        <v>13622.439999999971</v>
      </c>
      <c r="G46">
        <f t="shared" si="3"/>
        <v>4331.0800000000072</v>
      </c>
    </row>
    <row r="47" spans="2:7">
      <c r="B47" s="79">
        <f t="shared" si="1"/>
        <v>44413</v>
      </c>
      <c r="C47" s="70">
        <f t="shared" si="2"/>
        <v>11372.679999999998</v>
      </c>
      <c r="D47" s="66">
        <f t="shared" si="0"/>
        <v>13363.969999999972</v>
      </c>
      <c r="G47">
        <f t="shared" si="3"/>
        <v>4263.5500000000075</v>
      </c>
    </row>
    <row r="48" spans="2:7">
      <c r="B48" s="79">
        <f t="shared" si="1"/>
        <v>44444</v>
      </c>
      <c r="C48" s="70">
        <f t="shared" si="2"/>
        <v>11631.149999999998</v>
      </c>
      <c r="D48" s="66">
        <f t="shared" si="0"/>
        <v>13105.499999999973</v>
      </c>
      <c r="G48">
        <f t="shared" si="3"/>
        <v>4196.0200000000077</v>
      </c>
    </row>
    <row r="49" spans="2:9">
      <c r="B49" s="79">
        <f t="shared" si="1"/>
        <v>44474</v>
      </c>
      <c r="C49" s="70">
        <f t="shared" si="2"/>
        <v>11889.619999999997</v>
      </c>
      <c r="D49" s="66">
        <f t="shared" si="0"/>
        <v>12847.029999999973</v>
      </c>
      <c r="G49">
        <f t="shared" si="3"/>
        <v>4128.490000000008</v>
      </c>
    </row>
    <row r="50" spans="2:9">
      <c r="B50" s="79">
        <f t="shared" si="1"/>
        <v>44505</v>
      </c>
      <c r="C50" s="70">
        <f t="shared" si="2"/>
        <v>12148.089999999997</v>
      </c>
      <c r="D50" s="66">
        <f t="shared" si="0"/>
        <v>12588.559999999974</v>
      </c>
      <c r="G50">
        <f t="shared" si="3"/>
        <v>4060.9600000000078</v>
      </c>
    </row>
    <row r="51" spans="2:9">
      <c r="B51" s="79">
        <f t="shared" si="1"/>
        <v>44535</v>
      </c>
      <c r="C51" s="70">
        <f t="shared" si="2"/>
        <v>12406.559999999996</v>
      </c>
      <c r="D51" s="66">
        <f t="shared" si="0"/>
        <v>12330.089999999975</v>
      </c>
      <c r="G51">
        <f t="shared" si="3"/>
        <v>3993.4300000000076</v>
      </c>
    </row>
    <row r="52" spans="2:9">
      <c r="B52" s="79">
        <f t="shared" si="1"/>
        <v>44566</v>
      </c>
      <c r="C52" s="70">
        <f t="shared" si="2"/>
        <v>12665.029999999995</v>
      </c>
      <c r="D52" s="66">
        <f t="shared" si="0"/>
        <v>12071.619999999975</v>
      </c>
      <c r="G52">
        <f t="shared" si="3"/>
        <v>3925.9000000000074</v>
      </c>
    </row>
    <row r="53" spans="2:9">
      <c r="B53" s="79">
        <f t="shared" si="1"/>
        <v>44597</v>
      </c>
      <c r="C53" s="70">
        <f t="shared" si="2"/>
        <v>12923.499999999995</v>
      </c>
      <c r="D53" s="66">
        <f t="shared" si="0"/>
        <v>11813.149999999976</v>
      </c>
      <c r="G53">
        <f t="shared" si="3"/>
        <v>3858.3700000000072</v>
      </c>
    </row>
    <row r="54" spans="2:9">
      <c r="B54" s="79">
        <f t="shared" si="1"/>
        <v>44625</v>
      </c>
      <c r="C54" s="70">
        <f t="shared" si="2"/>
        <v>13181.969999999994</v>
      </c>
      <c r="D54" s="66">
        <f>D53-A$1</f>
        <v>11554.679999999977</v>
      </c>
      <c r="G54">
        <f t="shared" si="3"/>
        <v>3790.840000000007</v>
      </c>
    </row>
    <row r="55" spans="2:9">
      <c r="B55" s="79">
        <f t="shared" si="1"/>
        <v>44656</v>
      </c>
      <c r="C55" s="70">
        <f t="shared" si="2"/>
        <v>13440.439999999993</v>
      </c>
      <c r="D55" s="66">
        <f t="shared" si="0"/>
        <v>11296.209999999977</v>
      </c>
      <c r="G55">
        <f t="shared" si="3"/>
        <v>3723.3100000000068</v>
      </c>
    </row>
    <row r="56" spans="2:9">
      <c r="B56" s="79">
        <f t="shared" si="1"/>
        <v>44686</v>
      </c>
      <c r="C56" s="70">
        <f t="shared" si="2"/>
        <v>13698.909999999993</v>
      </c>
      <c r="D56" s="66">
        <f t="shared" si="0"/>
        <v>11037.739999999978</v>
      </c>
      <c r="G56">
        <f t="shared" si="3"/>
        <v>3655.7800000000066</v>
      </c>
    </row>
    <row r="57" spans="2:9">
      <c r="B57" s="79">
        <f t="shared" si="1"/>
        <v>44717</v>
      </c>
      <c r="C57" s="70">
        <f t="shared" si="2"/>
        <v>13957.379999999992</v>
      </c>
      <c r="D57" s="66">
        <f t="shared" si="0"/>
        <v>10779.269999999979</v>
      </c>
      <c r="G57">
        <f t="shared" si="3"/>
        <v>3588.2500000000064</v>
      </c>
    </row>
    <row r="58" spans="2:9">
      <c r="B58" s="79">
        <f t="shared" si="1"/>
        <v>44747</v>
      </c>
      <c r="C58" s="70">
        <f t="shared" si="2"/>
        <v>14215.849999999991</v>
      </c>
      <c r="D58" s="66">
        <f t="shared" si="0"/>
        <v>10520.799999999979</v>
      </c>
      <c r="G58">
        <f t="shared" si="3"/>
        <v>3520.7200000000062</v>
      </c>
    </row>
    <row r="59" spans="2:9">
      <c r="B59" s="79">
        <f t="shared" si="1"/>
        <v>44778</v>
      </c>
      <c r="C59" s="70">
        <f t="shared" si="2"/>
        <v>14474.319999999991</v>
      </c>
      <c r="D59" s="66">
        <f t="shared" si="0"/>
        <v>10262.32999999998</v>
      </c>
      <c r="G59">
        <f t="shared" si="3"/>
        <v>3453.190000000006</v>
      </c>
    </row>
    <row r="60" spans="2:9">
      <c r="B60" s="79">
        <f t="shared" si="1"/>
        <v>44809</v>
      </c>
      <c r="C60" s="70">
        <f t="shared" si="2"/>
        <v>14732.78999999999</v>
      </c>
      <c r="D60" s="66">
        <f t="shared" si="0"/>
        <v>10003.859999999981</v>
      </c>
      <c r="G60">
        <f t="shared" si="3"/>
        <v>3385.6600000000058</v>
      </c>
    </row>
    <row r="61" spans="2:9">
      <c r="B61" s="79">
        <f t="shared" si="1"/>
        <v>44839</v>
      </c>
      <c r="C61" s="70">
        <f t="shared" si="2"/>
        <v>14991.259999999989</v>
      </c>
      <c r="D61" s="66">
        <f t="shared" si="0"/>
        <v>9745.3899999999812</v>
      </c>
      <c r="G61">
        <f t="shared" si="3"/>
        <v>3318.1300000000056</v>
      </c>
    </row>
    <row r="62" spans="2:9">
      <c r="B62" s="79">
        <f t="shared" si="1"/>
        <v>44870</v>
      </c>
      <c r="C62" s="70">
        <f t="shared" si="2"/>
        <v>15249.729999999989</v>
      </c>
      <c r="D62" s="66">
        <f>D61-A$1</f>
        <v>9486.9199999999819</v>
      </c>
      <c r="G62">
        <f t="shared" si="3"/>
        <v>3250.6000000000054</v>
      </c>
    </row>
    <row r="63" spans="2:9" ht="15.75" thickBot="1">
      <c r="B63" s="91">
        <f t="shared" si="1"/>
        <v>44900</v>
      </c>
      <c r="C63" s="83">
        <f>C62+A$2</f>
        <v>24736.649999999987</v>
      </c>
      <c r="D63" s="81">
        <f>D62-A$2</f>
        <v>-1.8189894035458565E-11</v>
      </c>
      <c r="G63">
        <f t="shared" si="3"/>
        <v>3183.0700000000052</v>
      </c>
      <c r="H63" s="119"/>
      <c r="I63" s="119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M105"/>
  <sheetViews>
    <sheetView workbookViewId="0">
      <selection activeCell="G26" sqref="G26"/>
    </sheetView>
  </sheetViews>
  <sheetFormatPr defaultColWidth="8" defaultRowHeight="15"/>
  <cols>
    <col min="1" max="2" width="19.5703125" customWidth="1"/>
    <col min="3" max="3" width="13.28515625" customWidth="1"/>
    <col min="4" max="4" width="8.28515625" customWidth="1"/>
    <col min="5" max="5" width="12.7109375" customWidth="1"/>
    <col min="6" max="6" width="8" customWidth="1"/>
    <col min="7" max="7" width="12" customWidth="1"/>
    <col min="9" max="9" width="24.85546875" customWidth="1"/>
    <col min="10" max="10" width="13.85546875" customWidth="1"/>
    <col min="11" max="11" width="11.140625" customWidth="1"/>
    <col min="12" max="12" width="19.85546875" customWidth="1"/>
    <col min="13" max="13" width="12.7109375" customWidth="1"/>
    <col min="258" max="258" width="19.5703125" customWidth="1"/>
    <col min="259" max="259" width="13.28515625" customWidth="1"/>
    <col min="260" max="260" width="8" customWidth="1"/>
    <col min="261" max="261" width="12.7109375" customWidth="1"/>
    <col min="262" max="262" width="8" customWidth="1"/>
    <col min="263" max="263" width="12" customWidth="1"/>
    <col min="265" max="265" width="24.85546875" customWidth="1"/>
    <col min="266" max="266" width="13.85546875" customWidth="1"/>
    <col min="267" max="267" width="11.140625" customWidth="1"/>
    <col min="268" max="268" width="19.85546875" customWidth="1"/>
    <col min="269" max="269" width="12.7109375" customWidth="1"/>
    <col min="514" max="514" width="19.5703125" customWidth="1"/>
    <col min="515" max="515" width="13.28515625" customWidth="1"/>
    <col min="516" max="516" width="8" customWidth="1"/>
    <col min="517" max="517" width="12.7109375" customWidth="1"/>
    <col min="518" max="518" width="8" customWidth="1"/>
    <col min="519" max="519" width="12" customWidth="1"/>
    <col min="521" max="521" width="24.85546875" customWidth="1"/>
    <col min="522" max="522" width="13.85546875" customWidth="1"/>
    <col min="523" max="523" width="11.140625" customWidth="1"/>
    <col min="524" max="524" width="19.85546875" customWidth="1"/>
    <col min="525" max="525" width="12.7109375" customWidth="1"/>
    <col min="770" max="770" width="19.5703125" customWidth="1"/>
    <col min="771" max="771" width="13.28515625" customWidth="1"/>
    <col min="772" max="772" width="8" customWidth="1"/>
    <col min="773" max="773" width="12.7109375" customWidth="1"/>
    <col min="774" max="774" width="8" customWidth="1"/>
    <col min="775" max="775" width="12" customWidth="1"/>
    <col min="777" max="777" width="24.85546875" customWidth="1"/>
    <col min="778" max="778" width="13.85546875" customWidth="1"/>
    <col min="779" max="779" width="11.140625" customWidth="1"/>
    <col min="780" max="780" width="19.85546875" customWidth="1"/>
    <col min="781" max="781" width="12.7109375" customWidth="1"/>
    <col min="1026" max="1026" width="19.5703125" customWidth="1"/>
    <col min="1027" max="1027" width="13.28515625" customWidth="1"/>
    <col min="1028" max="1028" width="8" customWidth="1"/>
    <col min="1029" max="1029" width="12.7109375" customWidth="1"/>
    <col min="1030" max="1030" width="8" customWidth="1"/>
    <col min="1031" max="1031" width="12" customWidth="1"/>
    <col min="1033" max="1033" width="24.85546875" customWidth="1"/>
    <col min="1034" max="1034" width="13.85546875" customWidth="1"/>
    <col min="1035" max="1035" width="11.140625" customWidth="1"/>
    <col min="1036" max="1036" width="19.85546875" customWidth="1"/>
    <col min="1037" max="1037" width="12.7109375" customWidth="1"/>
    <col min="1282" max="1282" width="19.5703125" customWidth="1"/>
    <col min="1283" max="1283" width="13.28515625" customWidth="1"/>
    <col min="1284" max="1284" width="8" customWidth="1"/>
    <col min="1285" max="1285" width="12.7109375" customWidth="1"/>
    <col min="1286" max="1286" width="8" customWidth="1"/>
    <col min="1287" max="1287" width="12" customWidth="1"/>
    <col min="1289" max="1289" width="24.85546875" customWidth="1"/>
    <col min="1290" max="1290" width="13.85546875" customWidth="1"/>
    <col min="1291" max="1291" width="11.140625" customWidth="1"/>
    <col min="1292" max="1292" width="19.85546875" customWidth="1"/>
    <col min="1293" max="1293" width="12.7109375" customWidth="1"/>
    <col min="1538" max="1538" width="19.5703125" customWidth="1"/>
    <col min="1539" max="1539" width="13.28515625" customWidth="1"/>
    <col min="1540" max="1540" width="8" customWidth="1"/>
    <col min="1541" max="1541" width="12.7109375" customWidth="1"/>
    <col min="1542" max="1542" width="8" customWidth="1"/>
    <col min="1543" max="1543" width="12" customWidth="1"/>
    <col min="1545" max="1545" width="24.85546875" customWidth="1"/>
    <col min="1546" max="1546" width="13.85546875" customWidth="1"/>
    <col min="1547" max="1547" width="11.140625" customWidth="1"/>
    <col min="1548" max="1548" width="19.85546875" customWidth="1"/>
    <col min="1549" max="1549" width="12.7109375" customWidth="1"/>
    <col min="1794" max="1794" width="19.5703125" customWidth="1"/>
    <col min="1795" max="1795" width="13.28515625" customWidth="1"/>
    <col min="1796" max="1796" width="8" customWidth="1"/>
    <col min="1797" max="1797" width="12.7109375" customWidth="1"/>
    <col min="1798" max="1798" width="8" customWidth="1"/>
    <col min="1799" max="1799" width="12" customWidth="1"/>
    <col min="1801" max="1801" width="24.85546875" customWidth="1"/>
    <col min="1802" max="1802" width="13.85546875" customWidth="1"/>
    <col min="1803" max="1803" width="11.140625" customWidth="1"/>
    <col min="1804" max="1804" width="19.85546875" customWidth="1"/>
    <col min="1805" max="1805" width="12.7109375" customWidth="1"/>
    <col min="2050" max="2050" width="19.5703125" customWidth="1"/>
    <col min="2051" max="2051" width="13.28515625" customWidth="1"/>
    <col min="2052" max="2052" width="8" customWidth="1"/>
    <col min="2053" max="2053" width="12.7109375" customWidth="1"/>
    <col min="2054" max="2054" width="8" customWidth="1"/>
    <col min="2055" max="2055" width="12" customWidth="1"/>
    <col min="2057" max="2057" width="24.85546875" customWidth="1"/>
    <col min="2058" max="2058" width="13.85546875" customWidth="1"/>
    <col min="2059" max="2059" width="11.140625" customWidth="1"/>
    <col min="2060" max="2060" width="19.85546875" customWidth="1"/>
    <col min="2061" max="2061" width="12.7109375" customWidth="1"/>
    <col min="2306" max="2306" width="19.5703125" customWidth="1"/>
    <col min="2307" max="2307" width="13.28515625" customWidth="1"/>
    <col min="2308" max="2308" width="8" customWidth="1"/>
    <col min="2309" max="2309" width="12.7109375" customWidth="1"/>
    <col min="2310" max="2310" width="8" customWidth="1"/>
    <col min="2311" max="2311" width="12" customWidth="1"/>
    <col min="2313" max="2313" width="24.85546875" customWidth="1"/>
    <col min="2314" max="2314" width="13.85546875" customWidth="1"/>
    <col min="2315" max="2315" width="11.140625" customWidth="1"/>
    <col min="2316" max="2316" width="19.85546875" customWidth="1"/>
    <col min="2317" max="2317" width="12.7109375" customWidth="1"/>
    <col min="2562" max="2562" width="19.5703125" customWidth="1"/>
    <col min="2563" max="2563" width="13.28515625" customWidth="1"/>
    <col min="2564" max="2564" width="8" customWidth="1"/>
    <col min="2565" max="2565" width="12.7109375" customWidth="1"/>
    <col min="2566" max="2566" width="8" customWidth="1"/>
    <col min="2567" max="2567" width="12" customWidth="1"/>
    <col min="2569" max="2569" width="24.85546875" customWidth="1"/>
    <col min="2570" max="2570" width="13.85546875" customWidth="1"/>
    <col min="2571" max="2571" width="11.140625" customWidth="1"/>
    <col min="2572" max="2572" width="19.85546875" customWidth="1"/>
    <col min="2573" max="2573" width="12.7109375" customWidth="1"/>
    <col min="2818" max="2818" width="19.5703125" customWidth="1"/>
    <col min="2819" max="2819" width="13.28515625" customWidth="1"/>
    <col min="2820" max="2820" width="8" customWidth="1"/>
    <col min="2821" max="2821" width="12.7109375" customWidth="1"/>
    <col min="2822" max="2822" width="8" customWidth="1"/>
    <col min="2823" max="2823" width="12" customWidth="1"/>
    <col min="2825" max="2825" width="24.85546875" customWidth="1"/>
    <col min="2826" max="2826" width="13.85546875" customWidth="1"/>
    <col min="2827" max="2827" width="11.140625" customWidth="1"/>
    <col min="2828" max="2828" width="19.85546875" customWidth="1"/>
    <col min="2829" max="2829" width="12.7109375" customWidth="1"/>
    <col min="3074" max="3074" width="19.5703125" customWidth="1"/>
    <col min="3075" max="3075" width="13.28515625" customWidth="1"/>
    <col min="3076" max="3076" width="8" customWidth="1"/>
    <col min="3077" max="3077" width="12.7109375" customWidth="1"/>
    <col min="3078" max="3078" width="8" customWidth="1"/>
    <col min="3079" max="3079" width="12" customWidth="1"/>
    <col min="3081" max="3081" width="24.85546875" customWidth="1"/>
    <col min="3082" max="3082" width="13.85546875" customWidth="1"/>
    <col min="3083" max="3083" width="11.140625" customWidth="1"/>
    <col min="3084" max="3084" width="19.85546875" customWidth="1"/>
    <col min="3085" max="3085" width="12.7109375" customWidth="1"/>
    <col min="3330" max="3330" width="19.5703125" customWidth="1"/>
    <col min="3331" max="3331" width="13.28515625" customWidth="1"/>
    <col min="3332" max="3332" width="8" customWidth="1"/>
    <col min="3333" max="3333" width="12.7109375" customWidth="1"/>
    <col min="3334" max="3334" width="8" customWidth="1"/>
    <col min="3335" max="3335" width="12" customWidth="1"/>
    <col min="3337" max="3337" width="24.85546875" customWidth="1"/>
    <col min="3338" max="3338" width="13.85546875" customWidth="1"/>
    <col min="3339" max="3339" width="11.140625" customWidth="1"/>
    <col min="3340" max="3340" width="19.85546875" customWidth="1"/>
    <col min="3341" max="3341" width="12.7109375" customWidth="1"/>
    <col min="3586" max="3586" width="19.5703125" customWidth="1"/>
    <col min="3587" max="3587" width="13.28515625" customWidth="1"/>
    <col min="3588" max="3588" width="8" customWidth="1"/>
    <col min="3589" max="3589" width="12.7109375" customWidth="1"/>
    <col min="3590" max="3590" width="8" customWidth="1"/>
    <col min="3591" max="3591" width="12" customWidth="1"/>
    <col min="3593" max="3593" width="24.85546875" customWidth="1"/>
    <col min="3594" max="3594" width="13.85546875" customWidth="1"/>
    <col min="3595" max="3595" width="11.140625" customWidth="1"/>
    <col min="3596" max="3596" width="19.85546875" customWidth="1"/>
    <col min="3597" max="3597" width="12.7109375" customWidth="1"/>
    <col min="3842" max="3842" width="19.5703125" customWidth="1"/>
    <col min="3843" max="3843" width="13.28515625" customWidth="1"/>
    <col min="3844" max="3844" width="8" customWidth="1"/>
    <col min="3845" max="3845" width="12.7109375" customWidth="1"/>
    <col min="3846" max="3846" width="8" customWidth="1"/>
    <col min="3847" max="3847" width="12" customWidth="1"/>
    <col min="3849" max="3849" width="24.85546875" customWidth="1"/>
    <col min="3850" max="3850" width="13.85546875" customWidth="1"/>
    <col min="3851" max="3851" width="11.140625" customWidth="1"/>
    <col min="3852" max="3852" width="19.85546875" customWidth="1"/>
    <col min="3853" max="3853" width="12.7109375" customWidth="1"/>
    <col min="4098" max="4098" width="19.5703125" customWidth="1"/>
    <col min="4099" max="4099" width="13.28515625" customWidth="1"/>
    <col min="4100" max="4100" width="8" customWidth="1"/>
    <col min="4101" max="4101" width="12.7109375" customWidth="1"/>
    <col min="4102" max="4102" width="8" customWidth="1"/>
    <col min="4103" max="4103" width="12" customWidth="1"/>
    <col min="4105" max="4105" width="24.85546875" customWidth="1"/>
    <col min="4106" max="4106" width="13.85546875" customWidth="1"/>
    <col min="4107" max="4107" width="11.140625" customWidth="1"/>
    <col min="4108" max="4108" width="19.85546875" customWidth="1"/>
    <col min="4109" max="4109" width="12.7109375" customWidth="1"/>
    <col min="4354" max="4354" width="19.5703125" customWidth="1"/>
    <col min="4355" max="4355" width="13.28515625" customWidth="1"/>
    <col min="4356" max="4356" width="8" customWidth="1"/>
    <col min="4357" max="4357" width="12.7109375" customWidth="1"/>
    <col min="4358" max="4358" width="8" customWidth="1"/>
    <col min="4359" max="4359" width="12" customWidth="1"/>
    <col min="4361" max="4361" width="24.85546875" customWidth="1"/>
    <col min="4362" max="4362" width="13.85546875" customWidth="1"/>
    <col min="4363" max="4363" width="11.140625" customWidth="1"/>
    <col min="4364" max="4364" width="19.85546875" customWidth="1"/>
    <col min="4365" max="4365" width="12.7109375" customWidth="1"/>
    <col min="4610" max="4610" width="19.5703125" customWidth="1"/>
    <col min="4611" max="4611" width="13.28515625" customWidth="1"/>
    <col min="4612" max="4612" width="8" customWidth="1"/>
    <col min="4613" max="4613" width="12.7109375" customWidth="1"/>
    <col min="4614" max="4614" width="8" customWidth="1"/>
    <col min="4615" max="4615" width="12" customWidth="1"/>
    <col min="4617" max="4617" width="24.85546875" customWidth="1"/>
    <col min="4618" max="4618" width="13.85546875" customWidth="1"/>
    <col min="4619" max="4619" width="11.140625" customWidth="1"/>
    <col min="4620" max="4620" width="19.85546875" customWidth="1"/>
    <col min="4621" max="4621" width="12.7109375" customWidth="1"/>
    <col min="4866" max="4866" width="19.5703125" customWidth="1"/>
    <col min="4867" max="4867" width="13.28515625" customWidth="1"/>
    <col min="4868" max="4868" width="8" customWidth="1"/>
    <col min="4869" max="4869" width="12.7109375" customWidth="1"/>
    <col min="4870" max="4870" width="8" customWidth="1"/>
    <col min="4871" max="4871" width="12" customWidth="1"/>
    <col min="4873" max="4873" width="24.85546875" customWidth="1"/>
    <col min="4874" max="4874" width="13.85546875" customWidth="1"/>
    <col min="4875" max="4875" width="11.140625" customWidth="1"/>
    <col min="4876" max="4876" width="19.85546875" customWidth="1"/>
    <col min="4877" max="4877" width="12.7109375" customWidth="1"/>
    <col min="5122" max="5122" width="19.5703125" customWidth="1"/>
    <col min="5123" max="5123" width="13.28515625" customWidth="1"/>
    <col min="5124" max="5124" width="8" customWidth="1"/>
    <col min="5125" max="5125" width="12.7109375" customWidth="1"/>
    <col min="5126" max="5126" width="8" customWidth="1"/>
    <col min="5127" max="5127" width="12" customWidth="1"/>
    <col min="5129" max="5129" width="24.85546875" customWidth="1"/>
    <col min="5130" max="5130" width="13.85546875" customWidth="1"/>
    <col min="5131" max="5131" width="11.140625" customWidth="1"/>
    <col min="5132" max="5132" width="19.85546875" customWidth="1"/>
    <col min="5133" max="5133" width="12.7109375" customWidth="1"/>
    <col min="5378" max="5378" width="19.5703125" customWidth="1"/>
    <col min="5379" max="5379" width="13.28515625" customWidth="1"/>
    <col min="5380" max="5380" width="8" customWidth="1"/>
    <col min="5381" max="5381" width="12.7109375" customWidth="1"/>
    <col min="5382" max="5382" width="8" customWidth="1"/>
    <col min="5383" max="5383" width="12" customWidth="1"/>
    <col min="5385" max="5385" width="24.85546875" customWidth="1"/>
    <col min="5386" max="5386" width="13.85546875" customWidth="1"/>
    <col min="5387" max="5387" width="11.140625" customWidth="1"/>
    <col min="5388" max="5388" width="19.85546875" customWidth="1"/>
    <col min="5389" max="5389" width="12.7109375" customWidth="1"/>
    <col min="5634" max="5634" width="19.5703125" customWidth="1"/>
    <col min="5635" max="5635" width="13.28515625" customWidth="1"/>
    <col min="5636" max="5636" width="8" customWidth="1"/>
    <col min="5637" max="5637" width="12.7109375" customWidth="1"/>
    <col min="5638" max="5638" width="8" customWidth="1"/>
    <col min="5639" max="5639" width="12" customWidth="1"/>
    <col min="5641" max="5641" width="24.85546875" customWidth="1"/>
    <col min="5642" max="5642" width="13.85546875" customWidth="1"/>
    <col min="5643" max="5643" width="11.140625" customWidth="1"/>
    <col min="5644" max="5644" width="19.85546875" customWidth="1"/>
    <col min="5645" max="5645" width="12.7109375" customWidth="1"/>
    <col min="5890" max="5890" width="19.5703125" customWidth="1"/>
    <col min="5891" max="5891" width="13.28515625" customWidth="1"/>
    <col min="5892" max="5892" width="8" customWidth="1"/>
    <col min="5893" max="5893" width="12.7109375" customWidth="1"/>
    <col min="5894" max="5894" width="8" customWidth="1"/>
    <col min="5895" max="5895" width="12" customWidth="1"/>
    <col min="5897" max="5897" width="24.85546875" customWidth="1"/>
    <col min="5898" max="5898" width="13.85546875" customWidth="1"/>
    <col min="5899" max="5899" width="11.140625" customWidth="1"/>
    <col min="5900" max="5900" width="19.85546875" customWidth="1"/>
    <col min="5901" max="5901" width="12.7109375" customWidth="1"/>
    <col min="6146" max="6146" width="19.5703125" customWidth="1"/>
    <col min="6147" max="6147" width="13.28515625" customWidth="1"/>
    <col min="6148" max="6148" width="8" customWidth="1"/>
    <col min="6149" max="6149" width="12.7109375" customWidth="1"/>
    <col min="6150" max="6150" width="8" customWidth="1"/>
    <col min="6151" max="6151" width="12" customWidth="1"/>
    <col min="6153" max="6153" width="24.85546875" customWidth="1"/>
    <col min="6154" max="6154" width="13.85546875" customWidth="1"/>
    <col min="6155" max="6155" width="11.140625" customWidth="1"/>
    <col min="6156" max="6156" width="19.85546875" customWidth="1"/>
    <col min="6157" max="6157" width="12.7109375" customWidth="1"/>
    <col min="6402" max="6402" width="19.5703125" customWidth="1"/>
    <col min="6403" max="6403" width="13.28515625" customWidth="1"/>
    <col min="6404" max="6404" width="8" customWidth="1"/>
    <col min="6405" max="6405" width="12.7109375" customWidth="1"/>
    <col min="6406" max="6406" width="8" customWidth="1"/>
    <col min="6407" max="6407" width="12" customWidth="1"/>
    <col min="6409" max="6409" width="24.85546875" customWidth="1"/>
    <col min="6410" max="6410" width="13.85546875" customWidth="1"/>
    <col min="6411" max="6411" width="11.140625" customWidth="1"/>
    <col min="6412" max="6412" width="19.85546875" customWidth="1"/>
    <col min="6413" max="6413" width="12.7109375" customWidth="1"/>
    <col min="6658" max="6658" width="19.5703125" customWidth="1"/>
    <col min="6659" max="6659" width="13.28515625" customWidth="1"/>
    <col min="6660" max="6660" width="8" customWidth="1"/>
    <col min="6661" max="6661" width="12.7109375" customWidth="1"/>
    <col min="6662" max="6662" width="8" customWidth="1"/>
    <col min="6663" max="6663" width="12" customWidth="1"/>
    <col min="6665" max="6665" width="24.85546875" customWidth="1"/>
    <col min="6666" max="6666" width="13.85546875" customWidth="1"/>
    <col min="6667" max="6667" width="11.140625" customWidth="1"/>
    <col min="6668" max="6668" width="19.85546875" customWidth="1"/>
    <col min="6669" max="6669" width="12.7109375" customWidth="1"/>
    <col min="6914" max="6914" width="19.5703125" customWidth="1"/>
    <col min="6915" max="6915" width="13.28515625" customWidth="1"/>
    <col min="6916" max="6916" width="8" customWidth="1"/>
    <col min="6917" max="6917" width="12.7109375" customWidth="1"/>
    <col min="6918" max="6918" width="8" customWidth="1"/>
    <col min="6919" max="6919" width="12" customWidth="1"/>
    <col min="6921" max="6921" width="24.85546875" customWidth="1"/>
    <col min="6922" max="6922" width="13.85546875" customWidth="1"/>
    <col min="6923" max="6923" width="11.140625" customWidth="1"/>
    <col min="6924" max="6924" width="19.85546875" customWidth="1"/>
    <col min="6925" max="6925" width="12.7109375" customWidth="1"/>
    <col min="7170" max="7170" width="19.5703125" customWidth="1"/>
    <col min="7171" max="7171" width="13.28515625" customWidth="1"/>
    <col min="7172" max="7172" width="8" customWidth="1"/>
    <col min="7173" max="7173" width="12.7109375" customWidth="1"/>
    <col min="7174" max="7174" width="8" customWidth="1"/>
    <col min="7175" max="7175" width="12" customWidth="1"/>
    <col min="7177" max="7177" width="24.85546875" customWidth="1"/>
    <col min="7178" max="7178" width="13.85546875" customWidth="1"/>
    <col min="7179" max="7179" width="11.140625" customWidth="1"/>
    <col min="7180" max="7180" width="19.85546875" customWidth="1"/>
    <col min="7181" max="7181" width="12.7109375" customWidth="1"/>
    <col min="7426" max="7426" width="19.5703125" customWidth="1"/>
    <col min="7427" max="7427" width="13.28515625" customWidth="1"/>
    <col min="7428" max="7428" width="8" customWidth="1"/>
    <col min="7429" max="7429" width="12.7109375" customWidth="1"/>
    <col min="7430" max="7430" width="8" customWidth="1"/>
    <col min="7431" max="7431" width="12" customWidth="1"/>
    <col min="7433" max="7433" width="24.85546875" customWidth="1"/>
    <col min="7434" max="7434" width="13.85546875" customWidth="1"/>
    <col min="7435" max="7435" width="11.140625" customWidth="1"/>
    <col min="7436" max="7436" width="19.85546875" customWidth="1"/>
    <col min="7437" max="7437" width="12.7109375" customWidth="1"/>
    <col min="7682" max="7682" width="19.5703125" customWidth="1"/>
    <col min="7683" max="7683" width="13.28515625" customWidth="1"/>
    <col min="7684" max="7684" width="8" customWidth="1"/>
    <col min="7685" max="7685" width="12.7109375" customWidth="1"/>
    <col min="7686" max="7686" width="8" customWidth="1"/>
    <col min="7687" max="7687" width="12" customWidth="1"/>
    <col min="7689" max="7689" width="24.85546875" customWidth="1"/>
    <col min="7690" max="7690" width="13.85546875" customWidth="1"/>
    <col min="7691" max="7691" width="11.140625" customWidth="1"/>
    <col min="7692" max="7692" width="19.85546875" customWidth="1"/>
    <col min="7693" max="7693" width="12.7109375" customWidth="1"/>
    <col min="7938" max="7938" width="19.5703125" customWidth="1"/>
    <col min="7939" max="7939" width="13.28515625" customWidth="1"/>
    <col min="7940" max="7940" width="8" customWidth="1"/>
    <col min="7941" max="7941" width="12.7109375" customWidth="1"/>
    <col min="7942" max="7942" width="8" customWidth="1"/>
    <col min="7943" max="7943" width="12" customWidth="1"/>
    <col min="7945" max="7945" width="24.85546875" customWidth="1"/>
    <col min="7946" max="7946" width="13.85546875" customWidth="1"/>
    <col min="7947" max="7947" width="11.140625" customWidth="1"/>
    <col min="7948" max="7948" width="19.85546875" customWidth="1"/>
    <col min="7949" max="7949" width="12.7109375" customWidth="1"/>
    <col min="8194" max="8194" width="19.5703125" customWidth="1"/>
    <col min="8195" max="8195" width="13.28515625" customWidth="1"/>
    <col min="8196" max="8196" width="8" customWidth="1"/>
    <col min="8197" max="8197" width="12.7109375" customWidth="1"/>
    <col min="8198" max="8198" width="8" customWidth="1"/>
    <col min="8199" max="8199" width="12" customWidth="1"/>
    <col min="8201" max="8201" width="24.85546875" customWidth="1"/>
    <col min="8202" max="8202" width="13.85546875" customWidth="1"/>
    <col min="8203" max="8203" width="11.140625" customWidth="1"/>
    <col min="8204" max="8204" width="19.85546875" customWidth="1"/>
    <col min="8205" max="8205" width="12.7109375" customWidth="1"/>
    <col min="8450" max="8450" width="19.5703125" customWidth="1"/>
    <col min="8451" max="8451" width="13.28515625" customWidth="1"/>
    <col min="8452" max="8452" width="8" customWidth="1"/>
    <col min="8453" max="8453" width="12.7109375" customWidth="1"/>
    <col min="8454" max="8454" width="8" customWidth="1"/>
    <col min="8455" max="8455" width="12" customWidth="1"/>
    <col min="8457" max="8457" width="24.85546875" customWidth="1"/>
    <col min="8458" max="8458" width="13.85546875" customWidth="1"/>
    <col min="8459" max="8459" width="11.140625" customWidth="1"/>
    <col min="8460" max="8460" width="19.85546875" customWidth="1"/>
    <col min="8461" max="8461" width="12.7109375" customWidth="1"/>
    <col min="8706" max="8706" width="19.5703125" customWidth="1"/>
    <col min="8707" max="8707" width="13.28515625" customWidth="1"/>
    <col min="8708" max="8708" width="8" customWidth="1"/>
    <col min="8709" max="8709" width="12.7109375" customWidth="1"/>
    <col min="8710" max="8710" width="8" customWidth="1"/>
    <col min="8711" max="8711" width="12" customWidth="1"/>
    <col min="8713" max="8713" width="24.85546875" customWidth="1"/>
    <col min="8714" max="8714" width="13.85546875" customWidth="1"/>
    <col min="8715" max="8715" width="11.140625" customWidth="1"/>
    <col min="8716" max="8716" width="19.85546875" customWidth="1"/>
    <col min="8717" max="8717" width="12.7109375" customWidth="1"/>
    <col min="8962" max="8962" width="19.5703125" customWidth="1"/>
    <col min="8963" max="8963" width="13.28515625" customWidth="1"/>
    <col min="8964" max="8964" width="8" customWidth="1"/>
    <col min="8965" max="8965" width="12.7109375" customWidth="1"/>
    <col min="8966" max="8966" width="8" customWidth="1"/>
    <col min="8967" max="8967" width="12" customWidth="1"/>
    <col min="8969" max="8969" width="24.85546875" customWidth="1"/>
    <col min="8970" max="8970" width="13.85546875" customWidth="1"/>
    <col min="8971" max="8971" width="11.140625" customWidth="1"/>
    <col min="8972" max="8972" width="19.85546875" customWidth="1"/>
    <col min="8973" max="8973" width="12.7109375" customWidth="1"/>
    <col min="9218" max="9218" width="19.5703125" customWidth="1"/>
    <col min="9219" max="9219" width="13.28515625" customWidth="1"/>
    <col min="9220" max="9220" width="8" customWidth="1"/>
    <col min="9221" max="9221" width="12.7109375" customWidth="1"/>
    <col min="9222" max="9222" width="8" customWidth="1"/>
    <col min="9223" max="9223" width="12" customWidth="1"/>
    <col min="9225" max="9225" width="24.85546875" customWidth="1"/>
    <col min="9226" max="9226" width="13.85546875" customWidth="1"/>
    <col min="9227" max="9227" width="11.140625" customWidth="1"/>
    <col min="9228" max="9228" width="19.85546875" customWidth="1"/>
    <col min="9229" max="9229" width="12.7109375" customWidth="1"/>
    <col min="9474" max="9474" width="19.5703125" customWidth="1"/>
    <col min="9475" max="9475" width="13.28515625" customWidth="1"/>
    <col min="9476" max="9476" width="8" customWidth="1"/>
    <col min="9477" max="9477" width="12.7109375" customWidth="1"/>
    <col min="9478" max="9478" width="8" customWidth="1"/>
    <col min="9479" max="9479" width="12" customWidth="1"/>
    <col min="9481" max="9481" width="24.85546875" customWidth="1"/>
    <col min="9482" max="9482" width="13.85546875" customWidth="1"/>
    <col min="9483" max="9483" width="11.140625" customWidth="1"/>
    <col min="9484" max="9484" width="19.85546875" customWidth="1"/>
    <col min="9485" max="9485" width="12.7109375" customWidth="1"/>
    <col min="9730" max="9730" width="19.5703125" customWidth="1"/>
    <col min="9731" max="9731" width="13.28515625" customWidth="1"/>
    <col min="9732" max="9732" width="8" customWidth="1"/>
    <col min="9733" max="9733" width="12.7109375" customWidth="1"/>
    <col min="9734" max="9734" width="8" customWidth="1"/>
    <col min="9735" max="9735" width="12" customWidth="1"/>
    <col min="9737" max="9737" width="24.85546875" customWidth="1"/>
    <col min="9738" max="9738" width="13.85546875" customWidth="1"/>
    <col min="9739" max="9739" width="11.140625" customWidth="1"/>
    <col min="9740" max="9740" width="19.85546875" customWidth="1"/>
    <col min="9741" max="9741" width="12.7109375" customWidth="1"/>
    <col min="9986" max="9986" width="19.5703125" customWidth="1"/>
    <col min="9987" max="9987" width="13.28515625" customWidth="1"/>
    <col min="9988" max="9988" width="8" customWidth="1"/>
    <col min="9989" max="9989" width="12.7109375" customWidth="1"/>
    <col min="9990" max="9990" width="8" customWidth="1"/>
    <col min="9991" max="9991" width="12" customWidth="1"/>
    <col min="9993" max="9993" width="24.85546875" customWidth="1"/>
    <col min="9994" max="9994" width="13.85546875" customWidth="1"/>
    <col min="9995" max="9995" width="11.140625" customWidth="1"/>
    <col min="9996" max="9996" width="19.85546875" customWidth="1"/>
    <col min="9997" max="9997" width="12.7109375" customWidth="1"/>
    <col min="10242" max="10242" width="19.5703125" customWidth="1"/>
    <col min="10243" max="10243" width="13.28515625" customWidth="1"/>
    <col min="10244" max="10244" width="8" customWidth="1"/>
    <col min="10245" max="10245" width="12.7109375" customWidth="1"/>
    <col min="10246" max="10246" width="8" customWidth="1"/>
    <col min="10247" max="10247" width="12" customWidth="1"/>
    <col min="10249" max="10249" width="24.85546875" customWidth="1"/>
    <col min="10250" max="10250" width="13.85546875" customWidth="1"/>
    <col min="10251" max="10251" width="11.140625" customWidth="1"/>
    <col min="10252" max="10252" width="19.85546875" customWidth="1"/>
    <col min="10253" max="10253" width="12.7109375" customWidth="1"/>
    <col min="10498" max="10498" width="19.5703125" customWidth="1"/>
    <col min="10499" max="10499" width="13.28515625" customWidth="1"/>
    <col min="10500" max="10500" width="8" customWidth="1"/>
    <col min="10501" max="10501" width="12.7109375" customWidth="1"/>
    <col min="10502" max="10502" width="8" customWidth="1"/>
    <col min="10503" max="10503" width="12" customWidth="1"/>
    <col min="10505" max="10505" width="24.85546875" customWidth="1"/>
    <col min="10506" max="10506" width="13.85546875" customWidth="1"/>
    <col min="10507" max="10507" width="11.140625" customWidth="1"/>
    <col min="10508" max="10508" width="19.85546875" customWidth="1"/>
    <col min="10509" max="10509" width="12.7109375" customWidth="1"/>
    <col min="10754" max="10754" width="19.5703125" customWidth="1"/>
    <col min="10755" max="10755" width="13.28515625" customWidth="1"/>
    <col min="10756" max="10756" width="8" customWidth="1"/>
    <col min="10757" max="10757" width="12.7109375" customWidth="1"/>
    <col min="10758" max="10758" width="8" customWidth="1"/>
    <col min="10759" max="10759" width="12" customWidth="1"/>
    <col min="10761" max="10761" width="24.85546875" customWidth="1"/>
    <col min="10762" max="10762" width="13.85546875" customWidth="1"/>
    <col min="10763" max="10763" width="11.140625" customWidth="1"/>
    <col min="10764" max="10764" width="19.85546875" customWidth="1"/>
    <col min="10765" max="10765" width="12.7109375" customWidth="1"/>
    <col min="11010" max="11010" width="19.5703125" customWidth="1"/>
    <col min="11011" max="11011" width="13.28515625" customWidth="1"/>
    <col min="11012" max="11012" width="8" customWidth="1"/>
    <col min="11013" max="11013" width="12.7109375" customWidth="1"/>
    <col min="11014" max="11014" width="8" customWidth="1"/>
    <col min="11015" max="11015" width="12" customWidth="1"/>
    <col min="11017" max="11017" width="24.85546875" customWidth="1"/>
    <col min="11018" max="11018" width="13.85546875" customWidth="1"/>
    <col min="11019" max="11019" width="11.140625" customWidth="1"/>
    <col min="11020" max="11020" width="19.85546875" customWidth="1"/>
    <col min="11021" max="11021" width="12.7109375" customWidth="1"/>
    <col min="11266" max="11266" width="19.5703125" customWidth="1"/>
    <col min="11267" max="11267" width="13.28515625" customWidth="1"/>
    <col min="11268" max="11268" width="8" customWidth="1"/>
    <col min="11269" max="11269" width="12.7109375" customWidth="1"/>
    <col min="11270" max="11270" width="8" customWidth="1"/>
    <col min="11271" max="11271" width="12" customWidth="1"/>
    <col min="11273" max="11273" width="24.85546875" customWidth="1"/>
    <col min="11274" max="11274" width="13.85546875" customWidth="1"/>
    <col min="11275" max="11275" width="11.140625" customWidth="1"/>
    <col min="11276" max="11276" width="19.85546875" customWidth="1"/>
    <col min="11277" max="11277" width="12.7109375" customWidth="1"/>
    <col min="11522" max="11522" width="19.5703125" customWidth="1"/>
    <col min="11523" max="11523" width="13.28515625" customWidth="1"/>
    <col min="11524" max="11524" width="8" customWidth="1"/>
    <col min="11525" max="11525" width="12.7109375" customWidth="1"/>
    <col min="11526" max="11526" width="8" customWidth="1"/>
    <col min="11527" max="11527" width="12" customWidth="1"/>
    <col min="11529" max="11529" width="24.85546875" customWidth="1"/>
    <col min="11530" max="11530" width="13.85546875" customWidth="1"/>
    <col min="11531" max="11531" width="11.140625" customWidth="1"/>
    <col min="11532" max="11532" width="19.85546875" customWidth="1"/>
    <col min="11533" max="11533" width="12.7109375" customWidth="1"/>
    <col min="11778" max="11778" width="19.5703125" customWidth="1"/>
    <col min="11779" max="11779" width="13.28515625" customWidth="1"/>
    <col min="11780" max="11780" width="8" customWidth="1"/>
    <col min="11781" max="11781" width="12.7109375" customWidth="1"/>
    <col min="11782" max="11782" width="8" customWidth="1"/>
    <col min="11783" max="11783" width="12" customWidth="1"/>
    <col min="11785" max="11785" width="24.85546875" customWidth="1"/>
    <col min="11786" max="11786" width="13.85546875" customWidth="1"/>
    <col min="11787" max="11787" width="11.140625" customWidth="1"/>
    <col min="11788" max="11788" width="19.85546875" customWidth="1"/>
    <col min="11789" max="11789" width="12.7109375" customWidth="1"/>
    <col min="12034" max="12034" width="19.5703125" customWidth="1"/>
    <col min="12035" max="12035" width="13.28515625" customWidth="1"/>
    <col min="12036" max="12036" width="8" customWidth="1"/>
    <col min="12037" max="12037" width="12.7109375" customWidth="1"/>
    <col min="12038" max="12038" width="8" customWidth="1"/>
    <col min="12039" max="12039" width="12" customWidth="1"/>
    <col min="12041" max="12041" width="24.85546875" customWidth="1"/>
    <col min="12042" max="12042" width="13.85546875" customWidth="1"/>
    <col min="12043" max="12043" width="11.140625" customWidth="1"/>
    <col min="12044" max="12044" width="19.85546875" customWidth="1"/>
    <col min="12045" max="12045" width="12.7109375" customWidth="1"/>
    <col min="12290" max="12290" width="19.5703125" customWidth="1"/>
    <col min="12291" max="12291" width="13.28515625" customWidth="1"/>
    <col min="12292" max="12292" width="8" customWidth="1"/>
    <col min="12293" max="12293" width="12.7109375" customWidth="1"/>
    <col min="12294" max="12294" width="8" customWidth="1"/>
    <col min="12295" max="12295" width="12" customWidth="1"/>
    <col min="12297" max="12297" width="24.85546875" customWidth="1"/>
    <col min="12298" max="12298" width="13.85546875" customWidth="1"/>
    <col min="12299" max="12299" width="11.140625" customWidth="1"/>
    <col min="12300" max="12300" width="19.85546875" customWidth="1"/>
    <col min="12301" max="12301" width="12.7109375" customWidth="1"/>
    <col min="12546" max="12546" width="19.5703125" customWidth="1"/>
    <col min="12547" max="12547" width="13.28515625" customWidth="1"/>
    <col min="12548" max="12548" width="8" customWidth="1"/>
    <col min="12549" max="12549" width="12.7109375" customWidth="1"/>
    <col min="12550" max="12550" width="8" customWidth="1"/>
    <col min="12551" max="12551" width="12" customWidth="1"/>
    <col min="12553" max="12553" width="24.85546875" customWidth="1"/>
    <col min="12554" max="12554" width="13.85546875" customWidth="1"/>
    <col min="12555" max="12555" width="11.140625" customWidth="1"/>
    <col min="12556" max="12556" width="19.85546875" customWidth="1"/>
    <col min="12557" max="12557" width="12.7109375" customWidth="1"/>
    <col min="12802" max="12802" width="19.5703125" customWidth="1"/>
    <col min="12803" max="12803" width="13.28515625" customWidth="1"/>
    <col min="12804" max="12804" width="8" customWidth="1"/>
    <col min="12805" max="12805" width="12.7109375" customWidth="1"/>
    <col min="12806" max="12806" width="8" customWidth="1"/>
    <col min="12807" max="12807" width="12" customWidth="1"/>
    <col min="12809" max="12809" width="24.85546875" customWidth="1"/>
    <col min="12810" max="12810" width="13.85546875" customWidth="1"/>
    <col min="12811" max="12811" width="11.140625" customWidth="1"/>
    <col min="12812" max="12812" width="19.85546875" customWidth="1"/>
    <col min="12813" max="12813" width="12.7109375" customWidth="1"/>
    <col min="13058" max="13058" width="19.5703125" customWidth="1"/>
    <col min="13059" max="13059" width="13.28515625" customWidth="1"/>
    <col min="13060" max="13060" width="8" customWidth="1"/>
    <col min="13061" max="13061" width="12.7109375" customWidth="1"/>
    <col min="13062" max="13062" width="8" customWidth="1"/>
    <col min="13063" max="13063" width="12" customWidth="1"/>
    <col min="13065" max="13065" width="24.85546875" customWidth="1"/>
    <col min="13066" max="13066" width="13.85546875" customWidth="1"/>
    <col min="13067" max="13067" width="11.140625" customWidth="1"/>
    <col min="13068" max="13068" width="19.85546875" customWidth="1"/>
    <col min="13069" max="13069" width="12.7109375" customWidth="1"/>
    <col min="13314" max="13314" width="19.5703125" customWidth="1"/>
    <col min="13315" max="13315" width="13.28515625" customWidth="1"/>
    <col min="13316" max="13316" width="8" customWidth="1"/>
    <col min="13317" max="13317" width="12.7109375" customWidth="1"/>
    <col min="13318" max="13318" width="8" customWidth="1"/>
    <col min="13319" max="13319" width="12" customWidth="1"/>
    <col min="13321" max="13321" width="24.85546875" customWidth="1"/>
    <col min="13322" max="13322" width="13.85546875" customWidth="1"/>
    <col min="13323" max="13323" width="11.140625" customWidth="1"/>
    <col min="13324" max="13324" width="19.85546875" customWidth="1"/>
    <col min="13325" max="13325" width="12.7109375" customWidth="1"/>
    <col min="13570" max="13570" width="19.5703125" customWidth="1"/>
    <col min="13571" max="13571" width="13.28515625" customWidth="1"/>
    <col min="13572" max="13572" width="8" customWidth="1"/>
    <col min="13573" max="13573" width="12.7109375" customWidth="1"/>
    <col min="13574" max="13574" width="8" customWidth="1"/>
    <col min="13575" max="13575" width="12" customWidth="1"/>
    <col min="13577" max="13577" width="24.85546875" customWidth="1"/>
    <col min="13578" max="13578" width="13.85546875" customWidth="1"/>
    <col min="13579" max="13579" width="11.140625" customWidth="1"/>
    <col min="13580" max="13580" width="19.85546875" customWidth="1"/>
    <col min="13581" max="13581" width="12.7109375" customWidth="1"/>
    <col min="13826" max="13826" width="19.5703125" customWidth="1"/>
    <col min="13827" max="13827" width="13.28515625" customWidth="1"/>
    <col min="13828" max="13828" width="8" customWidth="1"/>
    <col min="13829" max="13829" width="12.7109375" customWidth="1"/>
    <col min="13830" max="13830" width="8" customWidth="1"/>
    <col min="13831" max="13831" width="12" customWidth="1"/>
    <col min="13833" max="13833" width="24.85546875" customWidth="1"/>
    <col min="13834" max="13834" width="13.85546875" customWidth="1"/>
    <col min="13835" max="13835" width="11.140625" customWidth="1"/>
    <col min="13836" max="13836" width="19.85546875" customWidth="1"/>
    <col min="13837" max="13837" width="12.7109375" customWidth="1"/>
    <col min="14082" max="14082" width="19.5703125" customWidth="1"/>
    <col min="14083" max="14083" width="13.28515625" customWidth="1"/>
    <col min="14084" max="14084" width="8" customWidth="1"/>
    <col min="14085" max="14085" width="12.7109375" customWidth="1"/>
    <col min="14086" max="14086" width="8" customWidth="1"/>
    <col min="14087" max="14087" width="12" customWidth="1"/>
    <col min="14089" max="14089" width="24.85546875" customWidth="1"/>
    <col min="14090" max="14090" width="13.85546875" customWidth="1"/>
    <col min="14091" max="14091" width="11.140625" customWidth="1"/>
    <col min="14092" max="14092" width="19.85546875" customWidth="1"/>
    <col min="14093" max="14093" width="12.7109375" customWidth="1"/>
    <col min="14338" max="14338" width="19.5703125" customWidth="1"/>
    <col min="14339" max="14339" width="13.28515625" customWidth="1"/>
    <col min="14340" max="14340" width="8" customWidth="1"/>
    <col min="14341" max="14341" width="12.7109375" customWidth="1"/>
    <col min="14342" max="14342" width="8" customWidth="1"/>
    <col min="14343" max="14343" width="12" customWidth="1"/>
    <col min="14345" max="14345" width="24.85546875" customWidth="1"/>
    <col min="14346" max="14346" width="13.85546875" customWidth="1"/>
    <col min="14347" max="14347" width="11.140625" customWidth="1"/>
    <col min="14348" max="14348" width="19.85546875" customWidth="1"/>
    <col min="14349" max="14349" width="12.7109375" customWidth="1"/>
    <col min="14594" max="14594" width="19.5703125" customWidth="1"/>
    <col min="14595" max="14595" width="13.28515625" customWidth="1"/>
    <col min="14596" max="14596" width="8" customWidth="1"/>
    <col min="14597" max="14597" width="12.7109375" customWidth="1"/>
    <col min="14598" max="14598" width="8" customWidth="1"/>
    <col min="14599" max="14599" width="12" customWidth="1"/>
    <col min="14601" max="14601" width="24.85546875" customWidth="1"/>
    <col min="14602" max="14602" width="13.85546875" customWidth="1"/>
    <col min="14603" max="14603" width="11.140625" customWidth="1"/>
    <col min="14604" max="14604" width="19.85546875" customWidth="1"/>
    <col min="14605" max="14605" width="12.7109375" customWidth="1"/>
    <col min="14850" max="14850" width="19.5703125" customWidth="1"/>
    <col min="14851" max="14851" width="13.28515625" customWidth="1"/>
    <col min="14852" max="14852" width="8" customWidth="1"/>
    <col min="14853" max="14853" width="12.7109375" customWidth="1"/>
    <col min="14854" max="14854" width="8" customWidth="1"/>
    <col min="14855" max="14855" width="12" customWidth="1"/>
    <col min="14857" max="14857" width="24.85546875" customWidth="1"/>
    <col min="14858" max="14858" width="13.85546875" customWidth="1"/>
    <col min="14859" max="14859" width="11.140625" customWidth="1"/>
    <col min="14860" max="14860" width="19.85546875" customWidth="1"/>
    <col min="14861" max="14861" width="12.7109375" customWidth="1"/>
    <col min="15106" max="15106" width="19.5703125" customWidth="1"/>
    <col min="15107" max="15107" width="13.28515625" customWidth="1"/>
    <col min="15108" max="15108" width="8" customWidth="1"/>
    <col min="15109" max="15109" width="12.7109375" customWidth="1"/>
    <col min="15110" max="15110" width="8" customWidth="1"/>
    <col min="15111" max="15111" width="12" customWidth="1"/>
    <col min="15113" max="15113" width="24.85546875" customWidth="1"/>
    <col min="15114" max="15114" width="13.85546875" customWidth="1"/>
    <col min="15115" max="15115" width="11.140625" customWidth="1"/>
    <col min="15116" max="15116" width="19.85546875" customWidth="1"/>
    <col min="15117" max="15117" width="12.7109375" customWidth="1"/>
    <col min="15362" max="15362" width="19.5703125" customWidth="1"/>
    <col min="15363" max="15363" width="13.28515625" customWidth="1"/>
    <col min="15364" max="15364" width="8" customWidth="1"/>
    <col min="15365" max="15365" width="12.7109375" customWidth="1"/>
    <col min="15366" max="15366" width="8" customWidth="1"/>
    <col min="15367" max="15367" width="12" customWidth="1"/>
    <col min="15369" max="15369" width="24.85546875" customWidth="1"/>
    <col min="15370" max="15370" width="13.85546875" customWidth="1"/>
    <col min="15371" max="15371" width="11.140625" customWidth="1"/>
    <col min="15372" max="15372" width="19.85546875" customWidth="1"/>
    <col min="15373" max="15373" width="12.7109375" customWidth="1"/>
    <col min="15618" max="15618" width="19.5703125" customWidth="1"/>
    <col min="15619" max="15619" width="13.28515625" customWidth="1"/>
    <col min="15620" max="15620" width="8" customWidth="1"/>
    <col min="15621" max="15621" width="12.7109375" customWidth="1"/>
    <col min="15622" max="15622" width="8" customWidth="1"/>
    <col min="15623" max="15623" width="12" customWidth="1"/>
    <col min="15625" max="15625" width="24.85546875" customWidth="1"/>
    <col min="15626" max="15626" width="13.85546875" customWidth="1"/>
    <col min="15627" max="15627" width="11.140625" customWidth="1"/>
    <col min="15628" max="15628" width="19.85546875" customWidth="1"/>
    <col min="15629" max="15629" width="12.7109375" customWidth="1"/>
    <col min="15874" max="15874" width="19.5703125" customWidth="1"/>
    <col min="15875" max="15875" width="13.28515625" customWidth="1"/>
    <col min="15876" max="15876" width="8" customWidth="1"/>
    <col min="15877" max="15877" width="12.7109375" customWidth="1"/>
    <col min="15878" max="15878" width="8" customWidth="1"/>
    <col min="15879" max="15879" width="12" customWidth="1"/>
    <col min="15881" max="15881" width="24.85546875" customWidth="1"/>
    <col min="15882" max="15882" width="13.85546875" customWidth="1"/>
    <col min="15883" max="15883" width="11.140625" customWidth="1"/>
    <col min="15884" max="15884" width="19.85546875" customWidth="1"/>
    <col min="15885" max="15885" width="12.7109375" customWidth="1"/>
    <col min="16130" max="16130" width="19.5703125" customWidth="1"/>
    <col min="16131" max="16131" width="13.28515625" customWidth="1"/>
    <col min="16132" max="16132" width="8" customWidth="1"/>
    <col min="16133" max="16133" width="12.7109375" customWidth="1"/>
    <col min="16134" max="16134" width="8" customWidth="1"/>
    <col min="16135" max="16135" width="12" customWidth="1"/>
    <col min="16137" max="16137" width="24.85546875" customWidth="1"/>
    <col min="16138" max="16138" width="13.85546875" customWidth="1"/>
    <col min="16139" max="16139" width="11.140625" customWidth="1"/>
    <col min="16140" max="16140" width="19.85546875" customWidth="1"/>
    <col min="16141" max="16141" width="12.7109375" customWidth="1"/>
  </cols>
  <sheetData>
    <row r="1" spans="1:13" ht="13.5" customHeight="1" thickBot="1">
      <c r="A1" s="61" t="s">
        <v>116</v>
      </c>
      <c r="B1" s="115" t="s">
        <v>182</v>
      </c>
      <c r="C1" s="62" t="s">
        <v>117</v>
      </c>
      <c r="D1" s="63" t="s">
        <v>118</v>
      </c>
      <c r="E1" s="63" t="s">
        <v>119</v>
      </c>
      <c r="I1" s="64" t="s">
        <v>120</v>
      </c>
      <c r="J1" s="61" t="s">
        <v>121</v>
      </c>
      <c r="K1" s="63" t="s">
        <v>122</v>
      </c>
      <c r="L1" s="63" t="s">
        <v>123</v>
      </c>
      <c r="M1" s="63" t="s">
        <v>119</v>
      </c>
    </row>
    <row r="2" spans="1:13" ht="12.75" customHeight="1">
      <c r="A2" s="120">
        <v>39479</v>
      </c>
      <c r="B2" s="116"/>
      <c r="C2" s="65" t="s">
        <v>124</v>
      </c>
      <c r="D2" s="66">
        <f>848.08</f>
        <v>848.08</v>
      </c>
      <c r="E2" s="67">
        <v>0</v>
      </c>
      <c r="G2" s="68">
        <f t="shared" ref="G2:G24" si="0">D2*6</f>
        <v>5088.4800000000005</v>
      </c>
      <c r="I2" s="69"/>
      <c r="J2" s="70"/>
      <c r="K2" s="66"/>
      <c r="L2" s="66"/>
      <c r="M2" s="67">
        <v>0</v>
      </c>
    </row>
    <row r="3" spans="1:13" ht="12.75" customHeight="1">
      <c r="A3" s="120">
        <v>39661</v>
      </c>
      <c r="B3" s="116"/>
      <c r="C3" s="71">
        <v>5.323E-2</v>
      </c>
      <c r="D3" s="66">
        <v>914</v>
      </c>
      <c r="E3" s="72">
        <f t="shared" ref="E3:E15" si="1">D3-D2</f>
        <v>65.919999999999959</v>
      </c>
      <c r="G3" s="68">
        <f t="shared" si="0"/>
        <v>5484</v>
      </c>
      <c r="I3" s="69"/>
      <c r="J3" s="70"/>
      <c r="K3" s="66"/>
      <c r="L3" s="73"/>
      <c r="M3" s="72">
        <f t="shared" ref="M3:M16" si="2">L3-L2</f>
        <v>0</v>
      </c>
    </row>
    <row r="4" spans="1:13" ht="12.75" customHeight="1">
      <c r="A4" s="120">
        <v>39845</v>
      </c>
      <c r="B4" s="116"/>
      <c r="C4" s="71">
        <v>2.1350000000000001E-2</v>
      </c>
      <c r="D4" s="66">
        <f>577.6</f>
        <v>577.6</v>
      </c>
      <c r="E4" s="72">
        <f t="shared" si="1"/>
        <v>-336.4</v>
      </c>
      <c r="G4" s="68">
        <f t="shared" si="0"/>
        <v>3465.6000000000004</v>
      </c>
      <c r="I4" s="69"/>
      <c r="J4" s="70"/>
      <c r="K4" s="66"/>
      <c r="L4" s="74"/>
      <c r="M4" s="72">
        <f t="shared" si="2"/>
        <v>0</v>
      </c>
    </row>
    <row r="5" spans="1:13" ht="12.75" customHeight="1">
      <c r="A5" s="120">
        <v>40026</v>
      </c>
      <c r="B5" s="116"/>
      <c r="C5" s="71">
        <v>1.3339999999999999E-2</v>
      </c>
      <c r="D5" s="73">
        <v>505.94</v>
      </c>
      <c r="E5" s="72">
        <f t="shared" si="1"/>
        <v>-71.660000000000025</v>
      </c>
      <c r="G5" s="68">
        <f t="shared" si="0"/>
        <v>3035.64</v>
      </c>
      <c r="I5" s="69"/>
      <c r="J5" s="75"/>
      <c r="K5" s="73"/>
      <c r="L5" s="73"/>
      <c r="M5" s="72">
        <f t="shared" si="2"/>
        <v>0</v>
      </c>
    </row>
    <row r="6" spans="1:13" ht="12.75" customHeight="1">
      <c r="A6" s="120">
        <v>40210</v>
      </c>
      <c r="B6" s="116"/>
      <c r="C6" s="71">
        <v>1.225E-2</v>
      </c>
      <c r="D6" s="73">
        <v>496.71</v>
      </c>
      <c r="E6" s="72">
        <f t="shared" si="1"/>
        <v>-9.2300000000000182</v>
      </c>
      <c r="G6" s="68">
        <f t="shared" si="0"/>
        <v>2980.2599999999998</v>
      </c>
      <c r="I6" s="69"/>
      <c r="J6" s="75"/>
      <c r="K6" s="73"/>
      <c r="L6" s="73"/>
      <c r="M6" s="72">
        <f t="shared" si="2"/>
        <v>0</v>
      </c>
    </row>
    <row r="7" spans="1:13" ht="12.75" customHeight="1">
      <c r="A7" s="120">
        <v>40391</v>
      </c>
      <c r="B7" s="116"/>
      <c r="C7" s="71">
        <v>1.421E-2</v>
      </c>
      <c r="D7" s="73">
        <v>513.17999999999995</v>
      </c>
      <c r="E7" s="72">
        <f t="shared" si="1"/>
        <v>16.46999999999997</v>
      </c>
      <c r="G7" s="68">
        <f t="shared" si="0"/>
        <v>3079.08</v>
      </c>
      <c r="I7" s="69"/>
      <c r="J7" s="75"/>
      <c r="K7" s="73"/>
      <c r="L7" s="73"/>
      <c r="M7" s="72">
        <f t="shared" si="2"/>
        <v>0</v>
      </c>
    </row>
    <row r="8" spans="1:13" ht="12.75" customHeight="1">
      <c r="A8" s="120">
        <v>40575</v>
      </c>
      <c r="B8" s="116"/>
      <c r="C8" s="71">
        <v>1.7139999999999999E-2</v>
      </c>
      <c r="D8" s="76">
        <v>538.1</v>
      </c>
      <c r="E8" s="72">
        <f t="shared" si="1"/>
        <v>24.920000000000073</v>
      </c>
      <c r="G8" s="68">
        <f t="shared" si="0"/>
        <v>3228.6000000000004</v>
      </c>
      <c r="I8" s="69"/>
      <c r="J8" s="77"/>
      <c r="K8" s="76"/>
      <c r="L8" s="73"/>
      <c r="M8" s="72">
        <f t="shared" si="2"/>
        <v>0</v>
      </c>
    </row>
    <row r="9" spans="1:13" ht="12.75" customHeight="1">
      <c r="A9" s="120">
        <v>40756</v>
      </c>
      <c r="B9" s="116"/>
      <c r="C9" s="71">
        <v>2.0969999999999999E-2</v>
      </c>
      <c r="D9" s="73">
        <v>571.29</v>
      </c>
      <c r="E9" s="72">
        <f t="shared" si="1"/>
        <v>33.189999999999941</v>
      </c>
      <c r="G9" s="68">
        <f t="shared" si="0"/>
        <v>3427.74</v>
      </c>
      <c r="I9" s="69"/>
      <c r="J9" s="75"/>
      <c r="K9" s="73"/>
      <c r="L9" s="73"/>
      <c r="M9" s="72">
        <f t="shared" si="2"/>
        <v>0</v>
      </c>
    </row>
    <row r="10" spans="1:13" ht="12.75" customHeight="1">
      <c r="A10" s="121">
        <v>40940</v>
      </c>
      <c r="B10" s="117"/>
      <c r="C10" s="71">
        <v>1.678E-2</v>
      </c>
      <c r="D10" s="73">
        <v>535.46</v>
      </c>
      <c r="E10" s="72">
        <f t="shared" si="1"/>
        <v>-35.829999999999927</v>
      </c>
      <c r="G10" s="68">
        <f t="shared" si="0"/>
        <v>3212.76</v>
      </c>
      <c r="I10" s="78"/>
      <c r="J10" s="75"/>
      <c r="K10" s="73"/>
      <c r="L10" s="73"/>
      <c r="M10" s="72">
        <f t="shared" si="2"/>
        <v>0</v>
      </c>
    </row>
    <row r="11" spans="1:13" ht="12.75" customHeight="1">
      <c r="A11" s="120">
        <v>41122</v>
      </c>
      <c r="B11" s="116"/>
      <c r="C11" s="71">
        <f>(1.377-0.5)/100</f>
        <v>8.77E-3</v>
      </c>
      <c r="D11" s="73">
        <f>471.35</f>
        <v>471.35</v>
      </c>
      <c r="E11" s="72">
        <f t="shared" si="1"/>
        <v>-64.110000000000014</v>
      </c>
      <c r="G11" s="68">
        <f t="shared" si="0"/>
        <v>2828.1000000000004</v>
      </c>
      <c r="I11" s="69"/>
      <c r="J11" s="75"/>
      <c r="K11" s="73"/>
      <c r="L11" s="73"/>
      <c r="M11" s="72">
        <f t="shared" si="2"/>
        <v>0</v>
      </c>
    </row>
    <row r="12" spans="1:13" ht="12.75" customHeight="1">
      <c r="A12" s="120">
        <v>41306</v>
      </c>
      <c r="B12" s="116"/>
      <c r="C12" s="71">
        <f>0.594/100</f>
        <v>5.94E-3</v>
      </c>
      <c r="D12" s="73">
        <v>450.15</v>
      </c>
      <c r="E12" s="72">
        <v>-21.2</v>
      </c>
      <c r="G12" s="68">
        <f t="shared" si="0"/>
        <v>2700.8999999999996</v>
      </c>
      <c r="I12" s="69"/>
      <c r="J12" s="75"/>
      <c r="K12" s="73"/>
      <c r="L12" s="73"/>
      <c r="M12" s="72">
        <v>0</v>
      </c>
    </row>
    <row r="13" spans="1:13" ht="12.75" customHeight="1">
      <c r="A13" s="120">
        <v>41487</v>
      </c>
      <c r="B13" s="116"/>
      <c r="C13" s="71">
        <f>0.542/100</f>
        <v>5.4200000000000003E-3</v>
      </c>
      <c r="D13" s="73">
        <v>446.36</v>
      </c>
      <c r="E13" s="72">
        <v>-3.77</v>
      </c>
      <c r="G13" s="68">
        <f t="shared" si="0"/>
        <v>2678.16</v>
      </c>
      <c r="I13" s="69"/>
      <c r="J13" s="75"/>
      <c r="K13" s="73"/>
      <c r="L13" s="73"/>
      <c r="M13" s="72">
        <v>0</v>
      </c>
    </row>
    <row r="14" spans="1:13" ht="12.75" customHeight="1">
      <c r="A14" s="120">
        <v>41671</v>
      </c>
      <c r="B14" s="116"/>
      <c r="C14" s="71">
        <f>0.549/100</f>
        <v>5.4900000000000001E-3</v>
      </c>
      <c r="D14" s="73">
        <f>446.86</f>
        <v>446.86</v>
      </c>
      <c r="E14" s="72">
        <f t="shared" si="1"/>
        <v>0.5</v>
      </c>
      <c r="G14" s="68">
        <f t="shared" si="0"/>
        <v>2681.16</v>
      </c>
      <c r="I14" s="79">
        <f>EDATE(A14,2)</f>
        <v>41730</v>
      </c>
      <c r="J14" s="126">
        <v>153293.20000000001</v>
      </c>
      <c r="K14" s="127">
        <v>15951.99</v>
      </c>
      <c r="L14" s="127">
        <f t="shared" ref="L14:L19" si="3">K14-J14</f>
        <v>-137341.21000000002</v>
      </c>
      <c r="M14" s="72">
        <f t="shared" si="2"/>
        <v>-137341.21000000002</v>
      </c>
    </row>
    <row r="15" spans="1:13" ht="12.75" customHeight="1">
      <c r="A15" s="120">
        <f>EDATE(A14,6)</f>
        <v>41852</v>
      </c>
      <c r="B15" s="116">
        <v>151411.95000000001</v>
      </c>
      <c r="C15" s="71">
        <f>(0.969-0.5)/100</f>
        <v>4.6899999999999997E-3</v>
      </c>
      <c r="D15" s="73">
        <f>318.97+122.27</f>
        <v>441.24</v>
      </c>
      <c r="E15" s="72">
        <f t="shared" si="1"/>
        <v>-5.6200000000000045</v>
      </c>
      <c r="G15" s="68">
        <f t="shared" si="0"/>
        <v>2647.44</v>
      </c>
      <c r="I15" s="79">
        <f t="shared" ref="I15:I62" si="4">EDATE(A15,2)</f>
        <v>41913</v>
      </c>
      <c r="J15" s="128">
        <f>151411.95+18544.65-(198.04*2)</f>
        <v>169560.52000000002</v>
      </c>
      <c r="K15" s="127">
        <v>17897.71</v>
      </c>
      <c r="L15" s="127">
        <f t="shared" si="3"/>
        <v>-151662.81000000003</v>
      </c>
      <c r="M15" s="72">
        <f t="shared" si="2"/>
        <v>-14321.600000000006</v>
      </c>
    </row>
    <row r="16" spans="1:13" ht="12.75" customHeight="1">
      <c r="A16" s="120">
        <f t="shared" ref="A16:A79" si="5">EDATE(A15,6)</f>
        <v>42036</v>
      </c>
      <c r="B16" s="116">
        <v>149494.24</v>
      </c>
      <c r="C16" s="71">
        <f>0.00255</f>
        <v>2.5500000000000002E-3</v>
      </c>
      <c r="D16" s="73">
        <f>426.61</f>
        <v>426.61</v>
      </c>
      <c r="E16" s="72">
        <f>D16-D15</f>
        <v>-14.629999999999995</v>
      </c>
      <c r="G16" s="68">
        <f t="shared" si="0"/>
        <v>2559.66</v>
      </c>
      <c r="I16" s="79">
        <f t="shared" si="4"/>
        <v>42095</v>
      </c>
      <c r="J16" s="128">
        <f>149494.24+18544.65-(198.04*(2+6))</f>
        <v>166454.56999999998</v>
      </c>
      <c r="K16" s="127">
        <v>20433.009999999998</v>
      </c>
      <c r="L16" s="127">
        <f t="shared" si="3"/>
        <v>-146021.55999999997</v>
      </c>
      <c r="M16" s="72">
        <f t="shared" si="2"/>
        <v>5641.2500000000582</v>
      </c>
    </row>
    <row r="17" spans="1:13" ht="12.75" customHeight="1">
      <c r="A17" s="120">
        <f t="shared" si="5"/>
        <v>42217</v>
      </c>
      <c r="B17" s="116">
        <v>147495.79</v>
      </c>
      <c r="C17" s="71">
        <v>1.6138095238095241E-3</v>
      </c>
      <c r="D17" s="73">
        <v>420.38</v>
      </c>
      <c r="E17" s="72">
        <f>D17-D16</f>
        <v>-6.2300000000000182</v>
      </c>
      <c r="G17" s="68">
        <f t="shared" si="0"/>
        <v>2522.2799999999997</v>
      </c>
      <c r="I17" s="79">
        <f t="shared" si="4"/>
        <v>42278</v>
      </c>
      <c r="J17" s="128">
        <f>147495.79+18544.65-(198.04*(2+12))</f>
        <v>163267.88</v>
      </c>
      <c r="K17" s="127">
        <v>17715.88</v>
      </c>
      <c r="L17" s="127">
        <f t="shared" si="3"/>
        <v>-145552</v>
      </c>
      <c r="M17" s="72">
        <f t="shared" ref="M17:M22" si="6">L17-L16</f>
        <v>469.55999999996857</v>
      </c>
    </row>
    <row r="18" spans="1:13" ht="12.75" customHeight="1">
      <c r="A18" s="120">
        <f t="shared" si="5"/>
        <v>42401</v>
      </c>
      <c r="B18" s="116">
        <v>145458.18</v>
      </c>
      <c r="C18" s="71">
        <f>-0.00008</f>
        <v>-8.0000000000000007E-5</v>
      </c>
      <c r="D18" s="73">
        <v>409.48</v>
      </c>
      <c r="E18" s="72">
        <v>-10.89</v>
      </c>
      <c r="G18" s="68">
        <f t="shared" si="0"/>
        <v>2456.88</v>
      </c>
      <c r="I18" s="79">
        <f t="shared" si="4"/>
        <v>42461</v>
      </c>
      <c r="J18" s="128">
        <f>145458.18+18544.65-(198.04*(2+18))</f>
        <v>160042.03</v>
      </c>
      <c r="K18" s="127">
        <f>1167.12+4510.82+2610.71+5004.39+800+2627.7+1337.06</f>
        <v>18057.800000000003</v>
      </c>
      <c r="L18" s="127">
        <f t="shared" si="3"/>
        <v>-141984.22999999998</v>
      </c>
      <c r="M18" s="72">
        <f t="shared" si="6"/>
        <v>3567.7700000000186</v>
      </c>
    </row>
    <row r="19" spans="1:13" ht="12.75" customHeight="1">
      <c r="A19" s="120">
        <f t="shared" si="5"/>
        <v>42583</v>
      </c>
      <c r="B19" s="116">
        <v>143356.97</v>
      </c>
      <c r="C19" s="71">
        <f>-0.048%</f>
        <v>-4.8000000000000001E-4</v>
      </c>
      <c r="D19" s="73">
        <v>406.97</v>
      </c>
      <c r="E19" s="72">
        <f t="shared" ref="E19:E24" si="7">D19-D18</f>
        <v>-2.5099999999999909</v>
      </c>
      <c r="G19" s="68">
        <f t="shared" si="0"/>
        <v>2441.8200000000002</v>
      </c>
      <c r="I19" s="79">
        <f t="shared" si="4"/>
        <v>42644</v>
      </c>
      <c r="J19" s="128">
        <f>143356.97+18544.65-(198.04*(2+24))</f>
        <v>156752.57999999999</v>
      </c>
      <c r="K19" s="127">
        <f>18827.92-5007.8+(833*5.448)</f>
        <v>18358.304</v>
      </c>
      <c r="L19" s="127">
        <f t="shared" si="3"/>
        <v>-138394.27599999998</v>
      </c>
      <c r="M19" s="72">
        <f t="shared" si="6"/>
        <v>3589.9539999999979</v>
      </c>
    </row>
    <row r="20" spans="1:13" ht="12.75" customHeight="1">
      <c r="A20" s="120">
        <f t="shared" si="5"/>
        <v>42767</v>
      </c>
      <c r="B20" s="116">
        <v>141384.89000000001</v>
      </c>
      <c r="C20" s="71">
        <f>-0.00106</f>
        <v>-1.06E-3</v>
      </c>
      <c r="D20" s="73">
        <v>403.39</v>
      </c>
      <c r="E20" s="72">
        <f t="shared" si="7"/>
        <v>-3.5800000000000409</v>
      </c>
      <c r="G20" s="68">
        <f t="shared" si="0"/>
        <v>2420.34</v>
      </c>
      <c r="I20" s="79">
        <f t="shared" si="4"/>
        <v>42826</v>
      </c>
      <c r="J20" s="128">
        <f>141384.89+18544.65-(198.04*(2+30))</f>
        <v>153592.26</v>
      </c>
      <c r="K20" s="127">
        <f>19200-5007.8+(833*7.9)</f>
        <v>20772.900000000001</v>
      </c>
      <c r="L20" s="127">
        <f>K20-J20</f>
        <v>-132819.36000000002</v>
      </c>
      <c r="M20" s="72">
        <f t="shared" si="6"/>
        <v>5574.9159999999683</v>
      </c>
    </row>
    <row r="21" spans="1:13" ht="12.75" customHeight="1">
      <c r="A21" s="120">
        <f t="shared" si="5"/>
        <v>42948</v>
      </c>
      <c r="B21" s="116">
        <v>139093.28</v>
      </c>
      <c r="C21" s="71">
        <v>-1.56E-3</v>
      </c>
      <c r="D21" s="73">
        <v>400.38</v>
      </c>
      <c r="E21" s="72">
        <f t="shared" si="7"/>
        <v>-3.0099999999999909</v>
      </c>
      <c r="G21" s="68">
        <f t="shared" si="0"/>
        <v>2402.2799999999997</v>
      </c>
      <c r="I21" s="79">
        <f t="shared" si="4"/>
        <v>43009</v>
      </c>
      <c r="J21" s="128">
        <f>139093.28+18544.65-(198.04*(2+36))</f>
        <v>150112.41</v>
      </c>
      <c r="K21" s="127">
        <f>11743+(306*21.51)</f>
        <v>18325.060000000001</v>
      </c>
      <c r="L21" s="127">
        <f>K21-J21</f>
        <v>-131787.35</v>
      </c>
      <c r="M21" s="72">
        <f t="shared" si="6"/>
        <v>1032.0100000000093</v>
      </c>
    </row>
    <row r="22" spans="1:13" ht="12.75" customHeight="1">
      <c r="A22" s="120">
        <f t="shared" si="5"/>
        <v>43132</v>
      </c>
      <c r="B22" s="116">
        <v>136928.69</v>
      </c>
      <c r="C22" s="71">
        <v>-1.9124999999999997E-3</v>
      </c>
      <c r="D22" s="73">
        <v>398.31</v>
      </c>
      <c r="E22" s="72">
        <f t="shared" si="7"/>
        <v>-2.0699999999999932</v>
      </c>
      <c r="G22" s="68">
        <f t="shared" si="0"/>
        <v>2389.86</v>
      </c>
      <c r="I22" s="79">
        <f t="shared" si="4"/>
        <v>43191</v>
      </c>
      <c r="J22" s="128">
        <f>B22+Coche!D6</f>
        <v>160889.93</v>
      </c>
      <c r="K22" s="127">
        <v>20719.909999999996</v>
      </c>
      <c r="L22" s="127">
        <f>K22-J22</f>
        <v>-140170.01999999999</v>
      </c>
      <c r="M22" s="72">
        <f t="shared" si="6"/>
        <v>-8382.6699999999837</v>
      </c>
    </row>
    <row r="23" spans="1:13" ht="12.75" customHeight="1">
      <c r="A23" s="120">
        <f t="shared" si="5"/>
        <v>43313</v>
      </c>
      <c r="B23" s="116">
        <v>134748.99</v>
      </c>
      <c r="C23" s="71">
        <v>-1.6900000000000001E-3</v>
      </c>
      <c r="D23" s="73">
        <v>399.58584259812636</v>
      </c>
      <c r="E23" s="72">
        <f t="shared" si="7"/>
        <v>1.2758425981263599</v>
      </c>
      <c r="G23" s="68">
        <f t="shared" si="0"/>
        <v>2397.5150555887581</v>
      </c>
      <c r="I23" s="79">
        <f t="shared" si="4"/>
        <v>43374</v>
      </c>
      <c r="J23" s="128">
        <f>B23+Coche!D12</f>
        <v>157159.40999999997</v>
      </c>
      <c r="K23" s="127">
        <v>23252.510000000002</v>
      </c>
      <c r="L23" s="127">
        <f>K23-J23</f>
        <v>-133906.89999999997</v>
      </c>
      <c r="M23" s="72">
        <f t="shared" ref="M23" si="8">L23-L22</f>
        <v>6263.1200000000244</v>
      </c>
    </row>
    <row r="24" spans="1:13" ht="12.75" customHeight="1">
      <c r="A24" s="120">
        <f t="shared" si="5"/>
        <v>43497</v>
      </c>
      <c r="B24" s="116">
        <v>132209.95000000001</v>
      </c>
      <c r="C24" s="71">
        <v>-1.08E-3</v>
      </c>
      <c r="D24" s="73">
        <v>403.08</v>
      </c>
      <c r="E24" s="72">
        <f t="shared" si="7"/>
        <v>3.4941574018736219</v>
      </c>
      <c r="G24" s="68">
        <f t="shared" si="0"/>
        <v>2418.48</v>
      </c>
      <c r="I24" s="79">
        <f t="shared" si="4"/>
        <v>43556</v>
      </c>
      <c r="J24" s="128">
        <f>B24+Coche!D18</f>
        <v>153069.54999999999</v>
      </c>
      <c r="K24" s="127">
        <v>26433.759999999998</v>
      </c>
      <c r="L24" s="127">
        <f>K24-J24</f>
        <v>-126635.79</v>
      </c>
      <c r="M24" s="72">
        <f t="shared" ref="M24" si="9">L24-L23</f>
        <v>7271.1099999999715</v>
      </c>
    </row>
    <row r="25" spans="1:13" ht="12.75" customHeight="1">
      <c r="A25" s="120">
        <f t="shared" si="5"/>
        <v>43678</v>
      </c>
      <c r="B25" s="116">
        <f>Hipoteca!B4</f>
        <v>130048.84</v>
      </c>
      <c r="C25" s="71">
        <f>Hipoteca!B$6/100</f>
        <v>-3.0000000000000001E-3</v>
      </c>
      <c r="D25" s="73">
        <f>Hipoteca!B$13</f>
        <v>392.34672126734426</v>
      </c>
      <c r="E25" s="72">
        <f t="shared" ref="E25" si="10">D25-D24</f>
        <v>-10.73327873265572</v>
      </c>
      <c r="I25" s="79">
        <f t="shared" si="4"/>
        <v>43739</v>
      </c>
      <c r="J25" s="128"/>
      <c r="K25" s="127"/>
      <c r="L25" s="127"/>
      <c r="M25" s="72"/>
    </row>
    <row r="26" spans="1:13" ht="12.75" customHeight="1">
      <c r="A26" s="120">
        <f t="shared" si="5"/>
        <v>43862</v>
      </c>
      <c r="B26" s="116"/>
      <c r="C26" s="71"/>
      <c r="D26" s="73"/>
      <c r="E26" s="72"/>
      <c r="I26" s="79">
        <f t="shared" si="4"/>
        <v>43922</v>
      </c>
      <c r="J26" s="128"/>
      <c r="K26" s="127"/>
      <c r="L26" s="127"/>
      <c r="M26" s="72"/>
    </row>
    <row r="27" spans="1:13" ht="12.75" customHeight="1">
      <c r="A27" s="120">
        <f t="shared" si="5"/>
        <v>44044</v>
      </c>
      <c r="B27" s="116"/>
      <c r="C27" s="71"/>
      <c r="D27" s="73"/>
      <c r="E27" s="72"/>
      <c r="I27" s="79">
        <f t="shared" si="4"/>
        <v>44105</v>
      </c>
      <c r="J27" s="128"/>
      <c r="K27" s="127"/>
      <c r="L27" s="127"/>
      <c r="M27" s="72"/>
    </row>
    <row r="28" spans="1:13" ht="12.75" customHeight="1">
      <c r="A28" s="120">
        <f t="shared" si="5"/>
        <v>44228</v>
      </c>
      <c r="B28" s="116"/>
      <c r="C28" s="71"/>
      <c r="D28" s="73"/>
      <c r="E28" s="72"/>
      <c r="I28" s="79">
        <f t="shared" si="4"/>
        <v>44287</v>
      </c>
      <c r="J28" s="128"/>
      <c r="K28" s="127"/>
      <c r="L28" s="127"/>
      <c r="M28" s="72"/>
    </row>
    <row r="29" spans="1:13" ht="12.75" customHeight="1">
      <c r="A29" s="120">
        <f t="shared" si="5"/>
        <v>44409</v>
      </c>
      <c r="B29" s="116"/>
      <c r="C29" s="71"/>
      <c r="D29" s="73"/>
      <c r="E29" s="72"/>
      <c r="I29" s="79">
        <f t="shared" si="4"/>
        <v>44470</v>
      </c>
      <c r="J29" s="128"/>
      <c r="K29" s="127"/>
      <c r="L29" s="127"/>
      <c r="M29" s="72"/>
    </row>
    <row r="30" spans="1:13" ht="12.75" customHeight="1">
      <c r="A30" s="120">
        <f t="shared" si="5"/>
        <v>44593</v>
      </c>
      <c r="B30" s="116"/>
      <c r="C30" s="71"/>
      <c r="D30" s="73"/>
      <c r="E30" s="72"/>
      <c r="I30" s="79">
        <f t="shared" si="4"/>
        <v>44652</v>
      </c>
      <c r="J30" s="128"/>
      <c r="K30" s="127"/>
      <c r="L30" s="127"/>
      <c r="M30" s="72"/>
    </row>
    <row r="31" spans="1:13" ht="12.75" customHeight="1">
      <c r="A31" s="120">
        <f t="shared" si="5"/>
        <v>44774</v>
      </c>
      <c r="B31" s="116"/>
      <c r="C31" s="71"/>
      <c r="D31" s="73"/>
      <c r="E31" s="72"/>
      <c r="I31" s="79">
        <f t="shared" si="4"/>
        <v>44835</v>
      </c>
      <c r="J31" s="128"/>
      <c r="K31" s="127"/>
      <c r="L31" s="127"/>
      <c r="M31" s="72"/>
    </row>
    <row r="32" spans="1:13" ht="12.75" customHeight="1">
      <c r="A32" s="120">
        <f t="shared" si="5"/>
        <v>44958</v>
      </c>
      <c r="B32" s="116"/>
      <c r="C32" s="71"/>
      <c r="D32" s="73"/>
      <c r="E32" s="72"/>
      <c r="I32" s="79">
        <f t="shared" si="4"/>
        <v>45017</v>
      </c>
      <c r="J32" s="128"/>
      <c r="K32" s="127"/>
      <c r="L32" s="127"/>
      <c r="M32" s="72"/>
    </row>
    <row r="33" spans="1:13" ht="12.75" customHeight="1">
      <c r="A33" s="120">
        <f t="shared" si="5"/>
        <v>45139</v>
      </c>
      <c r="B33" s="116"/>
      <c r="C33" s="71"/>
      <c r="D33" s="73"/>
      <c r="E33" s="72"/>
      <c r="I33" s="79">
        <f t="shared" si="4"/>
        <v>45200</v>
      </c>
      <c r="J33" s="128"/>
      <c r="K33" s="127"/>
      <c r="L33" s="127"/>
      <c r="M33" s="72"/>
    </row>
    <row r="34" spans="1:13" ht="12.75" customHeight="1">
      <c r="A34" s="120">
        <f t="shared" si="5"/>
        <v>45323</v>
      </c>
      <c r="B34" s="116"/>
      <c r="C34" s="71"/>
      <c r="D34" s="73"/>
      <c r="E34" s="72"/>
      <c r="I34" s="79">
        <f t="shared" si="4"/>
        <v>45383</v>
      </c>
      <c r="J34" s="128"/>
      <c r="K34" s="127"/>
      <c r="L34" s="127"/>
      <c r="M34" s="72"/>
    </row>
    <row r="35" spans="1:13" ht="12.75" customHeight="1">
      <c r="A35" s="120">
        <f t="shared" si="5"/>
        <v>45505</v>
      </c>
      <c r="B35" s="116"/>
      <c r="C35" s="71"/>
      <c r="D35" s="73"/>
      <c r="E35" s="72"/>
      <c r="I35" s="79">
        <f t="shared" si="4"/>
        <v>45566</v>
      </c>
      <c r="J35" s="128"/>
      <c r="K35" s="127"/>
      <c r="L35" s="127"/>
      <c r="M35" s="72"/>
    </row>
    <row r="36" spans="1:13" ht="12.75" customHeight="1">
      <c r="A36" s="120">
        <f t="shared" si="5"/>
        <v>45689</v>
      </c>
      <c r="B36" s="116"/>
      <c r="C36" s="71"/>
      <c r="D36" s="73"/>
      <c r="E36" s="72"/>
      <c r="I36" s="79">
        <f t="shared" si="4"/>
        <v>45748</v>
      </c>
      <c r="J36" s="128"/>
      <c r="K36" s="127"/>
      <c r="L36" s="127"/>
      <c r="M36" s="72"/>
    </row>
    <row r="37" spans="1:13" ht="12.75" customHeight="1">
      <c r="A37" s="120">
        <f t="shared" si="5"/>
        <v>45870</v>
      </c>
      <c r="B37" s="116"/>
      <c r="C37" s="71"/>
      <c r="D37" s="73"/>
      <c r="E37" s="72"/>
      <c r="I37" s="79">
        <f t="shared" si="4"/>
        <v>45931</v>
      </c>
      <c r="J37" s="128"/>
      <c r="K37" s="127"/>
      <c r="L37" s="127"/>
      <c r="M37" s="72"/>
    </row>
    <row r="38" spans="1:13" ht="12.75" customHeight="1">
      <c r="A38" s="120">
        <f t="shared" si="5"/>
        <v>46054</v>
      </c>
      <c r="B38" s="116"/>
      <c r="C38" s="71"/>
      <c r="D38" s="73"/>
      <c r="E38" s="72"/>
      <c r="I38" s="79">
        <f t="shared" si="4"/>
        <v>46113</v>
      </c>
      <c r="J38" s="128"/>
      <c r="K38" s="127"/>
      <c r="L38" s="127"/>
      <c r="M38" s="72"/>
    </row>
    <row r="39" spans="1:13" ht="12.75" customHeight="1">
      <c r="A39" s="120">
        <f t="shared" si="5"/>
        <v>46235</v>
      </c>
      <c r="B39" s="116"/>
      <c r="C39" s="71"/>
      <c r="D39" s="73"/>
      <c r="E39" s="72"/>
      <c r="I39" s="79">
        <f t="shared" si="4"/>
        <v>46296</v>
      </c>
      <c r="J39" s="128"/>
      <c r="K39" s="127"/>
      <c r="L39" s="127"/>
      <c r="M39" s="72"/>
    </row>
    <row r="40" spans="1:13" ht="12.75" customHeight="1">
      <c r="A40" s="120">
        <f t="shared" si="5"/>
        <v>46419</v>
      </c>
      <c r="B40" s="116"/>
      <c r="C40" s="71"/>
      <c r="D40" s="73"/>
      <c r="E40" s="72"/>
      <c r="I40" s="79">
        <f t="shared" si="4"/>
        <v>46478</v>
      </c>
      <c r="J40" s="128"/>
      <c r="K40" s="127"/>
      <c r="L40" s="127"/>
      <c r="M40" s="72"/>
    </row>
    <row r="41" spans="1:13" ht="12.75" customHeight="1">
      <c r="A41" s="120">
        <f t="shared" si="5"/>
        <v>46600</v>
      </c>
      <c r="B41" s="116"/>
      <c r="C41" s="71"/>
      <c r="D41" s="73"/>
      <c r="E41" s="72"/>
      <c r="I41" s="79">
        <f t="shared" si="4"/>
        <v>46661</v>
      </c>
      <c r="J41" s="128"/>
      <c r="K41" s="127"/>
      <c r="L41" s="127"/>
      <c r="M41" s="72"/>
    </row>
    <row r="42" spans="1:13" ht="12.75" customHeight="1">
      <c r="A42" s="120">
        <f t="shared" si="5"/>
        <v>46784</v>
      </c>
      <c r="B42" s="116"/>
      <c r="C42" s="71"/>
      <c r="D42" s="73"/>
      <c r="E42" s="72"/>
      <c r="I42" s="79">
        <f t="shared" si="4"/>
        <v>46844</v>
      </c>
      <c r="J42" s="128"/>
      <c r="K42" s="127"/>
      <c r="L42" s="127"/>
      <c r="M42" s="72"/>
    </row>
    <row r="43" spans="1:13" ht="12.75" customHeight="1">
      <c r="A43" s="120">
        <f t="shared" si="5"/>
        <v>46966</v>
      </c>
      <c r="B43" s="116"/>
      <c r="C43" s="71"/>
      <c r="D43" s="73"/>
      <c r="E43" s="72"/>
      <c r="I43" s="79">
        <f t="shared" si="4"/>
        <v>47027</v>
      </c>
      <c r="J43" s="128"/>
      <c r="K43" s="127"/>
      <c r="L43" s="127"/>
      <c r="M43" s="72"/>
    </row>
    <row r="44" spans="1:13" ht="12.75" customHeight="1">
      <c r="A44" s="120">
        <f t="shared" si="5"/>
        <v>47150</v>
      </c>
      <c r="B44" s="116"/>
      <c r="C44" s="71"/>
      <c r="D44" s="73"/>
      <c r="E44" s="72"/>
      <c r="I44" s="79">
        <f t="shared" si="4"/>
        <v>47209</v>
      </c>
      <c r="J44" s="128"/>
      <c r="K44" s="127"/>
      <c r="L44" s="127"/>
      <c r="M44" s="72"/>
    </row>
    <row r="45" spans="1:13" ht="12.75" customHeight="1">
      <c r="A45" s="120">
        <f t="shared" si="5"/>
        <v>47331</v>
      </c>
      <c r="B45" s="116"/>
      <c r="C45" s="71"/>
      <c r="D45" s="73"/>
      <c r="E45" s="72"/>
      <c r="I45" s="79">
        <f t="shared" si="4"/>
        <v>47392</v>
      </c>
      <c r="J45" s="128"/>
      <c r="K45" s="127"/>
      <c r="L45" s="127"/>
      <c r="M45" s="72"/>
    </row>
    <row r="46" spans="1:13" ht="12.75" customHeight="1">
      <c r="A46" s="120">
        <f t="shared" si="5"/>
        <v>47515</v>
      </c>
      <c r="B46" s="116"/>
      <c r="C46" s="71"/>
      <c r="D46" s="73"/>
      <c r="E46" s="72"/>
      <c r="I46" s="79">
        <f t="shared" si="4"/>
        <v>47574</v>
      </c>
      <c r="J46" s="128"/>
      <c r="K46" s="127"/>
      <c r="L46" s="127"/>
      <c r="M46" s="72"/>
    </row>
    <row r="47" spans="1:13" ht="12.75" customHeight="1">
      <c r="A47" s="120">
        <f t="shared" si="5"/>
        <v>47696</v>
      </c>
      <c r="B47" s="116"/>
      <c r="C47" s="71"/>
      <c r="D47" s="73"/>
      <c r="E47" s="72"/>
      <c r="I47" s="79">
        <f t="shared" si="4"/>
        <v>47757</v>
      </c>
      <c r="J47" s="128"/>
      <c r="K47" s="127"/>
      <c r="L47" s="127"/>
      <c r="M47" s="72"/>
    </row>
    <row r="48" spans="1:13" ht="12.75" customHeight="1">
      <c r="A48" s="120">
        <f t="shared" si="5"/>
        <v>47880</v>
      </c>
      <c r="B48" s="116"/>
      <c r="C48" s="71"/>
      <c r="D48" s="73"/>
      <c r="E48" s="72"/>
      <c r="I48" s="79">
        <f t="shared" si="4"/>
        <v>47939</v>
      </c>
      <c r="J48" s="128"/>
      <c r="K48" s="127"/>
      <c r="L48" s="127"/>
      <c r="M48" s="72"/>
    </row>
    <row r="49" spans="1:13" ht="12.75" customHeight="1">
      <c r="A49" s="120">
        <f t="shared" si="5"/>
        <v>48061</v>
      </c>
      <c r="B49" s="116"/>
      <c r="C49" s="71"/>
      <c r="D49" s="73"/>
      <c r="E49" s="72"/>
      <c r="I49" s="79">
        <f t="shared" si="4"/>
        <v>48122</v>
      </c>
      <c r="J49" s="128"/>
      <c r="K49" s="127"/>
      <c r="L49" s="127"/>
      <c r="M49" s="72"/>
    </row>
    <row r="50" spans="1:13" ht="12.75" customHeight="1">
      <c r="A50" s="120">
        <f t="shared" si="5"/>
        <v>48245</v>
      </c>
      <c r="B50" s="116"/>
      <c r="C50" s="71"/>
      <c r="D50" s="73"/>
      <c r="E50" s="72"/>
      <c r="I50" s="79">
        <f t="shared" si="4"/>
        <v>48305</v>
      </c>
      <c r="J50" s="128"/>
      <c r="K50" s="127"/>
      <c r="L50" s="127"/>
      <c r="M50" s="72"/>
    </row>
    <row r="51" spans="1:13" ht="12.75" customHeight="1">
      <c r="A51" s="120">
        <f t="shared" si="5"/>
        <v>48427</v>
      </c>
      <c r="B51" s="116"/>
      <c r="C51" s="71"/>
      <c r="D51" s="73"/>
      <c r="E51" s="72"/>
      <c r="I51" s="79">
        <f t="shared" si="4"/>
        <v>48488</v>
      </c>
      <c r="J51" s="128"/>
      <c r="K51" s="127"/>
      <c r="L51" s="127"/>
      <c r="M51" s="72"/>
    </row>
    <row r="52" spans="1:13" ht="12.75" customHeight="1">
      <c r="A52" s="120">
        <f t="shared" si="5"/>
        <v>48611</v>
      </c>
      <c r="B52" s="116"/>
      <c r="C52" s="71"/>
      <c r="D52" s="73"/>
      <c r="E52" s="72"/>
      <c r="I52" s="79">
        <f t="shared" si="4"/>
        <v>48670</v>
      </c>
      <c r="J52" s="128"/>
      <c r="K52" s="127"/>
      <c r="L52" s="127"/>
      <c r="M52" s="72"/>
    </row>
    <row r="53" spans="1:13" ht="12.75" customHeight="1">
      <c r="A53" s="120">
        <f t="shared" si="5"/>
        <v>48792</v>
      </c>
      <c r="B53" s="116"/>
      <c r="C53" s="71"/>
      <c r="D53" s="73"/>
      <c r="E53" s="72"/>
      <c r="I53" s="79">
        <f t="shared" si="4"/>
        <v>48853</v>
      </c>
      <c r="J53" s="128"/>
      <c r="K53" s="127"/>
      <c r="L53" s="127"/>
      <c r="M53" s="72"/>
    </row>
    <row r="54" spans="1:13" ht="12.75" customHeight="1">
      <c r="A54" s="120">
        <f t="shared" si="5"/>
        <v>48976</v>
      </c>
      <c r="B54" s="116"/>
      <c r="C54" s="71"/>
      <c r="D54" s="73"/>
      <c r="E54" s="72"/>
      <c r="I54" s="79">
        <f t="shared" si="4"/>
        <v>49035</v>
      </c>
      <c r="J54" s="128"/>
      <c r="K54" s="127"/>
      <c r="L54" s="127"/>
      <c r="M54" s="72"/>
    </row>
    <row r="55" spans="1:13" ht="12.75" customHeight="1">
      <c r="A55" s="120">
        <f t="shared" si="5"/>
        <v>49157</v>
      </c>
      <c r="B55" s="116"/>
      <c r="C55" s="71"/>
      <c r="D55" s="73"/>
      <c r="E55" s="72"/>
      <c r="I55" s="79">
        <f t="shared" si="4"/>
        <v>49218</v>
      </c>
      <c r="J55" s="128"/>
      <c r="K55" s="127"/>
      <c r="L55" s="127"/>
      <c r="M55" s="72"/>
    </row>
    <row r="56" spans="1:13" ht="12.75" customHeight="1">
      <c r="A56" s="120">
        <f t="shared" si="5"/>
        <v>49341</v>
      </c>
      <c r="B56" s="116"/>
      <c r="C56" s="71"/>
      <c r="D56" s="73"/>
      <c r="E56" s="72"/>
      <c r="I56" s="79">
        <f t="shared" si="4"/>
        <v>49400</v>
      </c>
      <c r="J56" s="128"/>
      <c r="K56" s="127"/>
      <c r="L56" s="127"/>
      <c r="M56" s="72"/>
    </row>
    <row r="57" spans="1:13" ht="12.75" customHeight="1">
      <c r="A57" s="120">
        <f t="shared" si="5"/>
        <v>49522</v>
      </c>
      <c r="B57" s="116"/>
      <c r="C57" s="71"/>
      <c r="D57" s="73"/>
      <c r="E57" s="72"/>
      <c r="I57" s="79">
        <f t="shared" si="4"/>
        <v>49583</v>
      </c>
      <c r="J57" s="128"/>
      <c r="K57" s="127"/>
      <c r="L57" s="127"/>
      <c r="M57" s="72"/>
    </row>
    <row r="58" spans="1:13" ht="12.75" customHeight="1">
      <c r="A58" s="120">
        <f t="shared" si="5"/>
        <v>49706</v>
      </c>
      <c r="B58" s="116"/>
      <c r="C58" s="71"/>
      <c r="D58" s="73"/>
      <c r="E58" s="72"/>
      <c r="I58" s="79">
        <f t="shared" si="4"/>
        <v>49766</v>
      </c>
      <c r="J58" s="128"/>
      <c r="K58" s="127"/>
      <c r="L58" s="127"/>
      <c r="M58" s="72"/>
    </row>
    <row r="59" spans="1:13" ht="12.75" customHeight="1">
      <c r="A59" s="120">
        <f t="shared" si="5"/>
        <v>49888</v>
      </c>
      <c r="B59" s="116"/>
      <c r="C59" s="71"/>
      <c r="D59" s="73"/>
      <c r="E59" s="72"/>
      <c r="I59" s="79">
        <f t="shared" si="4"/>
        <v>49949</v>
      </c>
      <c r="J59" s="128"/>
      <c r="K59" s="127"/>
      <c r="L59" s="127"/>
      <c r="M59" s="72"/>
    </row>
    <row r="60" spans="1:13" ht="12.75" customHeight="1">
      <c r="A60" s="120">
        <f t="shared" si="5"/>
        <v>50072</v>
      </c>
      <c r="B60" s="116"/>
      <c r="C60" s="71"/>
      <c r="D60" s="73"/>
      <c r="E60" s="72"/>
      <c r="I60" s="79">
        <f t="shared" si="4"/>
        <v>50131</v>
      </c>
      <c r="J60" s="128"/>
      <c r="K60" s="127"/>
      <c r="L60" s="127"/>
      <c r="M60" s="72"/>
    </row>
    <row r="61" spans="1:13" ht="12.75" customHeight="1">
      <c r="A61" s="120">
        <f t="shared" si="5"/>
        <v>50253</v>
      </c>
      <c r="B61" s="116"/>
      <c r="C61" s="71"/>
      <c r="D61" s="73"/>
      <c r="E61" s="72"/>
      <c r="I61" s="79">
        <f t="shared" si="4"/>
        <v>50314</v>
      </c>
      <c r="J61" s="128"/>
      <c r="K61" s="127"/>
      <c r="L61" s="127"/>
      <c r="M61" s="72"/>
    </row>
    <row r="62" spans="1:13" ht="12.75" customHeight="1">
      <c r="A62" s="120">
        <f t="shared" si="5"/>
        <v>50437</v>
      </c>
      <c r="B62" s="116"/>
      <c r="C62" s="71"/>
      <c r="D62" s="73"/>
      <c r="E62" s="72"/>
      <c r="I62" s="79">
        <f t="shared" si="4"/>
        <v>50496</v>
      </c>
      <c r="J62" s="128"/>
      <c r="K62" s="127"/>
      <c r="L62" s="127"/>
      <c r="M62" s="72"/>
    </row>
    <row r="63" spans="1:13" ht="12.75" customHeight="1">
      <c r="A63" s="120">
        <f t="shared" si="5"/>
        <v>50618</v>
      </c>
      <c r="B63" s="116"/>
      <c r="C63" s="71"/>
      <c r="D63" s="73"/>
      <c r="E63" s="72"/>
      <c r="I63" s="79">
        <f t="shared" ref="I63:I81" si="11">EDATE(A63,2)</f>
        <v>50679</v>
      </c>
      <c r="J63" s="128"/>
      <c r="K63" s="127"/>
      <c r="L63" s="127"/>
      <c r="M63" s="72"/>
    </row>
    <row r="64" spans="1:13" ht="12.75" customHeight="1">
      <c r="A64" s="120">
        <f t="shared" si="5"/>
        <v>50802</v>
      </c>
      <c r="B64" s="116"/>
      <c r="C64" s="71"/>
      <c r="D64" s="73"/>
      <c r="E64" s="72"/>
      <c r="I64" s="79">
        <f t="shared" si="11"/>
        <v>50861</v>
      </c>
      <c r="J64" s="128"/>
      <c r="K64" s="127"/>
      <c r="L64" s="127"/>
      <c r="M64" s="72"/>
    </row>
    <row r="65" spans="1:13" ht="12.75" customHeight="1">
      <c r="A65" s="120">
        <f t="shared" si="5"/>
        <v>50983</v>
      </c>
      <c r="B65" s="116"/>
      <c r="C65" s="71"/>
      <c r="D65" s="73"/>
      <c r="E65" s="72"/>
      <c r="I65" s="79">
        <f t="shared" si="11"/>
        <v>51044</v>
      </c>
      <c r="J65" s="128"/>
      <c r="K65" s="127"/>
      <c r="L65" s="127"/>
      <c r="M65" s="72"/>
    </row>
    <row r="66" spans="1:13" ht="12.75" customHeight="1">
      <c r="A66" s="120">
        <f t="shared" si="5"/>
        <v>51167</v>
      </c>
      <c r="B66" s="116"/>
      <c r="C66" s="71"/>
      <c r="D66" s="73"/>
      <c r="E66" s="72"/>
      <c r="I66" s="79">
        <f t="shared" si="11"/>
        <v>51227</v>
      </c>
      <c r="J66" s="128"/>
      <c r="K66" s="127"/>
      <c r="L66" s="127"/>
      <c r="M66" s="72"/>
    </row>
    <row r="67" spans="1:13" ht="12.75" customHeight="1">
      <c r="A67" s="120">
        <f t="shared" si="5"/>
        <v>51349</v>
      </c>
      <c r="B67" s="116"/>
      <c r="C67" s="71"/>
      <c r="D67" s="73"/>
      <c r="E67" s="72"/>
      <c r="I67" s="79">
        <f t="shared" si="11"/>
        <v>51410</v>
      </c>
      <c r="J67" s="128"/>
      <c r="K67" s="127"/>
      <c r="L67" s="127"/>
      <c r="M67" s="72"/>
    </row>
    <row r="68" spans="1:13" ht="12.75" customHeight="1">
      <c r="A68" s="120">
        <f t="shared" si="5"/>
        <v>51533</v>
      </c>
      <c r="B68" s="116"/>
      <c r="C68" s="71"/>
      <c r="D68" s="73"/>
      <c r="E68" s="72"/>
      <c r="I68" s="79">
        <f t="shared" si="11"/>
        <v>51592</v>
      </c>
      <c r="J68" s="128"/>
      <c r="K68" s="127"/>
      <c r="L68" s="127"/>
      <c r="M68" s="72"/>
    </row>
    <row r="69" spans="1:13" ht="12.75" customHeight="1">
      <c r="A69" s="120">
        <f t="shared" si="5"/>
        <v>51714</v>
      </c>
      <c r="B69" s="116"/>
      <c r="C69" s="71"/>
      <c r="D69" s="73"/>
      <c r="E69" s="72"/>
      <c r="I69" s="79">
        <f t="shared" si="11"/>
        <v>51775</v>
      </c>
      <c r="J69" s="128"/>
      <c r="K69" s="127"/>
      <c r="L69" s="127"/>
      <c r="M69" s="72"/>
    </row>
    <row r="70" spans="1:13" ht="12.75" customHeight="1">
      <c r="A70" s="120">
        <f t="shared" si="5"/>
        <v>51898</v>
      </c>
      <c r="B70" s="116"/>
      <c r="C70" s="71"/>
      <c r="D70" s="73"/>
      <c r="E70" s="72"/>
      <c r="I70" s="79">
        <f t="shared" si="11"/>
        <v>51957</v>
      </c>
      <c r="J70" s="128"/>
      <c r="K70" s="127"/>
      <c r="L70" s="127"/>
      <c r="M70" s="72"/>
    </row>
    <row r="71" spans="1:13" ht="12.75" customHeight="1">
      <c r="A71" s="120">
        <f t="shared" si="5"/>
        <v>52079</v>
      </c>
      <c r="B71" s="116"/>
      <c r="C71" s="71"/>
      <c r="D71" s="73"/>
      <c r="E71" s="72"/>
      <c r="I71" s="79">
        <f t="shared" si="11"/>
        <v>52140</v>
      </c>
      <c r="J71" s="128"/>
      <c r="K71" s="127"/>
      <c r="L71" s="127"/>
      <c r="M71" s="72"/>
    </row>
    <row r="72" spans="1:13" ht="12.75" customHeight="1">
      <c r="A72" s="120">
        <f t="shared" si="5"/>
        <v>52263</v>
      </c>
      <c r="B72" s="116"/>
      <c r="C72" s="71"/>
      <c r="D72" s="73"/>
      <c r="E72" s="72"/>
      <c r="I72" s="79">
        <f t="shared" si="11"/>
        <v>52322</v>
      </c>
      <c r="J72" s="128"/>
      <c r="K72" s="127"/>
      <c r="L72" s="127"/>
      <c r="M72" s="72"/>
    </row>
    <row r="73" spans="1:13" ht="12.75" customHeight="1">
      <c r="A73" s="120">
        <f t="shared" si="5"/>
        <v>52444</v>
      </c>
      <c r="B73" s="116"/>
      <c r="C73" s="71"/>
      <c r="D73" s="73"/>
      <c r="E73" s="72"/>
      <c r="I73" s="79">
        <f t="shared" si="11"/>
        <v>52505</v>
      </c>
      <c r="J73" s="128"/>
      <c r="K73" s="127"/>
      <c r="L73" s="127"/>
      <c r="M73" s="72"/>
    </row>
    <row r="74" spans="1:13" ht="12.75" customHeight="1">
      <c r="A74" s="120">
        <f t="shared" si="5"/>
        <v>52628</v>
      </c>
      <c r="B74" s="116"/>
      <c r="C74" s="71"/>
      <c r="D74" s="73"/>
      <c r="E74" s="72"/>
      <c r="I74" s="79">
        <f t="shared" si="11"/>
        <v>52688</v>
      </c>
      <c r="J74" s="128"/>
      <c r="K74" s="127"/>
      <c r="L74" s="127"/>
      <c r="M74" s="72"/>
    </row>
    <row r="75" spans="1:13" ht="12.75" customHeight="1">
      <c r="A75" s="120">
        <f t="shared" si="5"/>
        <v>52810</v>
      </c>
      <c r="B75" s="116"/>
      <c r="C75" s="71"/>
      <c r="D75" s="73"/>
      <c r="E75" s="72"/>
      <c r="I75" s="79">
        <f t="shared" si="11"/>
        <v>52871</v>
      </c>
      <c r="J75" s="128"/>
      <c r="K75" s="127"/>
      <c r="L75" s="127"/>
      <c r="M75" s="72"/>
    </row>
    <row r="76" spans="1:13" ht="12.75" customHeight="1">
      <c r="A76" s="120">
        <f t="shared" si="5"/>
        <v>52994</v>
      </c>
      <c r="B76" s="116"/>
      <c r="C76" s="71"/>
      <c r="D76" s="73"/>
      <c r="E76" s="72"/>
      <c r="I76" s="79">
        <f t="shared" si="11"/>
        <v>53053</v>
      </c>
      <c r="J76" s="128"/>
      <c r="K76" s="127"/>
      <c r="L76" s="127"/>
      <c r="M76" s="72"/>
    </row>
    <row r="77" spans="1:13" ht="12.75" customHeight="1">
      <c r="A77" s="120">
        <f t="shared" si="5"/>
        <v>53175</v>
      </c>
      <c r="B77" s="116"/>
      <c r="C77" s="71"/>
      <c r="D77" s="73"/>
      <c r="E77" s="72"/>
      <c r="I77" s="79">
        <f t="shared" si="11"/>
        <v>53236</v>
      </c>
      <c r="J77" s="128"/>
      <c r="K77" s="127"/>
      <c r="L77" s="127"/>
      <c r="M77" s="72"/>
    </row>
    <row r="78" spans="1:13" ht="12.75" customHeight="1">
      <c r="A78" s="120">
        <f t="shared" si="5"/>
        <v>53359</v>
      </c>
      <c r="B78" s="116"/>
      <c r="C78" s="71"/>
      <c r="D78" s="73"/>
      <c r="E78" s="72"/>
      <c r="I78" s="79">
        <f t="shared" si="11"/>
        <v>53418</v>
      </c>
      <c r="J78" s="128"/>
      <c r="K78" s="127"/>
      <c r="L78" s="127"/>
      <c r="M78" s="72"/>
    </row>
    <row r="79" spans="1:13" ht="12.75" customHeight="1">
      <c r="A79" s="120">
        <f t="shared" si="5"/>
        <v>53540</v>
      </c>
      <c r="B79" s="116"/>
      <c r="C79" s="71"/>
      <c r="D79" s="73"/>
      <c r="E79" s="72"/>
      <c r="I79" s="79">
        <f t="shared" si="11"/>
        <v>53601</v>
      </c>
      <c r="J79" s="128"/>
      <c r="K79" s="127"/>
      <c r="L79" s="127"/>
      <c r="M79" s="72"/>
    </row>
    <row r="80" spans="1:13" ht="12.75" customHeight="1">
      <c r="A80" s="120">
        <f t="shared" ref="A80:A81" si="12">EDATE(A79,6)</f>
        <v>53724</v>
      </c>
      <c r="B80" s="116"/>
      <c r="C80" s="71"/>
      <c r="D80" s="73"/>
      <c r="E80" s="72"/>
      <c r="I80" s="79">
        <f t="shared" si="11"/>
        <v>53783</v>
      </c>
      <c r="J80" s="128"/>
      <c r="K80" s="127"/>
      <c r="L80" s="127"/>
      <c r="M80" s="72"/>
    </row>
    <row r="81" spans="1:13" ht="12.75" customHeight="1">
      <c r="A81" s="120">
        <f t="shared" si="12"/>
        <v>53905</v>
      </c>
      <c r="B81" s="116"/>
      <c r="C81" s="71"/>
      <c r="D81" s="73"/>
      <c r="E81" s="72"/>
      <c r="I81" s="79">
        <f t="shared" si="11"/>
        <v>53966</v>
      </c>
      <c r="J81" s="128"/>
      <c r="K81" s="127"/>
      <c r="L81" s="127"/>
      <c r="M81" s="72"/>
    </row>
    <row r="82" spans="1:13" ht="13.5" customHeight="1" thickBot="1">
      <c r="A82" s="122">
        <f>EDATE(A81,6)</f>
        <v>54089</v>
      </c>
      <c r="B82" s="118"/>
      <c r="C82" s="80"/>
      <c r="D82" s="81"/>
      <c r="E82" s="82"/>
      <c r="I82" s="91">
        <f>EDATE(A82,1)</f>
        <v>54118</v>
      </c>
      <c r="J82" s="129"/>
      <c r="K82" s="130"/>
      <c r="L82" s="130"/>
      <c r="M82" s="82"/>
    </row>
    <row r="83" spans="1:13" ht="12.75" customHeight="1">
      <c r="C83" s="84">
        <f>AVERAGE(C3:C82)</f>
        <v>8.386143892339543E-3</v>
      </c>
      <c r="D83" s="85">
        <f>AVERAGE(D2:D82)</f>
        <v>492.36885682772771</v>
      </c>
      <c r="E83" s="86">
        <f>AVERAGE(E3:E82)</f>
        <v>-19.813186031854599</v>
      </c>
      <c r="M83" s="86">
        <f>AVERAGE(M3:M82)</f>
        <v>-5756.1722727272727</v>
      </c>
    </row>
    <row r="85" spans="1:13">
      <c r="E85" t="s">
        <v>125</v>
      </c>
      <c r="G85" s="68">
        <f>SUM(G2:G82)</f>
        <v>68547.035055588742</v>
      </c>
      <c r="M85" t="s">
        <v>125</v>
      </c>
    </row>
    <row r="104" spans="7:7">
      <c r="G104">
        <f>198.04*12*5</f>
        <v>11882.4</v>
      </c>
    </row>
    <row r="105" spans="7:7">
      <c r="G105">
        <f>G104+6662.25</f>
        <v>18544.650000000001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5E11D-5963-4199-8F64-38CC95B2FD67}">
  <dimension ref="A1:AB78"/>
  <sheetViews>
    <sheetView topLeftCell="L22" workbookViewId="0">
      <selection activeCell="R35" sqref="R35"/>
    </sheetView>
  </sheetViews>
  <sheetFormatPr defaultColWidth="11.42578125" defaultRowHeight="15"/>
  <cols>
    <col min="3" max="3" width="19.140625" customWidth="1"/>
    <col min="4" max="4" width="14.140625" style="46" customWidth="1"/>
    <col min="5" max="5" width="20.140625" customWidth="1"/>
    <col min="6" max="6" width="18.28515625" customWidth="1"/>
    <col min="7" max="7" width="17" customWidth="1"/>
    <col min="8" max="8" width="16" customWidth="1"/>
    <col min="9" max="9" width="17.28515625" customWidth="1"/>
    <col min="10" max="10" width="14.42578125" customWidth="1"/>
    <col min="11" max="11" width="18.28515625" customWidth="1"/>
    <col min="12" max="12" width="16.7109375" customWidth="1"/>
    <col min="13" max="13" width="17" customWidth="1"/>
    <col min="14" max="14" width="13.7109375" customWidth="1"/>
    <col min="17" max="17" width="12.85546875" customWidth="1"/>
    <col min="18" max="18" width="34.42578125" customWidth="1"/>
    <col min="19" max="19" width="17.7109375" customWidth="1"/>
    <col min="20" max="20" width="12.7109375" customWidth="1"/>
    <col min="21" max="21" width="24.140625" customWidth="1"/>
    <col min="22" max="22" width="12" bestFit="1" customWidth="1"/>
    <col min="23" max="23" width="14.7109375" customWidth="1"/>
    <col min="24" max="24" width="16" customWidth="1"/>
    <col min="27" max="27" width="12.7109375" bestFit="1" customWidth="1"/>
    <col min="28" max="28" width="16.140625" customWidth="1"/>
    <col min="29" max="29" width="15.28515625" customWidth="1"/>
    <col min="30" max="30" width="12.7109375" bestFit="1" customWidth="1"/>
  </cols>
  <sheetData>
    <row r="1" spans="1:26">
      <c r="A1" s="240" t="s">
        <v>502</v>
      </c>
      <c r="B1" s="240"/>
      <c r="C1" s="241"/>
      <c r="D1" s="320"/>
      <c r="E1" s="242"/>
      <c r="F1" s="243" t="s">
        <v>503</v>
      </c>
      <c r="G1" s="244"/>
      <c r="H1" s="244"/>
      <c r="I1" s="244"/>
      <c r="J1" s="244"/>
      <c r="K1" s="245" t="s">
        <v>504</v>
      </c>
      <c r="L1" s="246"/>
      <c r="M1" s="246"/>
      <c r="N1" s="247"/>
      <c r="O1" s="248" t="s">
        <v>5</v>
      </c>
      <c r="P1" s="249"/>
      <c r="Q1" s="250"/>
      <c r="R1" s="251"/>
    </row>
    <row r="2" spans="1:26">
      <c r="A2" s="252" t="s">
        <v>505</v>
      </c>
      <c r="B2" s="252" t="s">
        <v>506</v>
      </c>
      <c r="C2" s="252" t="s">
        <v>507</v>
      </c>
      <c r="D2" s="321" t="s">
        <v>562</v>
      </c>
      <c r="E2" s="252" t="s">
        <v>508</v>
      </c>
      <c r="F2" s="253" t="s">
        <v>509</v>
      </c>
      <c r="G2" s="254" t="s">
        <v>510</v>
      </c>
      <c r="H2" s="254" t="s">
        <v>511</v>
      </c>
      <c r="I2" s="254" t="s">
        <v>512</v>
      </c>
      <c r="J2" s="254" t="s">
        <v>7</v>
      </c>
      <c r="K2" s="255" t="s">
        <v>509</v>
      </c>
      <c r="L2" s="256" t="s">
        <v>510</v>
      </c>
      <c r="M2" s="256" t="s">
        <v>512</v>
      </c>
      <c r="N2" s="257" t="s">
        <v>7</v>
      </c>
      <c r="O2" s="258" t="s">
        <v>7</v>
      </c>
      <c r="P2" s="259" t="s">
        <v>513</v>
      </c>
      <c r="Q2" s="259" t="s">
        <v>95</v>
      </c>
      <c r="R2" s="260" t="s">
        <v>514</v>
      </c>
      <c r="S2" s="261"/>
    </row>
    <row r="3" spans="1:26">
      <c r="A3" s="262" t="s">
        <v>515</v>
      </c>
      <c r="B3" s="262" t="s">
        <v>516</v>
      </c>
      <c r="C3" s="263">
        <v>5600</v>
      </c>
      <c r="D3" s="322">
        <f ca="1">_xlfn.DAYS(K3,F3)</f>
        <v>1461</v>
      </c>
      <c r="E3" s="264">
        <f>I3-J3</f>
        <v>5560.4885999999997</v>
      </c>
      <c r="F3" s="265">
        <v>42209</v>
      </c>
      <c r="G3" s="263">
        <v>89</v>
      </c>
      <c r="H3" s="266">
        <f>TRUNC(C3/G3)</f>
        <v>62</v>
      </c>
      <c r="I3" s="264">
        <f>(G3*H3)</f>
        <v>5518</v>
      </c>
      <c r="J3" s="264">
        <f>-(IF((I3*0.005)&lt;20,20,(I3*0.005))+(I3*0.0027))</f>
        <v>-42.488599999999998</v>
      </c>
      <c r="K3" s="265">
        <f ca="1">TODAY()</f>
        <v>43670</v>
      </c>
      <c r="L3" s="302">
        <v>120</v>
      </c>
      <c r="M3" s="264">
        <f>(H3*L3)</f>
        <v>7440</v>
      </c>
      <c r="N3" s="264">
        <f>-(IF((M3*0.005)&lt;20,20,(M3*0.005)) + (M3*0.0027))</f>
        <v>-57.288000000000004</v>
      </c>
      <c r="O3" s="267">
        <f>J3+N3</f>
        <v>-99.776600000000002</v>
      </c>
      <c r="P3" s="268">
        <f>M3-I3+N3</f>
        <v>1864.712</v>
      </c>
      <c r="Q3" s="269">
        <f>P3/E3</f>
        <v>0.33535038629518998</v>
      </c>
      <c r="R3" s="270" t="s">
        <v>536</v>
      </c>
    </row>
    <row r="4" spans="1:26">
      <c r="A4" s="262" t="s">
        <v>517</v>
      </c>
      <c r="B4" s="262" t="s">
        <v>413</v>
      </c>
      <c r="C4" s="263">
        <v>4090</v>
      </c>
      <c r="D4" s="322">
        <f ca="1">_xlfn.DAYS(K4,F4)</f>
        <v>65</v>
      </c>
      <c r="E4" s="264">
        <f>I4-J4</f>
        <v>4088.7468600000002</v>
      </c>
      <c r="F4" s="271">
        <v>43605</v>
      </c>
      <c r="G4" s="263">
        <v>65.23</v>
      </c>
      <c r="H4" s="266">
        <f>TRUNC(C4/G4)</f>
        <v>62</v>
      </c>
      <c r="I4" s="264">
        <f>(G4*H4)</f>
        <v>4044.26</v>
      </c>
      <c r="J4" s="264">
        <f>-(IF((I4*0.0075)&lt;30,30,(I4*0.0075))+(I4*0.0035))</f>
        <v>-44.48686</v>
      </c>
      <c r="K4" s="271">
        <f ca="1">TODAY()</f>
        <v>43670</v>
      </c>
      <c r="L4" s="302">
        <v>73.97</v>
      </c>
      <c r="M4" s="264">
        <f>(H4*L4)</f>
        <v>4586.1400000000003</v>
      </c>
      <c r="N4" s="264">
        <f>-(IF((M4*0.0075)&lt;30,30,(M4*0.0075)) + (M4*0.0035))</f>
        <v>-50.447540000000004</v>
      </c>
      <c r="O4" s="272">
        <f>J4+N4</f>
        <v>-94.934400000000011</v>
      </c>
      <c r="P4" s="273">
        <f>M4-E4+N4</f>
        <v>446.94560000000013</v>
      </c>
      <c r="Q4" s="274">
        <f>P4/E4</f>
        <v>0.109311144784346</v>
      </c>
      <c r="R4" s="275" t="s">
        <v>536</v>
      </c>
      <c r="S4" s="341">
        <v>43673</v>
      </c>
    </row>
    <row r="5" spans="1:26">
      <c r="A5" s="262" t="s">
        <v>517</v>
      </c>
      <c r="B5" s="262" t="s">
        <v>518</v>
      </c>
      <c r="C5" s="263">
        <v>5100</v>
      </c>
      <c r="D5" s="322">
        <f ca="1">_xlfn.DAYS(K5,F5)</f>
        <v>516</v>
      </c>
      <c r="E5" s="264">
        <f>I5-J5</f>
        <v>5148.0928800000002</v>
      </c>
      <c r="F5" s="271">
        <v>43154</v>
      </c>
      <c r="G5" s="263">
        <v>25.98</v>
      </c>
      <c r="H5" s="266">
        <f>TRUNC(C5/G5)</f>
        <v>196</v>
      </c>
      <c r="I5" s="264">
        <f>(G5*H5)</f>
        <v>5092.08</v>
      </c>
      <c r="J5" s="264">
        <f>-(IF((I5*0.0075)&lt;30,30,(I5*0.0075))+(I5*0.0035))</f>
        <v>-56.012879999999996</v>
      </c>
      <c r="K5" s="271">
        <f ca="1">TODAY()</f>
        <v>43670</v>
      </c>
      <c r="L5" s="302">
        <v>29.57</v>
      </c>
      <c r="M5" s="264">
        <f>(H5*L5)</f>
        <v>5795.72</v>
      </c>
      <c r="N5" s="264">
        <f>-(IF((M5*0.0075)&lt;30,30,(M5*0.0075)) + (M5*0.0035))</f>
        <v>-63.752920000000003</v>
      </c>
      <c r="O5" s="272">
        <f>J5+N5</f>
        <v>-119.7658</v>
      </c>
      <c r="P5" s="273">
        <f>M5-E5+N5</f>
        <v>583.87420000000009</v>
      </c>
      <c r="Q5" s="274">
        <f>P5/E5</f>
        <v>0.1134156305276295</v>
      </c>
      <c r="R5" s="275" t="s">
        <v>536</v>
      </c>
      <c r="S5" s="341">
        <v>43673</v>
      </c>
    </row>
    <row r="6" spans="1:26">
      <c r="A6" s="262"/>
      <c r="B6" s="262"/>
      <c r="C6" s="263"/>
      <c r="D6" s="322"/>
      <c r="E6" s="264"/>
      <c r="F6" s="271"/>
      <c r="G6" s="276"/>
      <c r="H6" s="277"/>
      <c r="I6" s="273"/>
      <c r="J6" s="278"/>
      <c r="K6" s="279"/>
      <c r="L6" s="263"/>
      <c r="M6" s="264"/>
      <c r="N6" s="264"/>
      <c r="O6" s="272"/>
      <c r="P6" s="273"/>
      <c r="Q6" s="274"/>
      <c r="R6" s="275"/>
    </row>
    <row r="7" spans="1:26">
      <c r="A7" s="262"/>
      <c r="B7" s="262"/>
      <c r="C7" s="263"/>
      <c r="D7" s="322"/>
      <c r="E7" s="264"/>
      <c r="F7" s="271"/>
      <c r="G7" s="276"/>
      <c r="H7" s="277"/>
      <c r="I7" s="273"/>
      <c r="J7" s="278"/>
      <c r="K7" s="279"/>
      <c r="L7" s="263"/>
      <c r="M7" s="264"/>
      <c r="N7" s="264"/>
      <c r="O7" s="272"/>
      <c r="P7" s="273"/>
      <c r="Q7" s="274"/>
      <c r="R7" s="275"/>
    </row>
    <row r="8" spans="1:26">
      <c r="A8" s="262"/>
      <c r="B8" s="262"/>
      <c r="C8" s="263"/>
      <c r="D8" s="322"/>
      <c r="E8" s="264"/>
      <c r="F8" s="271"/>
      <c r="G8" s="276"/>
      <c r="H8" s="277"/>
      <c r="I8" s="273"/>
      <c r="J8" s="278"/>
      <c r="K8" s="279"/>
      <c r="L8" s="263"/>
      <c r="M8" s="264"/>
      <c r="N8" s="264"/>
      <c r="O8" s="272"/>
      <c r="P8" s="273"/>
      <c r="Q8" s="274"/>
      <c r="R8" s="275"/>
    </row>
    <row r="9" spans="1:26">
      <c r="A9" s="280"/>
      <c r="B9" s="280"/>
      <c r="C9" s="281"/>
      <c r="D9" s="323"/>
      <c r="E9" s="282"/>
      <c r="F9" s="283"/>
      <c r="G9" s="281"/>
      <c r="H9" s="284"/>
      <c r="I9" s="282"/>
      <c r="J9" s="285"/>
      <c r="K9" s="286"/>
      <c r="L9" s="281"/>
      <c r="M9" s="282"/>
      <c r="N9" s="282"/>
      <c r="O9" s="287"/>
      <c r="P9" s="282"/>
      <c r="Q9" s="288"/>
      <c r="R9" s="289"/>
    </row>
    <row r="10" spans="1:26">
      <c r="A10" s="445"/>
      <c r="B10" s="446"/>
      <c r="C10" s="446"/>
      <c r="D10" s="446"/>
      <c r="E10" s="446"/>
      <c r="F10" s="446"/>
      <c r="G10" s="446"/>
      <c r="H10" s="446"/>
      <c r="I10" s="446"/>
      <c r="J10" s="446"/>
      <c r="K10" s="446"/>
      <c r="L10" s="446"/>
      <c r="M10" s="446"/>
      <c r="N10" s="446"/>
      <c r="O10" s="446"/>
      <c r="P10" s="446"/>
      <c r="Q10" s="446"/>
      <c r="R10" s="446"/>
    </row>
    <row r="11" spans="1:26">
      <c r="A11" s="447" t="s">
        <v>519</v>
      </c>
      <c r="B11" s="448"/>
      <c r="C11" s="448"/>
      <c r="D11" s="448"/>
      <c r="E11" s="448"/>
      <c r="F11" s="448"/>
      <c r="G11" s="448"/>
      <c r="H11" s="448"/>
      <c r="I11" s="448"/>
      <c r="J11" s="448"/>
      <c r="K11" s="448"/>
      <c r="L11" s="448"/>
      <c r="M11" s="448"/>
      <c r="N11" s="448"/>
      <c r="O11" s="448"/>
      <c r="P11" s="448"/>
      <c r="Q11" s="448"/>
      <c r="R11" s="448"/>
    </row>
    <row r="12" spans="1:26">
      <c r="A12" s="290" t="s">
        <v>505</v>
      </c>
      <c r="B12" s="290" t="s">
        <v>506</v>
      </c>
      <c r="C12" s="290" t="s">
        <v>507</v>
      </c>
      <c r="D12" s="324" t="s">
        <v>562</v>
      </c>
      <c r="E12" s="290" t="s">
        <v>508</v>
      </c>
      <c r="F12" s="291" t="s">
        <v>509</v>
      </c>
      <c r="G12" s="292" t="s">
        <v>510</v>
      </c>
      <c r="H12" s="292" t="s">
        <v>511</v>
      </c>
      <c r="I12" s="292" t="s">
        <v>512</v>
      </c>
      <c r="J12" s="292" t="s">
        <v>7</v>
      </c>
      <c r="K12" s="293" t="s">
        <v>509</v>
      </c>
      <c r="L12" s="294" t="s">
        <v>510</v>
      </c>
      <c r="M12" s="294" t="s">
        <v>512</v>
      </c>
      <c r="N12" s="295" t="s">
        <v>7</v>
      </c>
      <c r="O12" s="296" t="s">
        <v>7</v>
      </c>
      <c r="P12" s="297" t="s">
        <v>513</v>
      </c>
      <c r="Q12" s="297" t="s">
        <v>95</v>
      </c>
      <c r="R12" s="298" t="s">
        <v>514</v>
      </c>
      <c r="S12" s="340" t="s">
        <v>605</v>
      </c>
      <c r="W12" s="330" t="s">
        <v>532</v>
      </c>
      <c r="X12" s="330" t="s">
        <v>533</v>
      </c>
      <c r="Y12" s="330" t="s">
        <v>534</v>
      </c>
      <c r="Z12" s="330" t="s">
        <v>535</v>
      </c>
    </row>
    <row r="13" spans="1:26">
      <c r="A13" s="262" t="s">
        <v>515</v>
      </c>
      <c r="B13" s="262" t="s">
        <v>520</v>
      </c>
      <c r="C13" s="263">
        <v>4000</v>
      </c>
      <c r="D13" s="322">
        <f>IF(OR(F13=0,K13=0),0,_xlfn.DAYS(K13,F13))</f>
        <v>62</v>
      </c>
      <c r="E13" s="299">
        <f>I13-J13</f>
        <v>4019.2689500000001</v>
      </c>
      <c r="F13" s="300">
        <v>42074</v>
      </c>
      <c r="G13" s="263">
        <v>26.59</v>
      </c>
      <c r="H13" s="266">
        <f>TRUNC(C13/G13)</f>
        <v>150</v>
      </c>
      <c r="I13" s="264">
        <f>(G13*H13)</f>
        <v>3988.5</v>
      </c>
      <c r="J13" s="264">
        <f>-(IF((I13*0.005)&lt;20,20,(I13*0.005))+(I13*0.0027))</f>
        <v>-30.76895</v>
      </c>
      <c r="K13" s="265">
        <v>42136</v>
      </c>
      <c r="L13" s="263">
        <v>25.261599999999998</v>
      </c>
      <c r="M13" s="264">
        <f>(H13*L13)</f>
        <v>3789.24</v>
      </c>
      <c r="N13" s="264">
        <f>-(IF((M13*0.005)&lt;20,20,(M13*0.005)) + (M13*0.0027))</f>
        <v>-30.230947999999998</v>
      </c>
      <c r="O13" s="267">
        <v>-61.54</v>
      </c>
      <c r="P13" s="268">
        <v>-334.54</v>
      </c>
      <c r="Q13" s="269">
        <v>-6.54E-2</v>
      </c>
      <c r="R13" s="270" t="s">
        <v>520</v>
      </c>
      <c r="S13" s="59">
        <f>Q13+Q14</f>
        <v>-4.7120556421087471E-2</v>
      </c>
      <c r="W13" s="39">
        <f t="shared" ref="W13:W41" ca="1" si="0">D13/D$43</f>
        <v>3.8847117794486213E-2</v>
      </c>
      <c r="X13" s="119">
        <f ca="1">W13*E13</f>
        <v>156.13701434837091</v>
      </c>
      <c r="Y13" s="38"/>
    </row>
    <row r="14" spans="1:26">
      <c r="A14" s="262" t="s">
        <v>515</v>
      </c>
      <c r="B14" s="262" t="s">
        <v>520</v>
      </c>
      <c r="C14" s="263"/>
      <c r="D14" s="322">
        <f t="shared" ref="D14:D35" si="1">IF(OR(F14=0,K14=0),0,_xlfn.DAYS(K14,F14))</f>
        <v>0</v>
      </c>
      <c r="E14" s="278">
        <v>4019.2689500000001</v>
      </c>
      <c r="F14" s="300"/>
      <c r="G14" s="263"/>
      <c r="H14" s="266"/>
      <c r="I14" s="264"/>
      <c r="J14" s="264"/>
      <c r="K14" s="271"/>
      <c r="L14" s="263"/>
      <c r="M14" s="264"/>
      <c r="N14" s="264"/>
      <c r="O14" s="272"/>
      <c r="P14" s="273">
        <v>73.47</v>
      </c>
      <c r="Q14" s="274">
        <f>P14/E14</f>
        <v>1.8279443578912528E-2</v>
      </c>
      <c r="R14" s="275" t="s">
        <v>521</v>
      </c>
      <c r="W14" s="39">
        <f t="shared" ca="1" si="0"/>
        <v>0</v>
      </c>
      <c r="X14" s="119">
        <f t="shared" ref="X14:X41" ca="1" si="2">W14*E14</f>
        <v>0</v>
      </c>
    </row>
    <row r="15" spans="1:26">
      <c r="A15" s="262" t="s">
        <v>515</v>
      </c>
      <c r="B15" s="262" t="s">
        <v>522</v>
      </c>
      <c r="C15" s="263"/>
      <c r="D15" s="322">
        <f t="shared" si="1"/>
        <v>55</v>
      </c>
      <c r="E15" s="278"/>
      <c r="F15" s="300">
        <v>42143</v>
      </c>
      <c r="G15" s="263">
        <v>39.229999999999997</v>
      </c>
      <c r="H15" s="266">
        <v>102</v>
      </c>
      <c r="I15" s="264">
        <v>4001.4599999999996</v>
      </c>
      <c r="J15" s="264"/>
      <c r="K15" s="271">
        <v>42198</v>
      </c>
      <c r="L15" s="263">
        <v>40</v>
      </c>
      <c r="M15" s="264"/>
      <c r="N15" s="264"/>
      <c r="O15" s="272"/>
      <c r="P15" s="273"/>
      <c r="Q15" s="274">
        <v>4.2278358399185385E-3</v>
      </c>
      <c r="R15" s="275" t="s">
        <v>522</v>
      </c>
      <c r="W15" s="39">
        <f t="shared" ca="1" si="0"/>
        <v>3.4461152882205512E-2</v>
      </c>
      <c r="X15" s="119">
        <f t="shared" ca="1" si="2"/>
        <v>0</v>
      </c>
    </row>
    <row r="16" spans="1:26">
      <c r="A16" s="262" t="s">
        <v>515</v>
      </c>
      <c r="B16" s="262" t="s">
        <v>523</v>
      </c>
      <c r="C16" s="263"/>
      <c r="D16" s="322">
        <f t="shared" si="1"/>
        <v>14</v>
      </c>
      <c r="E16" s="278"/>
      <c r="F16" s="300">
        <v>42209</v>
      </c>
      <c r="G16" s="263">
        <v>7.9</v>
      </c>
      <c r="H16" s="266">
        <v>507</v>
      </c>
      <c r="I16" s="264">
        <v>4005.3</v>
      </c>
      <c r="J16" s="264"/>
      <c r="K16" s="271">
        <v>42223</v>
      </c>
      <c r="L16" s="263">
        <v>8.82</v>
      </c>
      <c r="M16" s="264"/>
      <c r="N16" s="264"/>
      <c r="O16" s="272">
        <v>-61.68</v>
      </c>
      <c r="P16" s="273">
        <v>404.75837999999931</v>
      </c>
      <c r="Q16" s="274">
        <v>0.10105569620253146</v>
      </c>
      <c r="R16" s="275" t="s">
        <v>523</v>
      </c>
      <c r="W16" s="39">
        <f t="shared" ca="1" si="0"/>
        <v>8.771929824561403E-3</v>
      </c>
      <c r="X16" s="119">
        <f t="shared" ca="1" si="2"/>
        <v>0</v>
      </c>
    </row>
    <row r="17" spans="1:24">
      <c r="A17" s="262"/>
      <c r="B17" s="262"/>
      <c r="C17" s="263"/>
      <c r="D17" s="322">
        <f t="shared" si="1"/>
        <v>0</v>
      </c>
      <c r="E17" s="278"/>
      <c r="F17" s="300"/>
      <c r="G17" s="263"/>
      <c r="H17" s="266"/>
      <c r="I17" s="264"/>
      <c r="J17" s="264"/>
      <c r="K17" s="271"/>
      <c r="L17" s="263"/>
      <c r="M17" s="264"/>
      <c r="N17" s="264"/>
      <c r="O17" s="272"/>
      <c r="P17" s="273">
        <v>0.12</v>
      </c>
      <c r="Q17" s="274"/>
      <c r="R17" s="275" t="s">
        <v>524</v>
      </c>
      <c r="W17" s="39">
        <f t="shared" ca="1" si="0"/>
        <v>0</v>
      </c>
      <c r="X17" s="119">
        <f t="shared" ca="1" si="2"/>
        <v>0</v>
      </c>
    </row>
    <row r="18" spans="1:24">
      <c r="A18" s="262"/>
      <c r="B18" s="262"/>
      <c r="C18" s="263"/>
      <c r="D18" s="322">
        <f t="shared" si="1"/>
        <v>0</v>
      </c>
      <c r="E18" s="278"/>
      <c r="F18" s="271"/>
      <c r="G18" s="263"/>
      <c r="H18" s="266"/>
      <c r="I18" s="264"/>
      <c r="J18" s="264"/>
      <c r="K18" s="271"/>
      <c r="L18" s="263"/>
      <c r="M18" s="264"/>
      <c r="N18" s="264"/>
      <c r="O18" s="272"/>
      <c r="P18" s="273">
        <v>-27.23</v>
      </c>
      <c r="Q18" s="274"/>
      <c r="R18" s="275" t="s">
        <v>525</v>
      </c>
      <c r="W18" s="39">
        <f t="shared" ca="1" si="0"/>
        <v>0</v>
      </c>
      <c r="X18" s="119">
        <f t="shared" ca="1" si="2"/>
        <v>0</v>
      </c>
    </row>
    <row r="19" spans="1:24">
      <c r="A19" s="262" t="s">
        <v>515</v>
      </c>
      <c r="B19" s="262" t="s">
        <v>523</v>
      </c>
      <c r="C19" s="263">
        <v>4400</v>
      </c>
      <c r="D19" s="322">
        <f t="shared" si="1"/>
        <v>869</v>
      </c>
      <c r="E19" s="264">
        <f>I19-J19</f>
        <v>4423.3999200000007</v>
      </c>
      <c r="F19" s="271">
        <v>42234</v>
      </c>
      <c r="G19" s="263">
        <v>23.6</v>
      </c>
      <c r="H19" s="266">
        <f>TRUNC(C19/G19)</f>
        <v>186</v>
      </c>
      <c r="I19" s="264">
        <f>(G19*H19)</f>
        <v>4389.6000000000004</v>
      </c>
      <c r="J19" s="264">
        <f>-(IF((I19*0.005)&lt;20,20,(I19*0.005))+(I19*0.0027))</f>
        <v>-33.799920000000007</v>
      </c>
      <c r="K19" s="271">
        <v>43103</v>
      </c>
      <c r="L19" s="263">
        <v>28.52</v>
      </c>
      <c r="M19" s="264">
        <f>(H19*L19)</f>
        <v>5304.72</v>
      </c>
      <c r="N19" s="264">
        <f>-(IF((M19*0.005)&lt;20,20,(M19*0.005)) + (M19*0.0027))</f>
        <v>-40.846344000000002</v>
      </c>
      <c r="O19" s="272">
        <f>J19+N19</f>
        <v>-74.646264000000002</v>
      </c>
      <c r="P19" s="273">
        <v>840.47373599999992</v>
      </c>
      <c r="Q19" s="274">
        <v>0.19146932203389827</v>
      </c>
      <c r="R19" s="275" t="s">
        <v>523</v>
      </c>
      <c r="S19" s="59">
        <f>Q19+Q21+Q24</f>
        <v>0.24013324659263452</v>
      </c>
      <c r="W19" s="39">
        <f t="shared" ca="1" si="0"/>
        <v>0.54448621553884713</v>
      </c>
      <c r="X19" s="119">
        <f t="shared" ca="1" si="2"/>
        <v>2408.4802822556394</v>
      </c>
    </row>
    <row r="20" spans="1:24">
      <c r="A20" s="262" t="s">
        <v>515</v>
      </c>
      <c r="B20" s="262" t="s">
        <v>523</v>
      </c>
      <c r="C20" s="263">
        <v>605</v>
      </c>
      <c r="D20" s="322">
        <f t="shared" si="1"/>
        <v>632</v>
      </c>
      <c r="E20" s="264">
        <f>I20-J20</f>
        <v>600.6</v>
      </c>
      <c r="F20" s="271">
        <v>42471</v>
      </c>
      <c r="G20" s="263">
        <v>6.6</v>
      </c>
      <c r="H20" s="266">
        <f>TRUNC(C20/G20)</f>
        <v>91</v>
      </c>
      <c r="I20" s="264">
        <f>(G20*H20)</f>
        <v>600.6</v>
      </c>
      <c r="J20" s="264">
        <v>0</v>
      </c>
      <c r="K20" s="271">
        <v>43103</v>
      </c>
      <c r="L20" s="263">
        <v>28.52</v>
      </c>
      <c r="M20" s="264">
        <f>(H20*L20)</f>
        <v>2595.3200000000002</v>
      </c>
      <c r="N20" s="264">
        <v>-19.98</v>
      </c>
      <c r="O20" s="272">
        <f>J20+N20</f>
        <v>-19.98</v>
      </c>
      <c r="P20" s="273">
        <f>IF(K20=0,0,M20-E20+N20)</f>
        <v>1974.7400000000002</v>
      </c>
      <c r="Q20" s="274">
        <f>P20/E20</f>
        <v>3.2879453879453884</v>
      </c>
      <c r="R20" s="275" t="s">
        <v>563</v>
      </c>
      <c r="W20" s="39">
        <f t="shared" ca="1" si="0"/>
        <v>0.39598997493734334</v>
      </c>
      <c r="X20" s="119">
        <f t="shared" ca="1" si="2"/>
        <v>237.83157894736843</v>
      </c>
    </row>
    <row r="21" spans="1:24">
      <c r="A21" s="262" t="s">
        <v>515</v>
      </c>
      <c r="B21" s="262" t="s">
        <v>523</v>
      </c>
      <c r="C21" s="263"/>
      <c r="D21" s="322">
        <f t="shared" si="1"/>
        <v>0</v>
      </c>
      <c r="E21" s="264">
        <v>4423.3999200000007</v>
      </c>
      <c r="F21" s="271"/>
      <c r="G21" s="263"/>
      <c r="H21" s="266"/>
      <c r="I21" s="264"/>
      <c r="J21" s="264"/>
      <c r="K21" s="271">
        <v>42471</v>
      </c>
      <c r="L21" s="263"/>
      <c r="M21" s="264"/>
      <c r="N21" s="264"/>
      <c r="O21" s="272"/>
      <c r="P21" s="273">
        <v>188.26</v>
      </c>
      <c r="Q21" s="274">
        <f>P21/E21</f>
        <v>4.2560022472487621E-2</v>
      </c>
      <c r="R21" s="275" t="s">
        <v>526</v>
      </c>
      <c r="W21" s="39">
        <f t="shared" ca="1" si="0"/>
        <v>0</v>
      </c>
      <c r="X21" s="119">
        <f t="shared" ca="1" si="2"/>
        <v>0</v>
      </c>
    </row>
    <row r="22" spans="1:24">
      <c r="A22" s="262"/>
      <c r="B22" s="262"/>
      <c r="C22" s="263"/>
      <c r="D22" s="322">
        <f t="shared" si="1"/>
        <v>0</v>
      </c>
      <c r="E22" s="278"/>
      <c r="F22" s="300"/>
      <c r="G22" s="263"/>
      <c r="H22" s="266"/>
      <c r="I22" s="264"/>
      <c r="J22" s="264"/>
      <c r="K22" s="271"/>
      <c r="L22" s="263"/>
      <c r="M22" s="264"/>
      <c r="N22" s="264"/>
      <c r="O22" s="272"/>
      <c r="P22" s="273">
        <v>-0.08</v>
      </c>
      <c r="Q22" s="274"/>
      <c r="R22" s="275" t="s">
        <v>524</v>
      </c>
      <c r="W22" s="39">
        <f t="shared" ca="1" si="0"/>
        <v>0</v>
      </c>
      <c r="X22" s="119">
        <f t="shared" ca="1" si="2"/>
        <v>0</v>
      </c>
    </row>
    <row r="23" spans="1:24">
      <c r="A23" s="262"/>
      <c r="B23" s="262"/>
      <c r="C23" s="263"/>
      <c r="D23" s="322">
        <f t="shared" si="1"/>
        <v>0</v>
      </c>
      <c r="E23" s="278"/>
      <c r="F23" s="300"/>
      <c r="G23" s="263"/>
      <c r="H23" s="266"/>
      <c r="I23" s="264"/>
      <c r="J23" s="264"/>
      <c r="K23" s="271"/>
      <c r="L23" s="263"/>
      <c r="M23" s="264"/>
      <c r="N23" s="264"/>
      <c r="O23" s="272"/>
      <c r="P23" s="273">
        <v>-24.2</v>
      </c>
      <c r="Q23" s="274"/>
      <c r="R23" s="275" t="s">
        <v>527</v>
      </c>
      <c r="W23" s="39">
        <f t="shared" ca="1" si="0"/>
        <v>0</v>
      </c>
      <c r="X23" s="119">
        <f t="shared" ca="1" si="2"/>
        <v>0</v>
      </c>
    </row>
    <row r="24" spans="1:24">
      <c r="A24" s="262" t="s">
        <v>515</v>
      </c>
      <c r="B24" s="262" t="s">
        <v>523</v>
      </c>
      <c r="C24" s="263"/>
      <c r="D24" s="322">
        <f t="shared" si="1"/>
        <v>0</v>
      </c>
      <c r="E24" s="278">
        <v>4423.3999200000007</v>
      </c>
      <c r="F24" s="300"/>
      <c r="G24" s="263"/>
      <c r="H24" s="266"/>
      <c r="I24" s="264"/>
      <c r="J24" s="264"/>
      <c r="K24" s="271"/>
      <c r="L24" s="263"/>
      <c r="M24" s="264"/>
      <c r="N24" s="264"/>
      <c r="O24" s="272"/>
      <c r="P24" s="273">
        <v>27</v>
      </c>
      <c r="Q24" s="274">
        <f>P24/E24</f>
        <v>6.1039020862486242E-3</v>
      </c>
      <c r="R24" s="275" t="s">
        <v>528</v>
      </c>
      <c r="W24" s="39">
        <f t="shared" ca="1" si="0"/>
        <v>0</v>
      </c>
      <c r="X24" s="119">
        <f t="shared" ca="1" si="2"/>
        <v>0</v>
      </c>
    </row>
    <row r="25" spans="1:24">
      <c r="A25" s="262" t="s">
        <v>515</v>
      </c>
      <c r="B25" s="262" t="s">
        <v>523</v>
      </c>
      <c r="C25" s="263">
        <v>600</v>
      </c>
      <c r="D25" s="322">
        <f t="shared" si="1"/>
        <v>288</v>
      </c>
      <c r="E25" s="264">
        <f>I25-J25</f>
        <v>607.96322599999996</v>
      </c>
      <c r="F25" s="271">
        <v>43154</v>
      </c>
      <c r="G25" s="263">
        <v>20.22</v>
      </c>
      <c r="H25" s="266">
        <f>TRUNC(C25/G25)</f>
        <v>29</v>
      </c>
      <c r="I25" s="264">
        <f>(G25*H25)</f>
        <v>586.38</v>
      </c>
      <c r="J25" s="264">
        <f>-(IF((I25*0.005)&lt;20,20,(I25*0.005))+(I25*0.0027))</f>
        <v>-21.583226</v>
      </c>
      <c r="K25" s="271">
        <v>43442</v>
      </c>
      <c r="L25" s="263">
        <v>26.49</v>
      </c>
      <c r="M25" s="264">
        <f>(H25*L25)</f>
        <v>768.20999999999992</v>
      </c>
      <c r="N25" s="264">
        <f>-(IF((M25*0.005)&lt;20,20,(M25*0.005)) + (M25*0.0027))</f>
        <v>-22.074166999999999</v>
      </c>
      <c r="O25" s="272">
        <f>J25+N25</f>
        <v>-43.657392999999999</v>
      </c>
      <c r="P25" s="273">
        <f>M25-E25+N25</f>
        <v>138.17260699999997</v>
      </c>
      <c r="Q25" s="274">
        <f>P25/E25</f>
        <v>0.22727132347968687</v>
      </c>
      <c r="R25" s="275" t="s">
        <v>523</v>
      </c>
      <c r="W25" s="39">
        <f t="shared" ca="1" si="0"/>
        <v>0.18045112781954886</v>
      </c>
      <c r="X25" s="119">
        <f t="shared" ca="1" si="2"/>
        <v>109.70764980451126</v>
      </c>
    </row>
    <row r="26" spans="1:24">
      <c r="A26" s="262"/>
      <c r="B26" s="262"/>
      <c r="C26" s="263"/>
      <c r="D26" s="322">
        <f t="shared" si="1"/>
        <v>0</v>
      </c>
      <c r="E26" s="278"/>
      <c r="F26" s="300"/>
      <c r="G26" s="263"/>
      <c r="H26" s="266"/>
      <c r="I26" s="264"/>
      <c r="J26" s="264"/>
      <c r="K26" s="271"/>
      <c r="L26" s="263"/>
      <c r="M26" s="264"/>
      <c r="N26" s="264"/>
      <c r="O26" s="272"/>
      <c r="P26" s="273">
        <v>-30.78</v>
      </c>
      <c r="Q26" s="274"/>
      <c r="R26" s="275" t="s">
        <v>529</v>
      </c>
      <c r="W26" s="39">
        <f t="shared" ca="1" si="0"/>
        <v>0</v>
      </c>
      <c r="X26" s="119">
        <f t="shared" ca="1" si="2"/>
        <v>0</v>
      </c>
    </row>
    <row r="27" spans="1:24">
      <c r="A27" s="262"/>
      <c r="B27" s="262"/>
      <c r="C27" s="263"/>
      <c r="D27" s="322">
        <f t="shared" si="1"/>
        <v>0</v>
      </c>
      <c r="E27" s="278"/>
      <c r="F27" s="300"/>
      <c r="G27" s="263"/>
      <c r="H27" s="266"/>
      <c r="I27" s="264"/>
      <c r="J27" s="264"/>
      <c r="K27" s="271"/>
      <c r="L27" s="263"/>
      <c r="M27" s="264"/>
      <c r="N27" s="264"/>
      <c r="O27" s="272"/>
      <c r="P27" s="273">
        <v>-12.1</v>
      </c>
      <c r="Q27" s="274"/>
      <c r="R27" s="275" t="s">
        <v>529</v>
      </c>
      <c r="W27" s="39">
        <f t="shared" ca="1" si="0"/>
        <v>0</v>
      </c>
      <c r="X27" s="119">
        <f t="shared" ca="1" si="2"/>
        <v>0</v>
      </c>
    </row>
    <row r="28" spans="1:24">
      <c r="A28" s="262" t="s">
        <v>517</v>
      </c>
      <c r="B28" s="262" t="s">
        <v>518</v>
      </c>
      <c r="C28" s="263">
        <v>5100</v>
      </c>
      <c r="D28" s="322">
        <f t="shared" ca="1" si="1"/>
        <v>516</v>
      </c>
      <c r="E28" s="264">
        <f>I28-J28</f>
        <v>5148.0928800000002</v>
      </c>
      <c r="F28" s="271">
        <v>43154</v>
      </c>
      <c r="G28" s="263">
        <v>25.98</v>
      </c>
      <c r="H28" s="266">
        <f>TRUNC(C28/G28)</f>
        <v>196</v>
      </c>
      <c r="I28" s="264">
        <f>(G28*H28)</f>
        <v>5092.08</v>
      </c>
      <c r="J28" s="264">
        <f>-(IF((I28*0.0075)&lt;30,30,(I28*0.0075))+(I28*0.0035))</f>
        <v>-56.012879999999996</v>
      </c>
      <c r="K28" s="301">
        <f ca="1">TODAY()</f>
        <v>43670</v>
      </c>
      <c r="L28" s="302">
        <v>27.5</v>
      </c>
      <c r="M28" s="264">
        <f>(H28*L28)</f>
        <v>5390</v>
      </c>
      <c r="N28" s="264">
        <f>-(IF((M28*0.0075)&lt;30,30,(M28*0.0075)) + (M28*0.0035))</f>
        <v>-59.29</v>
      </c>
      <c r="O28" s="272">
        <f>J28+N28</f>
        <v>-115.30287999999999</v>
      </c>
      <c r="P28" s="273">
        <f ca="1">IF(K28=0,0,M28-E28+N28)</f>
        <v>182.61711999999986</v>
      </c>
      <c r="Q28" s="274">
        <f ca="1">P28/E28</f>
        <v>3.5472771035164358E-2</v>
      </c>
      <c r="R28" s="275" t="s">
        <v>518</v>
      </c>
      <c r="S28" s="59">
        <f ca="1">Q28+Q29+Q30+Q34</f>
        <v>5.987792512399269E-2</v>
      </c>
      <c r="W28" s="39">
        <f t="shared" ca="1" si="0"/>
        <v>0.32330827067669171</v>
      </c>
      <c r="X28" s="119">
        <f t="shared" ca="1" si="2"/>
        <v>1664.4210063157893</v>
      </c>
    </row>
    <row r="29" spans="1:24">
      <c r="A29" s="262" t="s">
        <v>517</v>
      </c>
      <c r="B29" s="262" t="s">
        <v>518</v>
      </c>
      <c r="C29" s="263"/>
      <c r="D29" s="322">
        <f t="shared" si="1"/>
        <v>0</v>
      </c>
      <c r="E29" s="278">
        <v>5148.0928800000002</v>
      </c>
      <c r="F29" s="300"/>
      <c r="G29" s="263"/>
      <c r="H29" s="266"/>
      <c r="I29" s="264"/>
      <c r="J29" s="264"/>
      <c r="K29" s="271">
        <v>43222</v>
      </c>
      <c r="L29" s="263">
        <v>73.5</v>
      </c>
      <c r="M29" s="264"/>
      <c r="N29" s="264">
        <v>-34.86</v>
      </c>
      <c r="O29" s="272"/>
      <c r="P29" s="273">
        <f>L29+N29</f>
        <v>38.64</v>
      </c>
      <c r="Q29" s="274">
        <f>P29/E29</f>
        <v>7.5056920884457702E-3</v>
      </c>
      <c r="R29" s="275" t="s">
        <v>473</v>
      </c>
      <c r="W29" s="39">
        <f t="shared" ca="1" si="0"/>
        <v>0</v>
      </c>
      <c r="X29" s="119">
        <f t="shared" ca="1" si="2"/>
        <v>0</v>
      </c>
    </row>
    <row r="30" spans="1:24">
      <c r="A30" s="262" t="s">
        <v>517</v>
      </c>
      <c r="B30" s="262" t="s">
        <v>518</v>
      </c>
      <c r="C30" s="263"/>
      <c r="D30" s="322">
        <f t="shared" si="1"/>
        <v>0</v>
      </c>
      <c r="E30" s="278">
        <v>5148.0928800000002</v>
      </c>
      <c r="F30" s="300"/>
      <c r="G30" s="263"/>
      <c r="H30" s="266"/>
      <c r="I30" s="264"/>
      <c r="J30" s="264"/>
      <c r="K30" s="271">
        <v>43406</v>
      </c>
      <c r="L30" s="263">
        <v>73.5</v>
      </c>
      <c r="M30" s="264"/>
      <c r="N30" s="264">
        <v>-37.880000000000003</v>
      </c>
      <c r="O30" s="272"/>
      <c r="P30" s="273">
        <f>L30+N30</f>
        <v>35.619999999999997</v>
      </c>
      <c r="Q30" s="274">
        <f>P30/E30</f>
        <v>6.9190670856738691E-3</v>
      </c>
      <c r="R30" s="275" t="s">
        <v>473</v>
      </c>
      <c r="W30" s="39">
        <f t="shared" ca="1" si="0"/>
        <v>0</v>
      </c>
      <c r="X30" s="119">
        <f t="shared" ca="1" si="2"/>
        <v>0</v>
      </c>
    </row>
    <row r="31" spans="1:24">
      <c r="A31" s="262" t="s">
        <v>517</v>
      </c>
      <c r="B31" s="262"/>
      <c r="C31" s="263"/>
      <c r="D31" s="322">
        <f t="shared" si="1"/>
        <v>0</v>
      </c>
      <c r="E31" s="278"/>
      <c r="F31" s="300"/>
      <c r="G31" s="263"/>
      <c r="H31" s="266"/>
      <c r="I31" s="264"/>
      <c r="J31" s="264"/>
      <c r="K31" s="271"/>
      <c r="L31" s="263"/>
      <c r="M31" s="264"/>
      <c r="N31" s="264"/>
      <c r="O31" s="272"/>
      <c r="P31" s="273">
        <v>-25.87</v>
      </c>
      <c r="Q31" s="274"/>
      <c r="R31" s="275" t="s">
        <v>530</v>
      </c>
      <c r="W31" s="39">
        <f t="shared" ca="1" si="0"/>
        <v>0</v>
      </c>
      <c r="X31" s="119">
        <f t="shared" ca="1" si="2"/>
        <v>0</v>
      </c>
    </row>
    <row r="32" spans="1:24">
      <c r="A32" s="262" t="s">
        <v>517</v>
      </c>
      <c r="B32" s="262"/>
      <c r="C32" s="263"/>
      <c r="D32" s="322">
        <f t="shared" si="1"/>
        <v>0</v>
      </c>
      <c r="E32" s="278"/>
      <c r="F32" s="300"/>
      <c r="G32" s="263"/>
      <c r="H32" s="266"/>
      <c r="I32" s="264"/>
      <c r="J32" s="264"/>
      <c r="K32" s="271"/>
      <c r="L32" s="263"/>
      <c r="M32" s="264"/>
      <c r="N32" s="264"/>
      <c r="O32" s="272"/>
      <c r="P32" s="273">
        <f>-2.18-2.26-3.09-2.27-2.98-3.06</f>
        <v>-15.84</v>
      </c>
      <c r="Q32" s="274"/>
      <c r="R32" s="275" t="s">
        <v>531</v>
      </c>
      <c r="W32" s="39">
        <f t="shared" ca="1" si="0"/>
        <v>0</v>
      </c>
      <c r="X32" s="119">
        <f t="shared" ca="1" si="2"/>
        <v>0</v>
      </c>
    </row>
    <row r="33" spans="1:26">
      <c r="A33" s="262" t="s">
        <v>517</v>
      </c>
      <c r="B33" s="262" t="s">
        <v>413</v>
      </c>
      <c r="C33" s="263">
        <v>4090</v>
      </c>
      <c r="D33" s="322">
        <f t="shared" si="1"/>
        <v>22</v>
      </c>
      <c r="E33" s="264">
        <f>I33-J33</f>
        <v>4129.1261999999997</v>
      </c>
      <c r="F33" s="271">
        <v>43545</v>
      </c>
      <c r="G33" s="263">
        <v>68.069999999999993</v>
      </c>
      <c r="H33" s="266">
        <f>TRUNC(C33/G33)</f>
        <v>60</v>
      </c>
      <c r="I33" s="264">
        <f>(G33*H33)</f>
        <v>4084.2</v>
      </c>
      <c r="J33" s="264">
        <f>-(IF((I33*0.0075)&lt;30,30,(I33*0.0075))+(I33*0.0035))</f>
        <v>-44.926199999999994</v>
      </c>
      <c r="K33" s="271">
        <v>43567</v>
      </c>
      <c r="L33" s="263">
        <v>75.53</v>
      </c>
      <c r="M33" s="264">
        <f>(H33*L33)</f>
        <v>4531.8</v>
      </c>
      <c r="N33" s="264">
        <f>-(IF((M33*0.0075)&lt;30,30,(M33*0.0075)) + (M33*0.0035))</f>
        <v>-49.849800000000002</v>
      </c>
      <c r="O33" s="272">
        <f>J33+N33</f>
        <v>-94.775999999999996</v>
      </c>
      <c r="P33" s="273">
        <f>M33-E33+N33</f>
        <v>352.82400000000047</v>
      </c>
      <c r="Q33" s="274">
        <f>P33/E33</f>
        <v>8.5447618433168865E-2</v>
      </c>
      <c r="R33" s="275" t="s">
        <v>413</v>
      </c>
      <c r="W33" s="39">
        <f t="shared" ca="1" si="0"/>
        <v>1.3784461152882205E-2</v>
      </c>
      <c r="X33" s="119">
        <f t="shared" ca="1" si="2"/>
        <v>56.917779699248115</v>
      </c>
    </row>
    <row r="34" spans="1:26">
      <c r="A34" s="262" t="s">
        <v>517</v>
      </c>
      <c r="B34" s="262" t="s">
        <v>518</v>
      </c>
      <c r="C34" s="263"/>
      <c r="D34" s="322">
        <f t="shared" si="1"/>
        <v>0</v>
      </c>
      <c r="E34" s="278">
        <v>5148.0928800000002</v>
      </c>
      <c r="F34" s="300"/>
      <c r="G34" s="263"/>
      <c r="H34" s="266"/>
      <c r="I34" s="264"/>
      <c r="J34" s="264"/>
      <c r="K34" s="271">
        <v>43587</v>
      </c>
      <c r="L34" s="263">
        <v>86.24</v>
      </c>
      <c r="M34" s="264"/>
      <c r="N34" s="264">
        <v>-34.86</v>
      </c>
      <c r="O34" s="272"/>
      <c r="P34" s="273">
        <f>L34+N34</f>
        <v>51.379999999999995</v>
      </c>
      <c r="Q34" s="274">
        <f>P34/E34</f>
        <v>9.9803949147086856E-3</v>
      </c>
      <c r="R34" s="275" t="s">
        <v>473</v>
      </c>
      <c r="W34" s="39">
        <f t="shared" ca="1" si="0"/>
        <v>0</v>
      </c>
      <c r="X34" s="119">
        <f t="shared" ca="1" si="2"/>
        <v>0</v>
      </c>
    </row>
    <row r="35" spans="1:26">
      <c r="A35" s="262" t="s">
        <v>517</v>
      </c>
      <c r="B35" s="262" t="s">
        <v>413</v>
      </c>
      <c r="C35" s="263">
        <v>4090</v>
      </c>
      <c r="D35" s="322">
        <f t="shared" ca="1" si="1"/>
        <v>65</v>
      </c>
      <c r="E35" s="264">
        <f>I35-J35</f>
        <v>4088.7468600000002</v>
      </c>
      <c r="F35" s="271">
        <v>43605</v>
      </c>
      <c r="G35" s="263">
        <v>65.23</v>
      </c>
      <c r="H35" s="266">
        <f>TRUNC(C35/G35)</f>
        <v>62</v>
      </c>
      <c r="I35" s="264">
        <f>(G35*H35)</f>
        <v>4044.26</v>
      </c>
      <c r="J35" s="264">
        <f>-(IF((I35*0.0075)&lt;30,30,(I35*0.0075))+(I35*0.0035))</f>
        <v>-44.48686</v>
      </c>
      <c r="K35" s="301">
        <f ca="1">TODAY()</f>
        <v>43670</v>
      </c>
      <c r="L35" s="302">
        <v>69.75</v>
      </c>
      <c r="M35" s="264">
        <f>(H35*L35)</f>
        <v>4324.5</v>
      </c>
      <c r="N35" s="264">
        <f>-(IF((M35*0.0075)&lt;30,30,(M35*0.0075)) + (M35*0.0035))</f>
        <v>-47.569499999999998</v>
      </c>
      <c r="O35" s="272">
        <f>J35+N35</f>
        <v>-92.056359999999998</v>
      </c>
      <c r="P35" s="273">
        <f ca="1">IF(K35=0,0,M35-E35+N35)</f>
        <v>188.1836399999998</v>
      </c>
      <c r="Q35" s="274">
        <f ca="1">P35/E35</f>
        <v>4.6024771511533433E-2</v>
      </c>
      <c r="R35" s="275" t="s">
        <v>413</v>
      </c>
      <c r="W35" s="39">
        <f t="shared" ca="1" si="0"/>
        <v>4.0726817042606514E-2</v>
      </c>
      <c r="X35" s="119">
        <f t="shared" ca="1" si="2"/>
        <v>166.52164530075189</v>
      </c>
    </row>
    <row r="36" spans="1:26">
      <c r="A36" s="262"/>
      <c r="B36" s="262"/>
      <c r="C36" s="263"/>
      <c r="D36" s="322"/>
      <c r="E36" s="278"/>
      <c r="F36" s="300"/>
      <c r="G36" s="263"/>
      <c r="H36" s="266"/>
      <c r="I36" s="264"/>
      <c r="J36" s="264"/>
      <c r="K36" s="271"/>
      <c r="L36" s="263"/>
      <c r="M36" s="264"/>
      <c r="N36" s="264"/>
      <c r="O36" s="272"/>
      <c r="P36" s="273"/>
      <c r="Q36" s="274"/>
      <c r="R36" s="275"/>
      <c r="W36" s="39">
        <f t="shared" ca="1" si="0"/>
        <v>0</v>
      </c>
      <c r="X36" s="119">
        <f t="shared" ca="1" si="2"/>
        <v>0</v>
      </c>
    </row>
    <row r="37" spans="1:26">
      <c r="A37" s="262"/>
      <c r="B37" s="262"/>
      <c r="C37" s="263"/>
      <c r="D37" s="322"/>
      <c r="E37" s="278"/>
      <c r="F37" s="300"/>
      <c r="G37" s="263"/>
      <c r="H37" s="266"/>
      <c r="I37" s="264"/>
      <c r="J37" s="264"/>
      <c r="K37" s="271"/>
      <c r="L37" s="263"/>
      <c r="M37" s="264"/>
      <c r="N37" s="264"/>
      <c r="O37" s="272"/>
      <c r="P37" s="273"/>
      <c r="Q37" s="274"/>
      <c r="R37" s="275"/>
      <c r="W37" s="39">
        <f t="shared" ca="1" si="0"/>
        <v>0</v>
      </c>
      <c r="X37" s="119">
        <f t="shared" ca="1" si="2"/>
        <v>0</v>
      </c>
    </row>
    <row r="38" spans="1:26">
      <c r="A38" s="262"/>
      <c r="B38" s="262"/>
      <c r="C38" s="263"/>
      <c r="D38" s="322"/>
      <c r="E38" s="278"/>
      <c r="F38" s="300"/>
      <c r="G38" s="263"/>
      <c r="H38" s="266"/>
      <c r="I38" s="264"/>
      <c r="J38" s="264"/>
      <c r="K38" s="271"/>
      <c r="L38" s="263"/>
      <c r="M38" s="264"/>
      <c r="N38" s="264"/>
      <c r="O38" s="272"/>
      <c r="P38" s="273"/>
      <c r="Q38" s="274"/>
      <c r="R38" s="275"/>
      <c r="W38" s="39">
        <f t="shared" ca="1" si="0"/>
        <v>0</v>
      </c>
      <c r="X38" s="119">
        <f t="shared" ca="1" si="2"/>
        <v>0</v>
      </c>
    </row>
    <row r="39" spans="1:26">
      <c r="A39" s="262"/>
      <c r="B39" s="262"/>
      <c r="C39" s="263"/>
      <c r="D39" s="322"/>
      <c r="E39" s="278"/>
      <c r="F39" s="300"/>
      <c r="G39" s="263"/>
      <c r="H39" s="266"/>
      <c r="I39" s="264"/>
      <c r="J39" s="264"/>
      <c r="K39" s="271"/>
      <c r="L39" s="263"/>
      <c r="M39" s="264"/>
      <c r="N39" s="264"/>
      <c r="O39" s="272"/>
      <c r="P39" s="273"/>
      <c r="Q39" s="274"/>
      <c r="R39" s="275"/>
      <c r="W39" s="39">
        <f t="shared" ca="1" si="0"/>
        <v>0</v>
      </c>
      <c r="X39" s="119">
        <f t="shared" ca="1" si="2"/>
        <v>0</v>
      </c>
    </row>
    <row r="40" spans="1:26">
      <c r="A40" s="262"/>
      <c r="B40" s="262"/>
      <c r="C40" s="263"/>
      <c r="D40" s="322"/>
      <c r="E40" s="278"/>
      <c r="F40" s="300"/>
      <c r="G40" s="263"/>
      <c r="H40" s="266"/>
      <c r="I40" s="264"/>
      <c r="J40" s="264"/>
      <c r="K40" s="271"/>
      <c r="L40" s="263"/>
      <c r="M40" s="264"/>
      <c r="N40" s="264"/>
      <c r="O40" s="272"/>
      <c r="P40" s="273"/>
      <c r="Q40" s="274"/>
      <c r="R40" s="275"/>
      <c r="W40" s="39">
        <f t="shared" ca="1" si="0"/>
        <v>0</v>
      </c>
      <c r="X40" s="119">
        <f t="shared" ca="1" si="2"/>
        <v>0</v>
      </c>
    </row>
    <row r="41" spans="1:26">
      <c r="A41" s="262"/>
      <c r="B41" s="262"/>
      <c r="C41" s="263"/>
      <c r="D41" s="322"/>
      <c r="E41" s="278"/>
      <c r="F41" s="300"/>
      <c r="G41" s="263"/>
      <c r="H41" s="266"/>
      <c r="I41" s="264"/>
      <c r="J41" s="264"/>
      <c r="K41" s="271"/>
      <c r="L41" s="263"/>
      <c r="M41" s="264"/>
      <c r="N41" s="264"/>
      <c r="O41" s="272"/>
      <c r="P41" s="273"/>
      <c r="Q41" s="274"/>
      <c r="R41" s="275"/>
      <c r="W41" s="39">
        <f t="shared" ca="1" si="0"/>
        <v>0</v>
      </c>
      <c r="X41" s="119">
        <f t="shared" ca="1" si="2"/>
        <v>0</v>
      </c>
    </row>
    <row r="42" spans="1:26">
      <c r="A42" s="313"/>
      <c r="B42" s="314"/>
      <c r="C42" s="315"/>
      <c r="D42" s="325">
        <f ca="1">SUM(D13:D41)</f>
        <v>2523</v>
      </c>
      <c r="E42" s="315">
        <f>SUM(E13:E41)</f>
        <v>51327.545465999996</v>
      </c>
      <c r="F42" s="318"/>
      <c r="G42" s="315"/>
      <c r="H42" s="316"/>
      <c r="I42" s="315"/>
      <c r="J42" s="319">
        <f>SUM(J13:J41)</f>
        <v>-231.578036</v>
      </c>
      <c r="K42" s="314"/>
      <c r="L42" s="314"/>
      <c r="M42" s="314"/>
      <c r="N42" s="319">
        <f>SUM(N13:N41)</f>
        <v>-377.44075900000001</v>
      </c>
      <c r="O42" s="315">
        <f>SUM(O13:O41)</f>
        <v>-563.63889699999993</v>
      </c>
      <c r="P42" s="315">
        <f ca="1">SUM(P13:P41)</f>
        <v>4025.6194829999999</v>
      </c>
      <c r="Q42" s="326">
        <f ca="1">SUM(Q13:Q41)</f>
        <v>4.0048632487077684</v>
      </c>
      <c r="R42" s="317"/>
      <c r="W42" s="327">
        <f ca="1">SUM(W13:W41)</f>
        <v>1.5808270676691727</v>
      </c>
      <c r="X42" s="328">
        <f ca="1">SUM(X13:X41)</f>
        <v>4800.0169566716786</v>
      </c>
      <c r="Y42" s="329">
        <f ca="1">P42/X42</f>
        <v>0.83866776291377021</v>
      </c>
      <c r="Z42" s="329">
        <f ca="1">Y42/(D$43/365)</f>
        <v>0.19180058487689605</v>
      </c>
    </row>
    <row r="43" spans="1:26">
      <c r="C43" s="119" t="s">
        <v>569</v>
      </c>
      <c r="D43" s="46">
        <f ca="1">_xlfn.DAYS(TODAY(),F13)</f>
        <v>1596</v>
      </c>
      <c r="E43" s="119"/>
      <c r="F43" s="300"/>
      <c r="G43" s="119"/>
      <c r="H43" s="303"/>
      <c r="I43" s="119"/>
      <c r="J43" s="119"/>
      <c r="P43" s="119"/>
      <c r="Q43" s="59"/>
    </row>
    <row r="44" spans="1:26">
      <c r="C44" s="119"/>
      <c r="E44" s="119"/>
      <c r="F44" s="300"/>
      <c r="G44" s="119"/>
      <c r="H44" s="303"/>
      <c r="I44" s="119"/>
      <c r="J44" s="119"/>
    </row>
    <row r="45" spans="1:26">
      <c r="C45" s="119"/>
      <c r="E45" s="119"/>
      <c r="F45" s="300"/>
      <c r="G45" s="119"/>
      <c r="H45" s="303"/>
      <c r="I45" s="119"/>
      <c r="J45" s="119"/>
    </row>
    <row r="46" spans="1:26">
      <c r="C46" s="119"/>
      <c r="E46" s="119"/>
      <c r="F46" s="300"/>
      <c r="G46" s="119"/>
      <c r="H46" s="303"/>
      <c r="I46" s="119"/>
      <c r="J46" s="119"/>
    </row>
    <row r="47" spans="1:26">
      <c r="C47" s="119"/>
      <c r="E47" s="119"/>
      <c r="F47" s="300"/>
      <c r="G47" s="119"/>
      <c r="H47" s="303"/>
      <c r="I47" s="119"/>
      <c r="J47" s="119"/>
    </row>
    <row r="48" spans="1:26">
      <c r="C48" s="119"/>
      <c r="E48" s="119"/>
      <c r="F48" s="300"/>
      <c r="G48" s="119"/>
      <c r="H48" s="303"/>
      <c r="I48" s="119"/>
      <c r="J48" s="119"/>
    </row>
    <row r="49" spans="3:28">
      <c r="C49" s="119"/>
      <c r="E49" s="119"/>
      <c r="F49" s="300"/>
      <c r="G49" s="119"/>
      <c r="H49" s="303"/>
      <c r="I49" s="119"/>
      <c r="J49" s="119"/>
    </row>
    <row r="50" spans="3:28">
      <c r="C50" s="119"/>
      <c r="E50" s="119"/>
      <c r="F50" s="300"/>
      <c r="G50" s="119"/>
      <c r="H50" s="303"/>
      <c r="I50" s="119"/>
      <c r="J50" s="119"/>
    </row>
    <row r="51" spans="3:28">
      <c r="S51" s="119"/>
      <c r="T51" s="58"/>
    </row>
    <row r="52" spans="3:28">
      <c r="E52" s="41"/>
      <c r="I52" s="41"/>
      <c r="J52" s="41"/>
      <c r="K52" s="41"/>
      <c r="L52" s="41"/>
      <c r="M52" s="41"/>
      <c r="N52" s="41"/>
      <c r="O52" s="41"/>
      <c r="P52" s="41"/>
      <c r="S52" s="41"/>
    </row>
    <row r="53" spans="3:28">
      <c r="G53" s="38"/>
      <c r="H53" s="41"/>
    </row>
    <row r="54" spans="3:28">
      <c r="AB54" s="119"/>
    </row>
    <row r="55" spans="3:28">
      <c r="I55" s="38"/>
      <c r="J55" s="38"/>
      <c r="K55" s="38"/>
      <c r="L55" s="38"/>
      <c r="M55" s="38"/>
      <c r="N55" s="38"/>
      <c r="O55" s="38"/>
      <c r="P55" s="38"/>
      <c r="Q55" s="38"/>
      <c r="S55" s="38"/>
    </row>
    <row r="56" spans="3:28">
      <c r="E56" t="s">
        <v>537</v>
      </c>
      <c r="F56">
        <v>74.89</v>
      </c>
      <c r="G56">
        <v>52</v>
      </c>
      <c r="H56" s="58">
        <f>1-(G56/F56)</f>
        <v>0.30564828415008682</v>
      </c>
      <c r="Q56" s="38"/>
      <c r="T56" s="58"/>
      <c r="V56" s="59"/>
      <c r="W56" s="59"/>
    </row>
    <row r="57" spans="3:28">
      <c r="E57" t="s">
        <v>538</v>
      </c>
      <c r="F57">
        <v>182.08</v>
      </c>
      <c r="G57">
        <v>126</v>
      </c>
      <c r="H57" s="58">
        <f>1-(G57/F57)</f>
        <v>0.30799648506151145</v>
      </c>
      <c r="I57" s="38"/>
      <c r="J57" s="38"/>
      <c r="K57" s="38"/>
      <c r="L57" s="38"/>
      <c r="M57" s="38"/>
      <c r="N57" s="38"/>
      <c r="O57" s="38"/>
      <c r="P57" s="38"/>
      <c r="Q57" s="38"/>
      <c r="S57" s="38"/>
    </row>
    <row r="58" spans="3:28">
      <c r="E58" t="s">
        <v>539</v>
      </c>
      <c r="F58">
        <v>93.54</v>
      </c>
      <c r="G58">
        <v>65</v>
      </c>
      <c r="H58" s="58">
        <f>1-(G58/F58)</f>
        <v>0.30511011332050464</v>
      </c>
      <c r="I58" s="304"/>
      <c r="J58" s="304"/>
      <c r="K58" s="304"/>
      <c r="L58" s="38"/>
      <c r="Q58" s="119"/>
    </row>
    <row r="59" spans="3:28">
      <c r="D59" s="46" t="s">
        <v>540</v>
      </c>
      <c r="F59">
        <v>20</v>
      </c>
      <c r="G59">
        <v>14</v>
      </c>
      <c r="H59" s="58">
        <f>1-(G59/F59)</f>
        <v>0.30000000000000004</v>
      </c>
      <c r="Q59" s="119"/>
      <c r="S59" s="306"/>
    </row>
    <row r="60" spans="3:28">
      <c r="G60" s="38"/>
      <c r="S60" s="304"/>
      <c r="T60">
        <f>(0.00242*12)</f>
        <v>2.9039999999999996E-2</v>
      </c>
    </row>
    <row r="61" spans="3:28">
      <c r="P61" s="304"/>
      <c r="S61" s="307"/>
      <c r="T61">
        <f>4700*T60</f>
        <v>136.48799999999997</v>
      </c>
    </row>
    <row r="62" spans="3:28">
      <c r="Q62" s="59"/>
      <c r="S62" s="308" t="s">
        <v>541</v>
      </c>
      <c r="T62" s="41" t="s">
        <v>542</v>
      </c>
      <c r="U62" s="38"/>
    </row>
    <row r="63" spans="3:28" ht="15.75">
      <c r="G63" s="38"/>
      <c r="R63" t="s">
        <v>543</v>
      </c>
      <c r="S63" s="309" t="s">
        <v>544</v>
      </c>
      <c r="T63" s="310"/>
      <c r="U63" s="38"/>
    </row>
    <row r="64" spans="3:28">
      <c r="F64" s="38"/>
      <c r="G64" s="38"/>
      <c r="R64" t="s">
        <v>545</v>
      </c>
      <c r="S64" s="309" t="s">
        <v>546</v>
      </c>
      <c r="T64" t="s">
        <v>547</v>
      </c>
    </row>
    <row r="65" spans="6:21">
      <c r="F65" s="38"/>
      <c r="G65" s="38"/>
      <c r="H65" s="38"/>
      <c r="K65" t="s">
        <v>548</v>
      </c>
      <c r="S65" s="38"/>
      <c r="T65" t="s">
        <v>549</v>
      </c>
      <c r="U65" s="38"/>
    </row>
    <row r="66" spans="6:21">
      <c r="K66" s="311">
        <v>43587</v>
      </c>
      <c r="S66" s="306"/>
    </row>
    <row r="67" spans="6:21">
      <c r="K67" t="s">
        <v>550</v>
      </c>
      <c r="S67" s="312"/>
    </row>
    <row r="68" spans="6:21">
      <c r="K68" t="s">
        <v>551</v>
      </c>
      <c r="M68" t="s">
        <v>148</v>
      </c>
      <c r="S68" s="309"/>
      <c r="T68">
        <f>5000/12</f>
        <v>416.66666666666669</v>
      </c>
    </row>
    <row r="69" spans="6:21">
      <c r="K69" t="s">
        <v>552</v>
      </c>
      <c r="T69">
        <f>2.2/T68</f>
        <v>5.28E-3</v>
      </c>
    </row>
    <row r="70" spans="6:21">
      <c r="K70" t="s">
        <v>553</v>
      </c>
      <c r="T70">
        <f>100*T69</f>
        <v>0.52800000000000002</v>
      </c>
    </row>
    <row r="71" spans="6:21">
      <c r="K71" t="s">
        <v>554</v>
      </c>
      <c r="T71">
        <f>2.2*12</f>
        <v>26.400000000000002</v>
      </c>
    </row>
    <row r="72" spans="6:21">
      <c r="K72" t="s">
        <v>555</v>
      </c>
    </row>
    <row r="73" spans="6:21">
      <c r="K73" t="s">
        <v>556</v>
      </c>
    </row>
    <row r="74" spans="6:21">
      <c r="K74" t="s">
        <v>557</v>
      </c>
    </row>
    <row r="75" spans="6:21">
      <c r="K75" t="s">
        <v>558</v>
      </c>
    </row>
    <row r="76" spans="6:21">
      <c r="K76" t="s">
        <v>559</v>
      </c>
    </row>
    <row r="77" spans="6:21">
      <c r="K77" t="s">
        <v>560</v>
      </c>
    </row>
    <row r="78" spans="6:21">
      <c r="K78" t="s">
        <v>561</v>
      </c>
    </row>
  </sheetData>
  <mergeCells count="2">
    <mergeCell ref="A10:R10"/>
    <mergeCell ref="A11:R11"/>
  </mergeCell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A905C-C927-46AD-A41B-CB021864580F}">
  <dimension ref="A1:E40"/>
  <sheetViews>
    <sheetView workbookViewId="0">
      <selection activeCell="B6" sqref="B6"/>
    </sheetView>
  </sheetViews>
  <sheetFormatPr defaultColWidth="8.85546875" defaultRowHeight="15"/>
  <cols>
    <col min="1" max="1" width="18" customWidth="1"/>
    <col min="2" max="2" width="12" customWidth="1"/>
    <col min="3" max="3" width="11.140625" customWidth="1"/>
    <col min="4" max="4" width="26" customWidth="1"/>
    <col min="5" max="5" width="13.140625" customWidth="1"/>
  </cols>
  <sheetData>
    <row r="1" spans="1:5">
      <c r="A1" s="449" t="s">
        <v>575</v>
      </c>
      <c r="B1" s="449"/>
      <c r="C1" s="449"/>
      <c r="D1" s="449"/>
      <c r="E1" s="449"/>
    </row>
    <row r="2" spans="1:5">
      <c r="A2" s="332" t="s">
        <v>571</v>
      </c>
      <c r="B2" s="333" t="s">
        <v>88</v>
      </c>
      <c r="C2" s="333" t="s">
        <v>572</v>
      </c>
      <c r="D2" s="333" t="s">
        <v>573</v>
      </c>
      <c r="E2" s="270"/>
    </row>
    <row r="3" spans="1:5">
      <c r="A3" s="334" t="s">
        <v>52</v>
      </c>
      <c r="B3" s="335">
        <f>1094.26</f>
        <v>1094.26</v>
      </c>
      <c r="C3" s="305">
        <f>B3/B$7</f>
        <v>0.27057113044166298</v>
      </c>
      <c r="D3" s="335">
        <f ca="1">D$7*C3</f>
        <v>50.917060205426893</v>
      </c>
      <c r="E3" s="275"/>
    </row>
    <row r="4" spans="1:5">
      <c r="A4" s="334" t="s">
        <v>26</v>
      </c>
      <c r="B4" s="335">
        <v>1350</v>
      </c>
      <c r="C4" s="305">
        <f t="shared" ref="C4:C6" si="0">B4/B$7</f>
        <v>0.33380643183178133</v>
      </c>
      <c r="D4" s="335">
        <f t="shared" ref="D4:D6" ca="1" si="1">D$7*C4</f>
        <v>62.816909397516412</v>
      </c>
      <c r="E4" s="275"/>
    </row>
    <row r="5" spans="1:5">
      <c r="A5" s="334" t="s">
        <v>171</v>
      </c>
      <c r="B5" s="335">
        <v>550</v>
      </c>
      <c r="C5" s="305">
        <f t="shared" si="0"/>
        <v>0.1359952129685035</v>
      </c>
      <c r="D5" s="335">
        <f t="shared" ca="1" si="1"/>
        <v>25.592074198988168</v>
      </c>
      <c r="E5" s="275"/>
    </row>
    <row r="6" spans="1:5">
      <c r="A6" s="334" t="s">
        <v>50</v>
      </c>
      <c r="B6" s="335">
        <v>1050</v>
      </c>
      <c r="C6" s="305">
        <f t="shared" si="0"/>
        <v>0.25962722475805217</v>
      </c>
      <c r="D6" s="335">
        <f t="shared" ca="1" si="1"/>
        <v>48.857596198068322</v>
      </c>
      <c r="E6" s="275"/>
    </row>
    <row r="7" spans="1:5">
      <c r="A7" s="334" t="s">
        <v>5</v>
      </c>
      <c r="B7" s="335">
        <f>SUM(B3:B6)</f>
        <v>4044.26</v>
      </c>
      <c r="C7" s="305">
        <f>SUM(C3:C6)</f>
        <v>1</v>
      </c>
      <c r="D7" s="336">
        <f ca="1">Bolsa1!P35</f>
        <v>188.1836399999998</v>
      </c>
      <c r="E7" s="275" t="s">
        <v>574</v>
      </c>
    </row>
    <row r="8" spans="1:5">
      <c r="A8" s="334"/>
      <c r="B8" s="335"/>
      <c r="C8" s="337"/>
      <c r="D8" s="337"/>
      <c r="E8" s="275"/>
    </row>
    <row r="9" spans="1:5">
      <c r="A9" s="334"/>
      <c r="B9" s="335"/>
      <c r="C9" s="337"/>
      <c r="D9" s="337"/>
      <c r="E9" s="275"/>
    </row>
    <row r="10" spans="1:5">
      <c r="A10" s="334"/>
      <c r="B10" s="337"/>
      <c r="C10" s="337"/>
      <c r="D10" s="337"/>
      <c r="E10" s="275"/>
    </row>
    <row r="11" spans="1:5">
      <c r="A11" s="334" t="s">
        <v>155</v>
      </c>
      <c r="B11" s="335">
        <v>5092.08</v>
      </c>
      <c r="C11" s="337"/>
      <c r="D11" s="337"/>
      <c r="E11" s="275"/>
    </row>
    <row r="12" spans="1:5">
      <c r="A12" s="338" t="s">
        <v>5</v>
      </c>
      <c r="B12" s="339">
        <f>B7+B11</f>
        <v>9136.34</v>
      </c>
      <c r="C12" s="330"/>
      <c r="D12" s="330"/>
      <c r="E12" s="289"/>
    </row>
    <row r="15" spans="1:5">
      <c r="A15" s="447" t="s">
        <v>604</v>
      </c>
      <c r="B15" s="447"/>
      <c r="C15" s="447"/>
      <c r="D15" s="447"/>
      <c r="E15" s="447"/>
    </row>
    <row r="17" spans="1:4">
      <c r="A17" s="331" t="s">
        <v>576</v>
      </c>
    </row>
    <row r="19" spans="1:4">
      <c r="A19" t="s">
        <v>577</v>
      </c>
    </row>
    <row r="20" spans="1:4">
      <c r="A20" t="s">
        <v>578</v>
      </c>
    </row>
    <row r="21" spans="1:4">
      <c r="A21" t="s">
        <v>579</v>
      </c>
    </row>
    <row r="22" spans="1:4">
      <c r="A22" t="s">
        <v>580</v>
      </c>
    </row>
    <row r="23" spans="1:4">
      <c r="A23" t="s">
        <v>581</v>
      </c>
    </row>
    <row r="24" spans="1:4">
      <c r="A24" t="s">
        <v>582</v>
      </c>
    </row>
    <row r="25" spans="1:4">
      <c r="A25" t="s">
        <v>583</v>
      </c>
    </row>
    <row r="30" spans="1:4">
      <c r="A30" s="331" t="s">
        <v>584</v>
      </c>
      <c r="B30" s="331" t="s">
        <v>585</v>
      </c>
      <c r="C30" s="331" t="s">
        <v>586</v>
      </c>
      <c r="D30" s="331" t="s">
        <v>587</v>
      </c>
    </row>
    <row r="32" spans="1:4">
      <c r="A32" t="s">
        <v>588</v>
      </c>
      <c r="B32" t="s">
        <v>589</v>
      </c>
      <c r="C32" t="s">
        <v>590</v>
      </c>
      <c r="D32" t="s">
        <v>591</v>
      </c>
    </row>
    <row r="33" spans="1:4">
      <c r="A33" t="s">
        <v>592</v>
      </c>
      <c r="B33" t="s">
        <v>593</v>
      </c>
      <c r="C33" t="s">
        <v>594</v>
      </c>
      <c r="D33" t="s">
        <v>589</v>
      </c>
    </row>
    <row r="34" spans="1:4">
      <c r="A34" t="s">
        <v>595</v>
      </c>
      <c r="B34" t="s">
        <v>596</v>
      </c>
      <c r="C34" t="s">
        <v>597</v>
      </c>
      <c r="D34" t="s">
        <v>591</v>
      </c>
    </row>
    <row r="35" spans="1:4">
      <c r="A35" t="s">
        <v>598</v>
      </c>
      <c r="B35" t="s">
        <v>589</v>
      </c>
      <c r="C35" t="s">
        <v>594</v>
      </c>
      <c r="D35" t="s">
        <v>599</v>
      </c>
    </row>
    <row r="36" spans="1:4">
      <c r="A36" t="s">
        <v>425</v>
      </c>
      <c r="B36" t="s">
        <v>589</v>
      </c>
      <c r="C36" t="s">
        <v>590</v>
      </c>
      <c r="D36" t="s">
        <v>599</v>
      </c>
    </row>
    <row r="37" spans="1:4">
      <c r="A37" t="s">
        <v>600</v>
      </c>
      <c r="B37" t="s">
        <v>591</v>
      </c>
      <c r="C37" t="s">
        <v>597</v>
      </c>
      <c r="D37" t="s">
        <v>596</v>
      </c>
    </row>
    <row r="38" spans="1:4">
      <c r="A38" t="s">
        <v>601</v>
      </c>
      <c r="B38" t="s">
        <v>589</v>
      </c>
      <c r="C38" t="s">
        <v>597</v>
      </c>
      <c r="D38" t="s">
        <v>589</v>
      </c>
    </row>
    <row r="39" spans="1:4">
      <c r="A39" t="s">
        <v>602</v>
      </c>
      <c r="B39" t="s">
        <v>591</v>
      </c>
      <c r="C39" t="s">
        <v>590</v>
      </c>
      <c r="D39" t="s">
        <v>589</v>
      </c>
    </row>
    <row r="40" spans="1:4">
      <c r="A40" t="s">
        <v>603</v>
      </c>
      <c r="B40" t="s">
        <v>591</v>
      </c>
      <c r="C40" t="s">
        <v>590</v>
      </c>
      <c r="D40" t="s">
        <v>596</v>
      </c>
    </row>
  </sheetData>
  <mergeCells count="2">
    <mergeCell ref="A1:E1"/>
    <mergeCell ref="A15:E15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I53"/>
  <sheetViews>
    <sheetView workbookViewId="0">
      <selection activeCell="M50" sqref="M50"/>
    </sheetView>
  </sheetViews>
  <sheetFormatPr defaultColWidth="8" defaultRowHeight="15"/>
  <cols>
    <col min="1" max="1" width="8" customWidth="1"/>
    <col min="2" max="2" width="12.28515625" customWidth="1"/>
    <col min="3" max="5" width="8" customWidth="1"/>
    <col min="6" max="6" width="12.28515625" customWidth="1"/>
    <col min="7" max="7" width="9" customWidth="1"/>
    <col min="9" max="9" width="9.28515625" bestFit="1" customWidth="1"/>
    <col min="257" max="257" width="8" customWidth="1"/>
    <col min="258" max="258" width="12.28515625" customWidth="1"/>
    <col min="259" max="261" width="8" customWidth="1"/>
    <col min="262" max="262" width="12.28515625" customWidth="1"/>
    <col min="263" max="263" width="9" customWidth="1"/>
    <col min="513" max="513" width="8" customWidth="1"/>
    <col min="514" max="514" width="12.28515625" customWidth="1"/>
    <col min="515" max="517" width="8" customWidth="1"/>
    <col min="518" max="518" width="12.28515625" customWidth="1"/>
    <col min="519" max="519" width="9" customWidth="1"/>
    <col min="769" max="769" width="8" customWidth="1"/>
    <col min="770" max="770" width="12.28515625" customWidth="1"/>
    <col min="771" max="773" width="8" customWidth="1"/>
    <col min="774" max="774" width="12.28515625" customWidth="1"/>
    <col min="775" max="775" width="9" customWidth="1"/>
    <col min="1025" max="1025" width="8" customWidth="1"/>
    <col min="1026" max="1026" width="12.28515625" customWidth="1"/>
    <col min="1027" max="1029" width="8" customWidth="1"/>
    <col min="1030" max="1030" width="12.28515625" customWidth="1"/>
    <col min="1031" max="1031" width="9" customWidth="1"/>
    <col min="1281" max="1281" width="8" customWidth="1"/>
    <col min="1282" max="1282" width="12.28515625" customWidth="1"/>
    <col min="1283" max="1285" width="8" customWidth="1"/>
    <col min="1286" max="1286" width="12.28515625" customWidth="1"/>
    <col min="1287" max="1287" width="9" customWidth="1"/>
    <col min="1537" max="1537" width="8" customWidth="1"/>
    <col min="1538" max="1538" width="12.28515625" customWidth="1"/>
    <col min="1539" max="1541" width="8" customWidth="1"/>
    <col min="1542" max="1542" width="12.28515625" customWidth="1"/>
    <col min="1543" max="1543" width="9" customWidth="1"/>
    <col min="1793" max="1793" width="8" customWidth="1"/>
    <col min="1794" max="1794" width="12.28515625" customWidth="1"/>
    <col min="1795" max="1797" width="8" customWidth="1"/>
    <col min="1798" max="1798" width="12.28515625" customWidth="1"/>
    <col min="1799" max="1799" width="9" customWidth="1"/>
    <col min="2049" max="2049" width="8" customWidth="1"/>
    <col min="2050" max="2050" width="12.28515625" customWidth="1"/>
    <col min="2051" max="2053" width="8" customWidth="1"/>
    <col min="2054" max="2054" width="12.28515625" customWidth="1"/>
    <col min="2055" max="2055" width="9" customWidth="1"/>
    <col min="2305" max="2305" width="8" customWidth="1"/>
    <col min="2306" max="2306" width="12.28515625" customWidth="1"/>
    <col min="2307" max="2309" width="8" customWidth="1"/>
    <col min="2310" max="2310" width="12.28515625" customWidth="1"/>
    <col min="2311" max="2311" width="9" customWidth="1"/>
    <col min="2561" max="2561" width="8" customWidth="1"/>
    <col min="2562" max="2562" width="12.28515625" customWidth="1"/>
    <col min="2563" max="2565" width="8" customWidth="1"/>
    <col min="2566" max="2566" width="12.28515625" customWidth="1"/>
    <col min="2567" max="2567" width="9" customWidth="1"/>
    <col min="2817" max="2817" width="8" customWidth="1"/>
    <col min="2818" max="2818" width="12.28515625" customWidth="1"/>
    <col min="2819" max="2821" width="8" customWidth="1"/>
    <col min="2822" max="2822" width="12.28515625" customWidth="1"/>
    <col min="2823" max="2823" width="9" customWidth="1"/>
    <col min="3073" max="3073" width="8" customWidth="1"/>
    <col min="3074" max="3074" width="12.28515625" customWidth="1"/>
    <col min="3075" max="3077" width="8" customWidth="1"/>
    <col min="3078" max="3078" width="12.28515625" customWidth="1"/>
    <col min="3079" max="3079" width="9" customWidth="1"/>
    <col min="3329" max="3329" width="8" customWidth="1"/>
    <col min="3330" max="3330" width="12.28515625" customWidth="1"/>
    <col min="3331" max="3333" width="8" customWidth="1"/>
    <col min="3334" max="3334" width="12.28515625" customWidth="1"/>
    <col min="3335" max="3335" width="9" customWidth="1"/>
    <col min="3585" max="3585" width="8" customWidth="1"/>
    <col min="3586" max="3586" width="12.28515625" customWidth="1"/>
    <col min="3587" max="3589" width="8" customWidth="1"/>
    <col min="3590" max="3590" width="12.28515625" customWidth="1"/>
    <col min="3591" max="3591" width="9" customWidth="1"/>
    <col min="3841" max="3841" width="8" customWidth="1"/>
    <col min="3842" max="3842" width="12.28515625" customWidth="1"/>
    <col min="3843" max="3845" width="8" customWidth="1"/>
    <col min="3846" max="3846" width="12.28515625" customWidth="1"/>
    <col min="3847" max="3847" width="9" customWidth="1"/>
    <col min="4097" max="4097" width="8" customWidth="1"/>
    <col min="4098" max="4098" width="12.28515625" customWidth="1"/>
    <col min="4099" max="4101" width="8" customWidth="1"/>
    <col min="4102" max="4102" width="12.28515625" customWidth="1"/>
    <col min="4103" max="4103" width="9" customWidth="1"/>
    <col min="4353" max="4353" width="8" customWidth="1"/>
    <col min="4354" max="4354" width="12.28515625" customWidth="1"/>
    <col min="4355" max="4357" width="8" customWidth="1"/>
    <col min="4358" max="4358" width="12.28515625" customWidth="1"/>
    <col min="4359" max="4359" width="9" customWidth="1"/>
    <col min="4609" max="4609" width="8" customWidth="1"/>
    <col min="4610" max="4610" width="12.28515625" customWidth="1"/>
    <col min="4611" max="4613" width="8" customWidth="1"/>
    <col min="4614" max="4614" width="12.28515625" customWidth="1"/>
    <col min="4615" max="4615" width="9" customWidth="1"/>
    <col min="4865" max="4865" width="8" customWidth="1"/>
    <col min="4866" max="4866" width="12.28515625" customWidth="1"/>
    <col min="4867" max="4869" width="8" customWidth="1"/>
    <col min="4870" max="4870" width="12.28515625" customWidth="1"/>
    <col min="4871" max="4871" width="9" customWidth="1"/>
    <col min="5121" max="5121" width="8" customWidth="1"/>
    <col min="5122" max="5122" width="12.28515625" customWidth="1"/>
    <col min="5123" max="5125" width="8" customWidth="1"/>
    <col min="5126" max="5126" width="12.28515625" customWidth="1"/>
    <col min="5127" max="5127" width="9" customWidth="1"/>
    <col min="5377" max="5377" width="8" customWidth="1"/>
    <col min="5378" max="5378" width="12.28515625" customWidth="1"/>
    <col min="5379" max="5381" width="8" customWidth="1"/>
    <col min="5382" max="5382" width="12.28515625" customWidth="1"/>
    <col min="5383" max="5383" width="9" customWidth="1"/>
    <col min="5633" max="5633" width="8" customWidth="1"/>
    <col min="5634" max="5634" width="12.28515625" customWidth="1"/>
    <col min="5635" max="5637" width="8" customWidth="1"/>
    <col min="5638" max="5638" width="12.28515625" customWidth="1"/>
    <col min="5639" max="5639" width="9" customWidth="1"/>
    <col min="5889" max="5889" width="8" customWidth="1"/>
    <col min="5890" max="5890" width="12.28515625" customWidth="1"/>
    <col min="5891" max="5893" width="8" customWidth="1"/>
    <col min="5894" max="5894" width="12.28515625" customWidth="1"/>
    <col min="5895" max="5895" width="9" customWidth="1"/>
    <col min="6145" max="6145" width="8" customWidth="1"/>
    <col min="6146" max="6146" width="12.28515625" customWidth="1"/>
    <col min="6147" max="6149" width="8" customWidth="1"/>
    <col min="6150" max="6150" width="12.28515625" customWidth="1"/>
    <col min="6151" max="6151" width="9" customWidth="1"/>
    <col min="6401" max="6401" width="8" customWidth="1"/>
    <col min="6402" max="6402" width="12.28515625" customWidth="1"/>
    <col min="6403" max="6405" width="8" customWidth="1"/>
    <col min="6406" max="6406" width="12.28515625" customWidth="1"/>
    <col min="6407" max="6407" width="9" customWidth="1"/>
    <col min="6657" max="6657" width="8" customWidth="1"/>
    <col min="6658" max="6658" width="12.28515625" customWidth="1"/>
    <col min="6659" max="6661" width="8" customWidth="1"/>
    <col min="6662" max="6662" width="12.28515625" customWidth="1"/>
    <col min="6663" max="6663" width="9" customWidth="1"/>
    <col min="6913" max="6913" width="8" customWidth="1"/>
    <col min="6914" max="6914" width="12.28515625" customWidth="1"/>
    <col min="6915" max="6917" width="8" customWidth="1"/>
    <col min="6918" max="6918" width="12.28515625" customWidth="1"/>
    <col min="6919" max="6919" width="9" customWidth="1"/>
    <col min="7169" max="7169" width="8" customWidth="1"/>
    <col min="7170" max="7170" width="12.28515625" customWidth="1"/>
    <col min="7171" max="7173" width="8" customWidth="1"/>
    <col min="7174" max="7174" width="12.28515625" customWidth="1"/>
    <col min="7175" max="7175" width="9" customWidth="1"/>
    <col min="7425" max="7425" width="8" customWidth="1"/>
    <col min="7426" max="7426" width="12.28515625" customWidth="1"/>
    <col min="7427" max="7429" width="8" customWidth="1"/>
    <col min="7430" max="7430" width="12.28515625" customWidth="1"/>
    <col min="7431" max="7431" width="9" customWidth="1"/>
    <col min="7681" max="7681" width="8" customWidth="1"/>
    <col min="7682" max="7682" width="12.28515625" customWidth="1"/>
    <col min="7683" max="7685" width="8" customWidth="1"/>
    <col min="7686" max="7686" width="12.28515625" customWidth="1"/>
    <col min="7687" max="7687" width="9" customWidth="1"/>
    <col min="7937" max="7937" width="8" customWidth="1"/>
    <col min="7938" max="7938" width="12.28515625" customWidth="1"/>
    <col min="7939" max="7941" width="8" customWidth="1"/>
    <col min="7942" max="7942" width="12.28515625" customWidth="1"/>
    <col min="7943" max="7943" width="9" customWidth="1"/>
    <col min="8193" max="8193" width="8" customWidth="1"/>
    <col min="8194" max="8194" width="12.28515625" customWidth="1"/>
    <col min="8195" max="8197" width="8" customWidth="1"/>
    <col min="8198" max="8198" width="12.28515625" customWidth="1"/>
    <col min="8199" max="8199" width="9" customWidth="1"/>
    <col min="8449" max="8449" width="8" customWidth="1"/>
    <col min="8450" max="8450" width="12.28515625" customWidth="1"/>
    <col min="8451" max="8453" width="8" customWidth="1"/>
    <col min="8454" max="8454" width="12.28515625" customWidth="1"/>
    <col min="8455" max="8455" width="9" customWidth="1"/>
    <col min="8705" max="8705" width="8" customWidth="1"/>
    <col min="8706" max="8706" width="12.28515625" customWidth="1"/>
    <col min="8707" max="8709" width="8" customWidth="1"/>
    <col min="8710" max="8710" width="12.28515625" customWidth="1"/>
    <col min="8711" max="8711" width="9" customWidth="1"/>
    <col min="8961" max="8961" width="8" customWidth="1"/>
    <col min="8962" max="8962" width="12.28515625" customWidth="1"/>
    <col min="8963" max="8965" width="8" customWidth="1"/>
    <col min="8966" max="8966" width="12.28515625" customWidth="1"/>
    <col min="8967" max="8967" width="9" customWidth="1"/>
    <col min="9217" max="9217" width="8" customWidth="1"/>
    <col min="9218" max="9218" width="12.28515625" customWidth="1"/>
    <col min="9219" max="9221" width="8" customWidth="1"/>
    <col min="9222" max="9222" width="12.28515625" customWidth="1"/>
    <col min="9223" max="9223" width="9" customWidth="1"/>
    <col min="9473" max="9473" width="8" customWidth="1"/>
    <col min="9474" max="9474" width="12.28515625" customWidth="1"/>
    <col min="9475" max="9477" width="8" customWidth="1"/>
    <col min="9478" max="9478" width="12.28515625" customWidth="1"/>
    <col min="9479" max="9479" width="9" customWidth="1"/>
    <col min="9729" max="9729" width="8" customWidth="1"/>
    <col min="9730" max="9730" width="12.28515625" customWidth="1"/>
    <col min="9731" max="9733" width="8" customWidth="1"/>
    <col min="9734" max="9734" width="12.28515625" customWidth="1"/>
    <col min="9735" max="9735" width="9" customWidth="1"/>
    <col min="9985" max="9985" width="8" customWidth="1"/>
    <col min="9986" max="9986" width="12.28515625" customWidth="1"/>
    <col min="9987" max="9989" width="8" customWidth="1"/>
    <col min="9990" max="9990" width="12.28515625" customWidth="1"/>
    <col min="9991" max="9991" width="9" customWidth="1"/>
    <col min="10241" max="10241" width="8" customWidth="1"/>
    <col min="10242" max="10242" width="12.28515625" customWidth="1"/>
    <col min="10243" max="10245" width="8" customWidth="1"/>
    <col min="10246" max="10246" width="12.28515625" customWidth="1"/>
    <col min="10247" max="10247" width="9" customWidth="1"/>
    <col min="10497" max="10497" width="8" customWidth="1"/>
    <col min="10498" max="10498" width="12.28515625" customWidth="1"/>
    <col min="10499" max="10501" width="8" customWidth="1"/>
    <col min="10502" max="10502" width="12.28515625" customWidth="1"/>
    <col min="10503" max="10503" width="9" customWidth="1"/>
    <col min="10753" max="10753" width="8" customWidth="1"/>
    <col min="10754" max="10754" width="12.28515625" customWidth="1"/>
    <col min="10755" max="10757" width="8" customWidth="1"/>
    <col min="10758" max="10758" width="12.28515625" customWidth="1"/>
    <col min="10759" max="10759" width="9" customWidth="1"/>
    <col min="11009" max="11009" width="8" customWidth="1"/>
    <col min="11010" max="11010" width="12.28515625" customWidth="1"/>
    <col min="11011" max="11013" width="8" customWidth="1"/>
    <col min="11014" max="11014" width="12.28515625" customWidth="1"/>
    <col min="11015" max="11015" width="9" customWidth="1"/>
    <col min="11265" max="11265" width="8" customWidth="1"/>
    <col min="11266" max="11266" width="12.28515625" customWidth="1"/>
    <col min="11267" max="11269" width="8" customWidth="1"/>
    <col min="11270" max="11270" width="12.28515625" customWidth="1"/>
    <col min="11271" max="11271" width="9" customWidth="1"/>
    <col min="11521" max="11521" width="8" customWidth="1"/>
    <col min="11522" max="11522" width="12.28515625" customWidth="1"/>
    <col min="11523" max="11525" width="8" customWidth="1"/>
    <col min="11526" max="11526" width="12.28515625" customWidth="1"/>
    <col min="11527" max="11527" width="9" customWidth="1"/>
    <col min="11777" max="11777" width="8" customWidth="1"/>
    <col min="11778" max="11778" width="12.28515625" customWidth="1"/>
    <col min="11779" max="11781" width="8" customWidth="1"/>
    <col min="11782" max="11782" width="12.28515625" customWidth="1"/>
    <col min="11783" max="11783" width="9" customWidth="1"/>
    <col min="12033" max="12033" width="8" customWidth="1"/>
    <col min="12034" max="12034" width="12.28515625" customWidth="1"/>
    <col min="12035" max="12037" width="8" customWidth="1"/>
    <col min="12038" max="12038" width="12.28515625" customWidth="1"/>
    <col min="12039" max="12039" width="9" customWidth="1"/>
    <col min="12289" max="12289" width="8" customWidth="1"/>
    <col min="12290" max="12290" width="12.28515625" customWidth="1"/>
    <col min="12291" max="12293" width="8" customWidth="1"/>
    <col min="12294" max="12294" width="12.28515625" customWidth="1"/>
    <col min="12295" max="12295" width="9" customWidth="1"/>
    <col min="12545" max="12545" width="8" customWidth="1"/>
    <col min="12546" max="12546" width="12.28515625" customWidth="1"/>
    <col min="12547" max="12549" width="8" customWidth="1"/>
    <col min="12550" max="12550" width="12.28515625" customWidth="1"/>
    <col min="12551" max="12551" width="9" customWidth="1"/>
    <col min="12801" max="12801" width="8" customWidth="1"/>
    <col min="12802" max="12802" width="12.28515625" customWidth="1"/>
    <col min="12803" max="12805" width="8" customWidth="1"/>
    <col min="12806" max="12806" width="12.28515625" customWidth="1"/>
    <col min="12807" max="12807" width="9" customWidth="1"/>
    <col min="13057" max="13057" width="8" customWidth="1"/>
    <col min="13058" max="13058" width="12.28515625" customWidth="1"/>
    <col min="13059" max="13061" width="8" customWidth="1"/>
    <col min="13062" max="13062" width="12.28515625" customWidth="1"/>
    <col min="13063" max="13063" width="9" customWidth="1"/>
    <col min="13313" max="13313" width="8" customWidth="1"/>
    <col min="13314" max="13314" width="12.28515625" customWidth="1"/>
    <col min="13315" max="13317" width="8" customWidth="1"/>
    <col min="13318" max="13318" width="12.28515625" customWidth="1"/>
    <col min="13319" max="13319" width="9" customWidth="1"/>
    <col min="13569" max="13569" width="8" customWidth="1"/>
    <col min="13570" max="13570" width="12.28515625" customWidth="1"/>
    <col min="13571" max="13573" width="8" customWidth="1"/>
    <col min="13574" max="13574" width="12.28515625" customWidth="1"/>
    <col min="13575" max="13575" width="9" customWidth="1"/>
    <col min="13825" max="13825" width="8" customWidth="1"/>
    <col min="13826" max="13826" width="12.28515625" customWidth="1"/>
    <col min="13827" max="13829" width="8" customWidth="1"/>
    <col min="13830" max="13830" width="12.28515625" customWidth="1"/>
    <col min="13831" max="13831" width="9" customWidth="1"/>
    <col min="14081" max="14081" width="8" customWidth="1"/>
    <col min="14082" max="14082" width="12.28515625" customWidth="1"/>
    <col min="14083" max="14085" width="8" customWidth="1"/>
    <col min="14086" max="14086" width="12.28515625" customWidth="1"/>
    <col min="14087" max="14087" width="9" customWidth="1"/>
    <col min="14337" max="14337" width="8" customWidth="1"/>
    <col min="14338" max="14338" width="12.28515625" customWidth="1"/>
    <col min="14339" max="14341" width="8" customWidth="1"/>
    <col min="14342" max="14342" width="12.28515625" customWidth="1"/>
    <col min="14343" max="14343" width="9" customWidth="1"/>
    <col min="14593" max="14593" width="8" customWidth="1"/>
    <col min="14594" max="14594" width="12.28515625" customWidth="1"/>
    <col min="14595" max="14597" width="8" customWidth="1"/>
    <col min="14598" max="14598" width="12.28515625" customWidth="1"/>
    <col min="14599" max="14599" width="9" customWidth="1"/>
    <col min="14849" max="14849" width="8" customWidth="1"/>
    <col min="14850" max="14850" width="12.28515625" customWidth="1"/>
    <col min="14851" max="14853" width="8" customWidth="1"/>
    <col min="14854" max="14854" width="12.28515625" customWidth="1"/>
    <col min="14855" max="14855" width="9" customWidth="1"/>
    <col min="15105" max="15105" width="8" customWidth="1"/>
    <col min="15106" max="15106" width="12.28515625" customWidth="1"/>
    <col min="15107" max="15109" width="8" customWidth="1"/>
    <col min="15110" max="15110" width="12.28515625" customWidth="1"/>
    <col min="15111" max="15111" width="9" customWidth="1"/>
    <col min="15361" max="15361" width="8" customWidth="1"/>
    <col min="15362" max="15362" width="12.28515625" customWidth="1"/>
    <col min="15363" max="15365" width="8" customWidth="1"/>
    <col min="15366" max="15366" width="12.28515625" customWidth="1"/>
    <col min="15367" max="15367" width="9" customWidth="1"/>
    <col min="15617" max="15617" width="8" customWidth="1"/>
    <col min="15618" max="15618" width="12.28515625" customWidth="1"/>
    <col min="15619" max="15621" width="8" customWidth="1"/>
    <col min="15622" max="15622" width="12.28515625" customWidth="1"/>
    <col min="15623" max="15623" width="9" customWidth="1"/>
    <col min="15873" max="15873" width="8" customWidth="1"/>
    <col min="15874" max="15874" width="12.28515625" customWidth="1"/>
    <col min="15875" max="15877" width="8" customWidth="1"/>
    <col min="15878" max="15878" width="12.28515625" customWidth="1"/>
    <col min="15879" max="15879" width="9" customWidth="1"/>
    <col min="16129" max="16129" width="8" customWidth="1"/>
    <col min="16130" max="16130" width="12.28515625" customWidth="1"/>
    <col min="16131" max="16133" width="8" customWidth="1"/>
    <col min="16134" max="16134" width="12.28515625" customWidth="1"/>
    <col min="16135" max="16135" width="9" customWidth="1"/>
  </cols>
  <sheetData>
    <row r="2" spans="3:9">
      <c r="D2">
        <v>0.14793000000000001</v>
      </c>
      <c r="E2" s="39">
        <f>C3*D2</f>
        <v>63.609900000000003</v>
      </c>
      <c r="F2" s="39">
        <f>E2*D2</f>
        <v>9.4098125070000016</v>
      </c>
    </row>
    <row r="3" spans="3:9">
      <c r="C3">
        <v>430</v>
      </c>
      <c r="D3">
        <v>0.14732000000000001</v>
      </c>
      <c r="E3" s="39">
        <f>C3*D3</f>
        <v>63.3476</v>
      </c>
      <c r="G3" s="39">
        <f>D3*E3</f>
        <v>9.3323684320000009</v>
      </c>
    </row>
    <row r="4" spans="3:9">
      <c r="D4">
        <v>5.9817000000000002E-2</v>
      </c>
      <c r="E4" s="39">
        <f>C5*D4</f>
        <v>8.8050623999999988</v>
      </c>
      <c r="F4" s="39">
        <f>E4*D4</f>
        <v>0.52669241758079999</v>
      </c>
    </row>
    <row r="5" spans="3:9">
      <c r="C5" s="39">
        <f>4.6*32</f>
        <v>147.19999999999999</v>
      </c>
      <c r="D5">
        <v>5.9851000000000001E-2</v>
      </c>
      <c r="E5" s="39">
        <f>C5*D5</f>
        <v>8.8100671999999989</v>
      </c>
      <c r="G5" s="39">
        <f>D5*E5</f>
        <v>0.52729133198719991</v>
      </c>
    </row>
    <row r="6" spans="3:9">
      <c r="F6" s="39">
        <f>SUM(F2:F4)</f>
        <v>9.9365049245808024</v>
      </c>
      <c r="G6" s="39">
        <f>SUM(G2:G5)</f>
        <v>9.8596597639872012</v>
      </c>
    </row>
    <row r="7" spans="3:9">
      <c r="G7" t="s">
        <v>337</v>
      </c>
      <c r="I7" t="s">
        <v>338</v>
      </c>
    </row>
    <row r="8" spans="3:9">
      <c r="F8" t="s">
        <v>126</v>
      </c>
      <c r="G8">
        <v>386785</v>
      </c>
      <c r="I8">
        <v>713931</v>
      </c>
    </row>
    <row r="9" spans="3:9">
      <c r="F9" t="s">
        <v>127</v>
      </c>
      <c r="G9">
        <v>36372553</v>
      </c>
      <c r="I9">
        <v>95095910</v>
      </c>
    </row>
    <row r="10" spans="3:9">
      <c r="F10" t="s">
        <v>354</v>
      </c>
      <c r="I10" t="s">
        <v>355</v>
      </c>
    </row>
    <row r="13" spans="3:9">
      <c r="D13">
        <v>217.11</v>
      </c>
      <c r="E13">
        <v>6</v>
      </c>
      <c r="F13" s="39">
        <f>D13*E13</f>
        <v>1302.6600000000001</v>
      </c>
      <c r="H13" s="39">
        <f>(6*5)+2</f>
        <v>32</v>
      </c>
    </row>
    <row r="14" spans="3:9">
      <c r="F14" s="39">
        <f>F13/H13</f>
        <v>40.708125000000003</v>
      </c>
    </row>
    <row r="15" spans="3:9">
      <c r="F15" s="39">
        <f>F14*12</f>
        <v>488.49750000000006</v>
      </c>
      <c r="G15" s="39">
        <f>F14*2</f>
        <v>81.416250000000005</v>
      </c>
    </row>
    <row r="19" spans="1:9">
      <c r="A19" t="s">
        <v>128</v>
      </c>
    </row>
    <row r="21" spans="1:9">
      <c r="B21" t="s">
        <v>129</v>
      </c>
      <c r="C21" s="87"/>
      <c r="F21" t="s">
        <v>130</v>
      </c>
    </row>
    <row r="22" spans="1:9">
      <c r="B22" t="s">
        <v>131</v>
      </c>
      <c r="C22" s="87"/>
      <c r="F22" t="s">
        <v>132</v>
      </c>
    </row>
    <row r="23" spans="1:9">
      <c r="B23" t="s">
        <v>133</v>
      </c>
      <c r="C23" t="s">
        <v>166</v>
      </c>
      <c r="I23" s="44"/>
    </row>
    <row r="26" spans="1:9">
      <c r="B26" s="44" t="s">
        <v>17</v>
      </c>
    </row>
    <row r="27" spans="1:9">
      <c r="B27" t="s">
        <v>134</v>
      </c>
    </row>
    <row r="28" spans="1:9">
      <c r="B28" s="47"/>
      <c r="C28" s="44"/>
      <c r="D28" s="44"/>
      <c r="E28" s="47"/>
      <c r="F28" s="47"/>
    </row>
    <row r="33" spans="1:9" ht="120">
      <c r="B33" s="88" t="s">
        <v>135</v>
      </c>
      <c r="I33" s="88" t="s">
        <v>142</v>
      </c>
    </row>
    <row r="34" spans="1:9">
      <c r="B34" s="89" t="s">
        <v>136</v>
      </c>
      <c r="I34" t="s">
        <v>143</v>
      </c>
    </row>
    <row r="35" spans="1:9">
      <c r="B35" t="s">
        <v>137</v>
      </c>
      <c r="I35" t="s">
        <v>144</v>
      </c>
    </row>
    <row r="36" spans="1:9">
      <c r="B36" t="s">
        <v>138</v>
      </c>
    </row>
    <row r="38" spans="1:9">
      <c r="B38" t="s">
        <v>139</v>
      </c>
    </row>
    <row r="41" spans="1:9">
      <c r="A41" t="s">
        <v>140</v>
      </c>
      <c r="B41" t="s">
        <v>141</v>
      </c>
    </row>
    <row r="45" spans="1:9">
      <c r="A45" t="s">
        <v>163</v>
      </c>
      <c r="B45" t="s">
        <v>61</v>
      </c>
    </row>
    <row r="47" spans="1:9">
      <c r="A47" t="s">
        <v>178</v>
      </c>
      <c r="B47" t="s">
        <v>168</v>
      </c>
    </row>
    <row r="48" spans="1:9">
      <c r="A48" t="s">
        <v>167</v>
      </c>
      <c r="B48" t="s">
        <v>168</v>
      </c>
    </row>
    <row r="49" spans="1:2">
      <c r="A49" t="s">
        <v>48</v>
      </c>
      <c r="B49" t="s">
        <v>168</v>
      </c>
    </row>
    <row r="50" spans="1:2">
      <c r="A50" t="s">
        <v>170</v>
      </c>
      <c r="B50" t="s">
        <v>169</v>
      </c>
    </row>
    <row r="51" spans="1:2">
      <c r="A51" t="s">
        <v>193</v>
      </c>
      <c r="B51" t="s">
        <v>168</v>
      </c>
    </row>
    <row r="52" spans="1:2">
      <c r="A52" t="s">
        <v>204</v>
      </c>
      <c r="B52" t="s">
        <v>203</v>
      </c>
    </row>
    <row r="53" spans="1:2">
      <c r="A53" t="s">
        <v>207</v>
      </c>
      <c r="B53" t="s">
        <v>208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520"/>
  <sheetViews>
    <sheetView topLeftCell="A316" workbookViewId="0">
      <selection activeCell="G326" sqref="G326"/>
    </sheetView>
  </sheetViews>
  <sheetFormatPr defaultColWidth="11.42578125" defaultRowHeight="15"/>
  <cols>
    <col min="1" max="1" width="11.42578125" style="89"/>
    <col min="2" max="2" width="10.5703125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219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30" t="str">
        <f>AÑO!A20</f>
        <v>Cártama Gastos</v>
      </c>
      <c r="C2" s="419"/>
      <c r="D2" s="419"/>
      <c r="E2" s="419"/>
      <c r="F2" s="419"/>
      <c r="G2" s="420"/>
      <c r="H2" s="222"/>
      <c r="I2" s="418" t="s">
        <v>4</v>
      </c>
      <c r="J2" s="419"/>
      <c r="K2" s="419"/>
      <c r="L2" s="420"/>
      <c r="M2" s="1"/>
      <c r="N2" s="1"/>
      <c r="R2" s="3"/>
    </row>
    <row r="3" spans="1:22" ht="16.5" thickBot="1">
      <c r="A3" s="1"/>
      <c r="B3" s="421"/>
      <c r="C3" s="422"/>
      <c r="D3" s="422"/>
      <c r="E3" s="422"/>
      <c r="F3" s="422"/>
      <c r="G3" s="423"/>
      <c r="H3" s="1"/>
      <c r="I3" s="421"/>
      <c r="J3" s="422"/>
      <c r="K3" s="422"/>
      <c r="L3" s="423"/>
      <c r="M3" s="1"/>
      <c r="N3" s="1"/>
      <c r="R3" s="3"/>
    </row>
    <row r="4" spans="1:22" ht="15.75">
      <c r="A4" s="1"/>
      <c r="B4" s="431" t="s">
        <v>8</v>
      </c>
      <c r="C4" s="432"/>
      <c r="D4" s="433" t="s">
        <v>9</v>
      </c>
      <c r="E4" s="433"/>
      <c r="F4" s="433"/>
      <c r="G4" s="432"/>
      <c r="H4" s="222">
        <v>2018</v>
      </c>
      <c r="I4" s="40" t="s">
        <v>57</v>
      </c>
      <c r="J4" s="105" t="s">
        <v>58</v>
      </c>
      <c r="K4" s="424" t="s">
        <v>59</v>
      </c>
      <c r="L4" s="425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 t="s">
        <v>184</v>
      </c>
      <c r="I5" s="106" t="s">
        <v>60</v>
      </c>
      <c r="J5" s="107" t="s">
        <v>61</v>
      </c>
      <c r="K5" s="426">
        <v>2901.68</v>
      </c>
      <c r="L5" s="427"/>
      <c r="M5" s="1"/>
      <c r="N5" s="1"/>
      <c r="R5" s="3"/>
    </row>
    <row r="6" spans="1:22" ht="15.75">
      <c r="A6" s="112">
        <f>H6+(B6-SUM(D6:F6))</f>
        <v>6</v>
      </c>
      <c r="B6" s="133">
        <v>399.59</v>
      </c>
      <c r="C6" s="19" t="s">
        <v>181</v>
      </c>
      <c r="D6" s="137"/>
      <c r="E6" s="138">
        <v>399.59</v>
      </c>
      <c r="F6" s="138"/>
      <c r="G6" s="16" t="s">
        <v>32</v>
      </c>
      <c r="H6" s="112">
        <v>6</v>
      </c>
      <c r="I6" s="108" t="s">
        <v>60</v>
      </c>
      <c r="J6" s="107" t="s">
        <v>62</v>
      </c>
      <c r="K6" s="428">
        <v>620.05999999999995</v>
      </c>
      <c r="L6" s="429"/>
      <c r="M6" s="1" t="s">
        <v>165</v>
      </c>
      <c r="N6" s="1"/>
      <c r="R6" s="3"/>
    </row>
    <row r="7" spans="1:22" ht="15.75">
      <c r="A7" s="112">
        <f t="shared" ref="A7:A13" si="0">H7+(B7-SUM(D7:F7))</f>
        <v>509.45999999999992</v>
      </c>
      <c r="B7" s="134">
        <v>70.180000000000007</v>
      </c>
      <c r="C7" s="16" t="s">
        <v>200</v>
      </c>
      <c r="D7" s="137"/>
      <c r="E7" s="138"/>
      <c r="F7" s="138"/>
      <c r="G7" s="16" t="s">
        <v>74</v>
      </c>
      <c r="H7" s="112">
        <v>439.27999999999992</v>
      </c>
      <c r="I7" s="108" t="s">
        <v>63</v>
      </c>
      <c r="J7" s="107" t="s">
        <v>64</v>
      </c>
      <c r="K7" s="428">
        <v>8035.29</v>
      </c>
      <c r="L7" s="429"/>
      <c r="M7" s="1"/>
      <c r="N7" s="1"/>
      <c r="R7" s="3"/>
    </row>
    <row r="8" spans="1:22" ht="15.75">
      <c r="A8" s="112">
        <f t="shared" si="0"/>
        <v>0</v>
      </c>
      <c r="B8" s="134">
        <v>115.77</v>
      </c>
      <c r="C8" s="16" t="s">
        <v>35</v>
      </c>
      <c r="D8" s="137"/>
      <c r="F8" s="138"/>
      <c r="G8" s="16" t="s">
        <v>35</v>
      </c>
      <c r="H8" s="112">
        <v>-115.77</v>
      </c>
      <c r="I8" s="108" t="s">
        <v>63</v>
      </c>
      <c r="J8" s="107" t="s">
        <v>65</v>
      </c>
      <c r="K8" s="428">
        <v>7000</v>
      </c>
      <c r="L8" s="429"/>
      <c r="M8" s="1"/>
      <c r="N8" s="1"/>
      <c r="R8" s="3"/>
    </row>
    <row r="9" spans="1:22" ht="15.75">
      <c r="A9" s="112">
        <f t="shared" si="0"/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>
        <v>0</v>
      </c>
      <c r="I9" s="108" t="s">
        <v>63</v>
      </c>
      <c r="J9" s="107" t="s">
        <v>157</v>
      </c>
      <c r="K9" s="428">
        <v>659.39</v>
      </c>
      <c r="L9" s="429"/>
      <c r="M9" s="1"/>
      <c r="N9" s="1"/>
      <c r="R9" s="3"/>
    </row>
    <row r="10" spans="1:22" ht="15.75">
      <c r="A10" s="112">
        <f t="shared" si="0"/>
        <v>0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12">
        <v>0</v>
      </c>
      <c r="I10" s="108" t="s">
        <v>63</v>
      </c>
      <c r="J10" s="107" t="s">
        <v>81</v>
      </c>
      <c r="K10" s="428">
        <v>1800.04</v>
      </c>
      <c r="L10" s="429"/>
      <c r="M10" s="1" t="s">
        <v>156</v>
      </c>
      <c r="N10" s="1"/>
      <c r="R10" s="3"/>
    </row>
    <row r="11" spans="1:22" ht="15.75">
      <c r="A11" s="112">
        <f t="shared" si="0"/>
        <v>30.220000000000002</v>
      </c>
      <c r="B11" s="134">
        <v>30.23</v>
      </c>
      <c r="C11" s="16" t="s">
        <v>34</v>
      </c>
      <c r="D11" s="137"/>
      <c r="E11" s="138">
        <v>30.24</v>
      </c>
      <c r="F11" s="138"/>
      <c r="G11" s="16" t="s">
        <v>34</v>
      </c>
      <c r="H11" s="112">
        <v>30.23</v>
      </c>
      <c r="I11" s="108" t="s">
        <v>68</v>
      </c>
      <c r="J11" s="107" t="s">
        <v>69</v>
      </c>
      <c r="K11" s="428">
        <f>240+35</f>
        <v>275</v>
      </c>
      <c r="L11" s="429"/>
      <c r="M11" s="1"/>
      <c r="N11" s="1"/>
      <c r="R11" s="3"/>
    </row>
    <row r="12" spans="1:22" ht="15.75">
      <c r="A12" s="112">
        <f t="shared" si="0"/>
        <v>63.04000000000002</v>
      </c>
      <c r="B12" s="134">
        <v>25</v>
      </c>
      <c r="C12" s="16" t="s">
        <v>206</v>
      </c>
      <c r="D12" s="137"/>
      <c r="E12" s="138"/>
      <c r="F12" s="138"/>
      <c r="G12" s="16"/>
      <c r="H12" s="112">
        <v>38.04000000000002</v>
      </c>
      <c r="I12" s="108" t="s">
        <v>158</v>
      </c>
      <c r="J12" s="107" t="s">
        <v>159</v>
      </c>
      <c r="K12" s="428">
        <v>5092.08</v>
      </c>
      <c r="L12" s="429"/>
      <c r="M12" s="92"/>
      <c r="N12" s="1"/>
      <c r="R12" s="3"/>
    </row>
    <row r="13" spans="1:22" ht="15.75">
      <c r="A13" s="112">
        <f t="shared" si="0"/>
        <v>70</v>
      </c>
      <c r="B13" s="134">
        <v>7</v>
      </c>
      <c r="C13" s="16" t="s">
        <v>201</v>
      </c>
      <c r="D13" s="137"/>
      <c r="E13" s="138"/>
      <c r="F13" s="138"/>
      <c r="G13" s="16"/>
      <c r="H13" s="112">
        <v>63</v>
      </c>
      <c r="I13" s="108"/>
      <c r="J13" s="107"/>
      <c r="K13" s="428"/>
      <c r="L13" s="429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12"/>
      <c r="I14" s="108"/>
      <c r="J14" s="107"/>
      <c r="K14" s="428"/>
      <c r="L14" s="429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12"/>
      <c r="I15" s="108"/>
      <c r="J15" s="107"/>
      <c r="K15" s="428"/>
      <c r="L15" s="429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12"/>
      <c r="I16" s="108"/>
      <c r="J16" s="107"/>
      <c r="K16" s="428"/>
      <c r="L16" s="429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12"/>
      <c r="I17" s="108"/>
      <c r="J17" s="107"/>
      <c r="K17" s="428"/>
      <c r="L17" s="429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12"/>
      <c r="I18" s="109"/>
      <c r="J18" s="110"/>
      <c r="K18" s="434"/>
      <c r="L18" s="435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12"/>
      <c r="I19" s="26" t="s">
        <v>66</v>
      </c>
      <c r="J19" s="20"/>
      <c r="K19" s="434">
        <f>SUM(K5:K18)</f>
        <v>26383.54</v>
      </c>
      <c r="L19" s="435"/>
      <c r="M19" s="1"/>
      <c r="N19" s="1">
        <v>26293.569999999996</v>
      </c>
      <c r="R19" s="3"/>
    </row>
    <row r="20" spans="1:18" ht="16.5" thickBot="1">
      <c r="A20" s="112">
        <f>SUM(A6:A15)</f>
        <v>678.72</v>
      </c>
      <c r="B20" s="135">
        <f>SUM(B6:B19)</f>
        <v>659.77</v>
      </c>
      <c r="C20" s="17" t="s">
        <v>53</v>
      </c>
      <c r="D20" s="135">
        <f>SUM(D6:D19)</f>
        <v>0</v>
      </c>
      <c r="E20" s="135">
        <f>SUM(E6:E19)</f>
        <v>441.83</v>
      </c>
      <c r="F20" s="135">
        <f>SUM(F6:F19)</f>
        <v>0</v>
      </c>
      <c r="G20" s="17" t="s">
        <v>53</v>
      </c>
      <c r="H20" s="112">
        <v>460.78</v>
      </c>
      <c r="I20" s="89" t="s">
        <v>82</v>
      </c>
      <c r="K20" s="113"/>
      <c r="L20" s="113">
        <f>K19-K10-K12</f>
        <v>19491.419999999998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12"/>
      <c r="M21" s="1"/>
      <c r="R21" s="3"/>
    </row>
    <row r="22" spans="1:18" ht="15.6" customHeight="1">
      <c r="A22" s="1"/>
      <c r="B22" s="430" t="str">
        <f>AÑO!A21</f>
        <v>Waterloo</v>
      </c>
      <c r="C22" s="419"/>
      <c r="D22" s="419"/>
      <c r="E22" s="419"/>
      <c r="F22" s="419"/>
      <c r="G22" s="420"/>
      <c r="H22" s="112"/>
      <c r="I22" s="418" t="s">
        <v>6</v>
      </c>
      <c r="J22" s="419"/>
      <c r="K22" s="419"/>
      <c r="L22" s="420"/>
      <c r="M22" s="1"/>
      <c r="N22" s="113">
        <f>K19-N19</f>
        <v>89.970000000004802</v>
      </c>
      <c r="R22" s="3"/>
    </row>
    <row r="23" spans="1:18" ht="16.149999999999999" customHeight="1" thickBot="1">
      <c r="A23" s="1"/>
      <c r="B23" s="421"/>
      <c r="C23" s="422"/>
      <c r="D23" s="422"/>
      <c r="E23" s="422"/>
      <c r="F23" s="422"/>
      <c r="G23" s="423"/>
      <c r="H23" s="112"/>
      <c r="I23" s="421"/>
      <c r="J23" s="422"/>
      <c r="K23" s="422"/>
      <c r="L23" s="423"/>
      <c r="M23" s="1"/>
      <c r="R23" s="3"/>
    </row>
    <row r="24" spans="1:18" ht="15.75">
      <c r="A24" s="1"/>
      <c r="B24" s="431" t="s">
        <v>8</v>
      </c>
      <c r="C24" s="432"/>
      <c r="D24" s="433" t="s">
        <v>9</v>
      </c>
      <c r="E24" s="433"/>
      <c r="F24" s="433"/>
      <c r="G24" s="432"/>
      <c r="H24" s="112"/>
      <c r="I24" s="40" t="s">
        <v>31</v>
      </c>
      <c r="J24" s="403" t="s">
        <v>87</v>
      </c>
      <c r="K24" s="404"/>
      <c r="L24" s="197" t="s">
        <v>88</v>
      </c>
      <c r="M24" s="1"/>
      <c r="R24" s="3"/>
    </row>
    <row r="25" spans="1:18" ht="15.75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12" t="s">
        <v>184</v>
      </c>
      <c r="I25" s="405" t="str">
        <f>AÑO!A8</f>
        <v>Manolo Salario</v>
      </c>
      <c r="J25" s="408" t="s">
        <v>291</v>
      </c>
      <c r="K25" s="409"/>
      <c r="L25" s="198">
        <v>2593.46</v>
      </c>
      <c r="M25" s="1"/>
      <c r="R25" s="3"/>
    </row>
    <row r="26" spans="1:18" ht="15.75">
      <c r="A26" s="112">
        <f>H26+(B26-SUM(D26:F26))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12">
        <v>0</v>
      </c>
      <c r="I26" s="406"/>
      <c r="J26" s="410"/>
      <c r="K26" s="411"/>
      <c r="L26" s="229"/>
      <c r="M26" s="1"/>
      <c r="R26" s="3"/>
    </row>
    <row r="27" spans="1:18" ht="15.75">
      <c r="A27" s="112">
        <f t="shared" ref="A27:A30" si="1">H27+(B27-SUM(D27:F27))</f>
        <v>15</v>
      </c>
      <c r="B27" s="134">
        <v>170</v>
      </c>
      <c r="C27" s="27" t="s">
        <v>40</v>
      </c>
      <c r="D27" s="137">
        <v>167</v>
      </c>
      <c r="E27" s="138"/>
      <c r="F27" s="138"/>
      <c r="G27" s="16" t="s">
        <v>40</v>
      </c>
      <c r="H27" s="112">
        <v>12</v>
      </c>
      <c r="I27" s="406"/>
      <c r="J27" s="410"/>
      <c r="K27" s="411"/>
      <c r="L27" s="229"/>
      <c r="M27" s="1"/>
      <c r="R27" s="3"/>
    </row>
    <row r="28" spans="1:18" ht="15.75">
      <c r="A28" s="112">
        <f t="shared" si="1"/>
        <v>86.12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12">
        <v>46.120000000000005</v>
      </c>
      <c r="I28" s="406"/>
      <c r="J28" s="410"/>
      <c r="K28" s="411"/>
      <c r="L28" s="229"/>
      <c r="M28" s="1"/>
      <c r="R28" s="3"/>
    </row>
    <row r="29" spans="1:18" ht="15.75">
      <c r="A29" s="112">
        <f t="shared" si="1"/>
        <v>1.2300000000000004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12">
        <v>1.1799999999999997</v>
      </c>
      <c r="I29" s="414"/>
      <c r="J29" s="415"/>
      <c r="K29" s="416"/>
      <c r="L29" s="230"/>
      <c r="M29" s="1"/>
      <c r="R29" s="3"/>
    </row>
    <row r="30" spans="1:18" ht="15.75" customHeight="1">
      <c r="A30" s="112">
        <f t="shared" si="1"/>
        <v>593.55999999999995</v>
      </c>
      <c r="B30" s="134">
        <v>85</v>
      </c>
      <c r="C30" s="27" t="s">
        <v>42</v>
      </c>
      <c r="D30" s="137"/>
      <c r="E30" s="138"/>
      <c r="F30" s="138">
        <v>85</v>
      </c>
      <c r="G30" s="16" t="s">
        <v>296</v>
      </c>
      <c r="H30" s="112">
        <v>593.55999999999995</v>
      </c>
      <c r="I30" s="405" t="str">
        <f>AÑO!A9</f>
        <v>Rocío Salario</v>
      </c>
      <c r="J30" s="408" t="s">
        <v>238</v>
      </c>
      <c r="K30" s="409"/>
      <c r="L30" s="231">
        <v>350.59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12"/>
      <c r="I31" s="406"/>
      <c r="J31" s="410" t="s">
        <v>256</v>
      </c>
      <c r="K31" s="411"/>
      <c r="L31" s="229">
        <v>190.62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12"/>
      <c r="I32" s="406"/>
      <c r="J32" s="417" t="s">
        <v>267</v>
      </c>
      <c r="K32" s="411"/>
      <c r="L32" s="229">
        <v>114.38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12"/>
      <c r="I33" s="406"/>
      <c r="J33" s="410"/>
      <c r="K33" s="411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12"/>
      <c r="I34" s="414"/>
      <c r="J34" s="415"/>
      <c r="K34" s="416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12"/>
      <c r="I35" s="405" t="s">
        <v>218</v>
      </c>
      <c r="J35" s="408" t="s">
        <v>306</v>
      </c>
      <c r="K35" s="409"/>
      <c r="L35" s="231">
        <v>120.85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12"/>
      <c r="I36" s="406"/>
      <c r="J36" s="410"/>
      <c r="K36" s="411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12"/>
      <c r="I37" s="406"/>
      <c r="J37" s="410"/>
      <c r="K37" s="411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12"/>
      <c r="I38" s="406"/>
      <c r="J38" s="410"/>
      <c r="K38" s="411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12"/>
      <c r="I39" s="414"/>
      <c r="J39" s="415"/>
      <c r="K39" s="416"/>
      <c r="L39" s="230"/>
      <c r="M39" s="1"/>
      <c r="R39" s="3"/>
    </row>
    <row r="40" spans="1:18" ht="16.5" thickBot="1">
      <c r="A40" s="112">
        <f>SUM(A26:A35)</f>
        <v>695.91</v>
      </c>
      <c r="B40" s="135">
        <f>SUM(B26:B39)</f>
        <v>1213</v>
      </c>
      <c r="C40" s="17" t="s">
        <v>53</v>
      </c>
      <c r="D40" s="135">
        <f>SUM(D26:D39)</f>
        <v>1084.95</v>
      </c>
      <c r="E40" s="135">
        <f>SUM(E26:E39)</f>
        <v>0</v>
      </c>
      <c r="F40" s="135">
        <f>SUM(F26:F39)</f>
        <v>85</v>
      </c>
      <c r="G40" s="17" t="s">
        <v>53</v>
      </c>
      <c r="H40" s="112">
        <v>652.8599999999999</v>
      </c>
      <c r="I40" s="405" t="str">
        <f>AÑO!A11</f>
        <v>Finanazas</v>
      </c>
      <c r="J40" s="408" t="s">
        <v>239</v>
      </c>
      <c r="K40" s="409"/>
      <c r="L40" s="231">
        <v>1.98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12"/>
      <c r="I41" s="406"/>
      <c r="J41" s="410" t="s">
        <v>240</v>
      </c>
      <c r="K41" s="411"/>
      <c r="L41" s="229">
        <v>1.87</v>
      </c>
      <c r="M41" s="1"/>
      <c r="R41" s="3"/>
    </row>
    <row r="42" spans="1:18" ht="15.6" customHeight="1">
      <c r="A42" s="1"/>
      <c r="B42" s="430" t="str">
        <f>AÑO!A22</f>
        <v>Comida+Limpieza</v>
      </c>
      <c r="C42" s="419"/>
      <c r="D42" s="419"/>
      <c r="E42" s="419"/>
      <c r="F42" s="419"/>
      <c r="G42" s="420"/>
      <c r="H42" s="112"/>
      <c r="I42" s="406"/>
      <c r="J42" s="410" t="s">
        <v>269</v>
      </c>
      <c r="K42" s="411"/>
      <c r="L42" s="229">
        <v>0.02</v>
      </c>
      <c r="M42" s="1"/>
      <c r="R42" s="3"/>
    </row>
    <row r="43" spans="1:18" ht="16.149999999999999" customHeight="1" thickBot="1">
      <c r="A43" s="1"/>
      <c r="B43" s="421"/>
      <c r="C43" s="422"/>
      <c r="D43" s="422"/>
      <c r="E43" s="422"/>
      <c r="F43" s="422"/>
      <c r="G43" s="423"/>
      <c r="H43" s="112"/>
      <c r="I43" s="406"/>
      <c r="J43" s="410"/>
      <c r="K43" s="411"/>
      <c r="L43" s="229"/>
      <c r="M43" s="1"/>
      <c r="R43" s="3"/>
    </row>
    <row r="44" spans="1:18" ht="15.75">
      <c r="A44" s="1"/>
      <c r="B44" s="431" t="s">
        <v>8</v>
      </c>
      <c r="C44" s="432"/>
      <c r="D44" s="433" t="s">
        <v>9</v>
      </c>
      <c r="E44" s="433"/>
      <c r="F44" s="433"/>
      <c r="G44" s="432"/>
      <c r="H44" s="112"/>
      <c r="I44" s="414"/>
      <c r="J44" s="415"/>
      <c r="K44" s="416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12"/>
      <c r="I45" s="405" t="str">
        <f>AÑO!A12</f>
        <v>Regalos</v>
      </c>
      <c r="J45" s="408" t="s">
        <v>299</v>
      </c>
      <c r="K45" s="409"/>
      <c r="L45" s="231">
        <v>137</v>
      </c>
      <c r="M45" s="112">
        <f>600.04-L45</f>
        <v>463.03999999999996</v>
      </c>
      <c r="R45" s="3"/>
    </row>
    <row r="46" spans="1:18" ht="15.75">
      <c r="A46" s="1"/>
      <c r="B46" s="133">
        <v>439.65</v>
      </c>
      <c r="C46" s="19"/>
      <c r="D46" s="137">
        <v>31.03</v>
      </c>
      <c r="E46" s="138"/>
      <c r="F46" s="138"/>
      <c r="G46" s="30" t="s">
        <v>244</v>
      </c>
      <c r="H46" s="112"/>
      <c r="I46" s="406"/>
      <c r="J46" s="410"/>
      <c r="K46" s="411"/>
      <c r="L46" s="229"/>
      <c r="M46" s="1"/>
      <c r="R46" s="3"/>
    </row>
    <row r="47" spans="1:18" ht="15.75">
      <c r="A47" s="1"/>
      <c r="B47" s="134">
        <v>30.35</v>
      </c>
      <c r="C47" s="16" t="s">
        <v>78</v>
      </c>
      <c r="D47" s="137">
        <v>21.01</v>
      </c>
      <c r="E47" s="138"/>
      <c r="F47" s="138"/>
      <c r="G47" s="16" t="s">
        <v>247</v>
      </c>
      <c r="H47" s="112"/>
      <c r="I47" s="406"/>
      <c r="J47" s="410"/>
      <c r="K47" s="411"/>
      <c r="L47" s="229"/>
      <c r="M47" s="1"/>
      <c r="R47" s="3"/>
    </row>
    <row r="48" spans="1:18" ht="15.75">
      <c r="A48" s="1"/>
      <c r="B48" s="134"/>
      <c r="C48" s="16"/>
      <c r="D48" s="137"/>
      <c r="E48" s="138"/>
      <c r="F48" s="138">
        <v>5</v>
      </c>
      <c r="G48" s="16" t="s">
        <v>252</v>
      </c>
      <c r="H48" s="112"/>
      <c r="I48" s="406"/>
      <c r="J48" s="410"/>
      <c r="K48" s="411"/>
      <c r="L48" s="229"/>
      <c r="M48" s="1"/>
      <c r="R48" s="3"/>
    </row>
    <row r="49" spans="1:18" ht="15.75">
      <c r="A49" s="1"/>
      <c r="B49" s="134"/>
      <c r="C49" s="16"/>
      <c r="D49" s="137">
        <v>15.37</v>
      </c>
      <c r="E49" s="138"/>
      <c r="F49" s="138"/>
      <c r="G49" s="16" t="s">
        <v>249</v>
      </c>
      <c r="H49" s="112"/>
      <c r="I49" s="414"/>
      <c r="J49" s="415"/>
      <c r="K49" s="416"/>
      <c r="L49" s="230"/>
      <c r="M49" s="1"/>
      <c r="R49" s="3"/>
    </row>
    <row r="50" spans="1:18" ht="15.75">
      <c r="A50" s="1"/>
      <c r="B50" s="134"/>
      <c r="C50" s="16"/>
      <c r="D50" s="137">
        <v>29.45</v>
      </c>
      <c r="E50" s="138"/>
      <c r="F50" s="138"/>
      <c r="G50" s="16" t="s">
        <v>253</v>
      </c>
      <c r="H50" s="112"/>
      <c r="I50" s="405" t="str">
        <f>AÑO!A13</f>
        <v>Gubernamental</v>
      </c>
      <c r="J50" s="408" t="s">
        <v>259</v>
      </c>
      <c r="K50" s="409"/>
      <c r="L50" s="231">
        <v>95.8</v>
      </c>
      <c r="M50" s="1"/>
      <c r="R50" s="3"/>
    </row>
    <row r="51" spans="1:18" ht="15.75">
      <c r="A51" s="1"/>
      <c r="B51" s="134"/>
      <c r="C51" s="16"/>
      <c r="D51" s="137">
        <v>59.36</v>
      </c>
      <c r="E51" s="138"/>
      <c r="F51" s="138"/>
      <c r="G51" s="16" t="s">
        <v>261</v>
      </c>
      <c r="H51" s="112"/>
      <c r="I51" s="406"/>
      <c r="J51" s="410"/>
      <c r="K51" s="411"/>
      <c r="L51" s="229"/>
      <c r="M51" s="1"/>
      <c r="R51" s="3"/>
    </row>
    <row r="52" spans="1:18" ht="15.75">
      <c r="A52" s="1"/>
      <c r="B52" s="134"/>
      <c r="C52" s="16"/>
      <c r="D52" s="137">
        <v>121.4</v>
      </c>
      <c r="E52" s="138"/>
      <c r="F52" s="138"/>
      <c r="G52" s="16" t="s">
        <v>262</v>
      </c>
      <c r="H52" s="112"/>
      <c r="I52" s="406"/>
      <c r="J52" s="410"/>
      <c r="K52" s="411"/>
      <c r="L52" s="229"/>
      <c r="M52" s="1"/>
      <c r="R52" s="3"/>
    </row>
    <row r="53" spans="1:18" ht="15.75">
      <c r="A53" s="1"/>
      <c r="B53" s="134"/>
      <c r="C53" s="16"/>
      <c r="D53" s="137">
        <f>50.42-D367-D227</f>
        <v>39.92</v>
      </c>
      <c r="E53" s="138"/>
      <c r="F53" s="138"/>
      <c r="G53" s="16" t="s">
        <v>265</v>
      </c>
      <c r="H53" s="112"/>
      <c r="I53" s="406"/>
      <c r="J53" s="410"/>
      <c r="K53" s="411"/>
      <c r="L53" s="229"/>
      <c r="M53" s="1"/>
      <c r="R53" s="3"/>
    </row>
    <row r="54" spans="1:18" ht="15.75">
      <c r="A54" s="1"/>
      <c r="B54" s="134"/>
      <c r="C54" s="16"/>
      <c r="D54" s="137">
        <f>50.95</f>
        <v>50.95</v>
      </c>
      <c r="E54" s="138"/>
      <c r="F54" s="138"/>
      <c r="G54" s="16" t="s">
        <v>274</v>
      </c>
      <c r="H54" s="112"/>
      <c r="I54" s="414"/>
      <c r="J54" s="415"/>
      <c r="K54" s="416"/>
      <c r="L54" s="230"/>
      <c r="M54" s="1"/>
      <c r="R54" s="3"/>
    </row>
    <row r="55" spans="1:18" ht="15.75">
      <c r="A55" s="1"/>
      <c r="B55" s="134"/>
      <c r="C55" s="16"/>
      <c r="D55" s="137">
        <f>16.96</f>
        <v>16.96</v>
      </c>
      <c r="E55" s="138"/>
      <c r="F55" s="138"/>
      <c r="G55" s="16" t="s">
        <v>275</v>
      </c>
      <c r="H55" s="112"/>
      <c r="I55" s="405" t="str">
        <f>AÑO!A14</f>
        <v>Mutualite/DKV</v>
      </c>
      <c r="J55" s="408"/>
      <c r="K55" s="409"/>
      <c r="L55" s="231"/>
      <c r="M55" s="1"/>
      <c r="R55" s="3"/>
    </row>
    <row r="56" spans="1:18" ht="15.75">
      <c r="A56" s="1"/>
      <c r="B56" s="134"/>
      <c r="C56" s="16"/>
      <c r="D56" s="137">
        <f>20.5</f>
        <v>20.5</v>
      </c>
      <c r="E56" s="138"/>
      <c r="F56" s="138"/>
      <c r="G56" s="16" t="s">
        <v>277</v>
      </c>
      <c r="H56" s="112"/>
      <c r="I56" s="406"/>
      <c r="J56" s="410"/>
      <c r="K56" s="411"/>
      <c r="L56" s="229"/>
      <c r="M56" s="1"/>
      <c r="R56" s="3"/>
    </row>
    <row r="57" spans="1:18" ht="15.75">
      <c r="A57" s="1"/>
      <c r="B57" s="134"/>
      <c r="C57" s="16"/>
      <c r="D57" s="137">
        <f>48.43+53.44-D368</f>
        <v>67.87</v>
      </c>
      <c r="E57" s="138"/>
      <c r="F57" s="138"/>
      <c r="G57" s="16" t="s">
        <v>288</v>
      </c>
      <c r="H57" s="112"/>
      <c r="I57" s="406"/>
      <c r="J57" s="410"/>
      <c r="K57" s="411"/>
      <c r="L57" s="229"/>
      <c r="M57" s="1"/>
      <c r="R57" s="3"/>
    </row>
    <row r="58" spans="1:18" ht="15.75">
      <c r="A58" s="1"/>
      <c r="B58" s="134"/>
      <c r="C58" s="16"/>
      <c r="D58" s="137">
        <f>29.54</f>
        <v>29.54</v>
      </c>
      <c r="E58" s="138"/>
      <c r="F58" s="138"/>
      <c r="G58" s="16" t="s">
        <v>279</v>
      </c>
      <c r="H58" s="112"/>
      <c r="I58" s="406"/>
      <c r="J58" s="410"/>
      <c r="K58" s="411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12"/>
      <c r="I59" s="414"/>
      <c r="J59" s="415"/>
      <c r="K59" s="416"/>
      <c r="L59" s="230"/>
      <c r="M59" s="1"/>
      <c r="R59" s="3"/>
    </row>
    <row r="60" spans="1:18" ht="16.5" thickBot="1">
      <c r="A60" s="1"/>
      <c r="B60" s="135">
        <f>SUM(B46:B59)</f>
        <v>470</v>
      </c>
      <c r="C60" s="17" t="s">
        <v>53</v>
      </c>
      <c r="D60" s="135">
        <f>SUM(D46:D59)</f>
        <v>503.36</v>
      </c>
      <c r="E60" s="135">
        <f>SUM(E46:E59)</f>
        <v>0</v>
      </c>
      <c r="F60" s="135">
        <f>SUM(F46:F59)</f>
        <v>5</v>
      </c>
      <c r="G60" s="17" t="s">
        <v>53</v>
      </c>
      <c r="H60" s="112"/>
      <c r="I60" s="405" t="str">
        <f>AÑO!A15</f>
        <v>Alquiler Cartama</v>
      </c>
      <c r="J60" s="408"/>
      <c r="K60" s="409"/>
      <c r="L60" s="231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12"/>
      <c r="I61" s="406"/>
      <c r="J61" s="410"/>
      <c r="K61" s="411"/>
      <c r="L61" s="229"/>
      <c r="M61" s="1"/>
      <c r="R61" s="3"/>
    </row>
    <row r="62" spans="1:18" ht="15.6" customHeight="1">
      <c r="A62" s="1"/>
      <c r="B62" s="430" t="str">
        <f>AÑO!A23</f>
        <v>Ocio</v>
      </c>
      <c r="C62" s="419"/>
      <c r="D62" s="419"/>
      <c r="E62" s="419"/>
      <c r="F62" s="419"/>
      <c r="G62" s="420"/>
      <c r="H62" s="112"/>
      <c r="I62" s="406"/>
      <c r="J62" s="410"/>
      <c r="K62" s="411"/>
      <c r="L62" s="229"/>
      <c r="M62" s="1"/>
      <c r="R62" s="3"/>
    </row>
    <row r="63" spans="1:18" ht="16.149999999999999" customHeight="1" thickBot="1">
      <c r="A63" s="1"/>
      <c r="B63" s="421"/>
      <c r="C63" s="422"/>
      <c r="D63" s="422"/>
      <c r="E63" s="422"/>
      <c r="F63" s="422"/>
      <c r="G63" s="423"/>
      <c r="H63" s="112"/>
      <c r="I63" s="406"/>
      <c r="J63" s="410"/>
      <c r="K63" s="411"/>
      <c r="L63" s="229"/>
      <c r="M63" s="1"/>
      <c r="R63" s="3"/>
    </row>
    <row r="64" spans="1:18" ht="15.75">
      <c r="A64" s="1"/>
      <c r="B64" s="431" t="s">
        <v>8</v>
      </c>
      <c r="C64" s="432"/>
      <c r="D64" s="433" t="s">
        <v>9</v>
      </c>
      <c r="E64" s="433"/>
      <c r="F64" s="433"/>
      <c r="G64" s="432"/>
      <c r="H64" s="112"/>
      <c r="I64" s="414"/>
      <c r="J64" s="415"/>
      <c r="K64" s="416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12"/>
      <c r="I65" s="405" t="str">
        <f>AÑO!A16</f>
        <v>Otros</v>
      </c>
      <c r="J65" s="408" t="s">
        <v>296</v>
      </c>
      <c r="K65" s="409"/>
      <c r="L65" s="231">
        <v>85</v>
      </c>
      <c r="M65" s="1"/>
      <c r="R65" s="3"/>
    </row>
    <row r="66" spans="1:18" ht="15.75">
      <c r="A66" s="112">
        <f>H66+(B66-SUM(D66:F78))</f>
        <v>25.339999999999982</v>
      </c>
      <c r="B66" s="133">
        <v>150</v>
      </c>
      <c r="C66" s="19" t="s">
        <v>33</v>
      </c>
      <c r="D66" s="137">
        <v>29.46</v>
      </c>
      <c r="E66" s="138"/>
      <c r="F66" s="138"/>
      <c r="G66" s="19" t="s">
        <v>245</v>
      </c>
      <c r="H66" s="112">
        <v>42.13</v>
      </c>
      <c r="I66" s="406"/>
      <c r="J66" s="410"/>
      <c r="K66" s="411"/>
      <c r="L66" s="229"/>
      <c r="M66" s="1"/>
      <c r="R66" s="3"/>
    </row>
    <row r="67" spans="1:18" ht="15.75">
      <c r="A67" s="112"/>
      <c r="B67" s="134"/>
      <c r="C67" s="16"/>
      <c r="D67" s="137"/>
      <c r="E67" s="138"/>
      <c r="F67" s="138"/>
      <c r="G67" s="31"/>
      <c r="H67" s="112"/>
      <c r="I67" s="406"/>
      <c r="J67" s="410"/>
      <c r="K67" s="411"/>
      <c r="L67" s="229"/>
      <c r="M67" s="1"/>
      <c r="R67" s="3"/>
    </row>
    <row r="68" spans="1:18" ht="15.75">
      <c r="A68" s="112"/>
      <c r="B68" s="134"/>
      <c r="C68" s="16"/>
      <c r="D68" s="137">
        <v>30</v>
      </c>
      <c r="E68" s="138"/>
      <c r="F68" s="138"/>
      <c r="G68" s="16" t="s">
        <v>264</v>
      </c>
      <c r="H68" s="112"/>
      <c r="I68" s="406"/>
      <c r="J68" s="410"/>
      <c r="K68" s="411"/>
      <c r="L68" s="229"/>
      <c r="M68" s="1"/>
      <c r="R68" s="3"/>
    </row>
    <row r="69" spans="1:18" ht="16.5" thickBot="1">
      <c r="A69" s="112"/>
      <c r="B69" s="134"/>
      <c r="C69" s="16"/>
      <c r="D69" s="137"/>
      <c r="E69" s="138"/>
      <c r="F69" s="138">
        <v>15</v>
      </c>
      <c r="G69" s="16" t="s">
        <v>268</v>
      </c>
      <c r="H69" s="112"/>
      <c r="I69" s="407"/>
      <c r="J69" s="412"/>
      <c r="K69" s="413"/>
      <c r="L69" s="232"/>
      <c r="M69" s="1"/>
      <c r="R69" s="3"/>
    </row>
    <row r="70" spans="1:18" ht="15.75">
      <c r="A70" s="112"/>
      <c r="B70" s="134"/>
      <c r="C70" s="16"/>
      <c r="D70" s="137">
        <v>30.79</v>
      </c>
      <c r="E70" s="138"/>
      <c r="F70" s="138"/>
      <c r="G70" s="16" t="s">
        <v>266</v>
      </c>
      <c r="H70" s="112"/>
      <c r="M70" s="1"/>
      <c r="R70" s="3"/>
    </row>
    <row r="71" spans="1:18" ht="15.75">
      <c r="A71" s="112"/>
      <c r="B71" s="134"/>
      <c r="C71" s="16"/>
      <c r="D71" s="137"/>
      <c r="E71" s="138"/>
      <c r="F71" s="138">
        <v>12.5</v>
      </c>
      <c r="G71" s="16" t="s">
        <v>294</v>
      </c>
      <c r="H71" s="112"/>
      <c r="M71" s="1"/>
      <c r="R71" s="3"/>
    </row>
    <row r="72" spans="1:18" ht="15.75">
      <c r="A72" s="112"/>
      <c r="B72" s="134"/>
      <c r="C72" s="16"/>
      <c r="D72" s="137">
        <v>12.74</v>
      </c>
      <c r="E72" s="138"/>
      <c r="F72" s="138"/>
      <c r="G72" s="16" t="s">
        <v>295</v>
      </c>
      <c r="H72" s="112"/>
      <c r="M72" s="1"/>
      <c r="R72" s="3"/>
    </row>
    <row r="73" spans="1:18" ht="15.75">
      <c r="A73" s="112"/>
      <c r="B73" s="134"/>
      <c r="C73" s="16"/>
      <c r="D73" s="137">
        <v>36.299999999999997</v>
      </c>
      <c r="E73" s="138"/>
      <c r="F73" s="138"/>
      <c r="G73" s="16" t="s">
        <v>302</v>
      </c>
      <c r="H73" s="112"/>
      <c r="I73" s="87"/>
      <c r="M73" s="1"/>
      <c r="R73" s="3"/>
    </row>
    <row r="74" spans="1:18" ht="15.75">
      <c r="A74" s="112"/>
      <c r="B74" s="134"/>
      <c r="C74" s="16"/>
      <c r="D74" s="137"/>
      <c r="E74" s="138"/>
      <c r="F74" s="138"/>
      <c r="G74" s="16"/>
      <c r="H74" s="112"/>
      <c r="M74" s="1"/>
      <c r="R74" s="3"/>
    </row>
    <row r="75" spans="1:18" ht="15.75">
      <c r="A75" s="112"/>
      <c r="B75" s="134"/>
      <c r="C75" s="16"/>
      <c r="D75" s="137"/>
      <c r="E75" s="138"/>
      <c r="F75" s="138"/>
      <c r="G75" s="16"/>
      <c r="H75" s="112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12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12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12"/>
      <c r="M78" s="1"/>
      <c r="R78" s="3"/>
    </row>
    <row r="79" spans="1:18" ht="16.5" thickBot="1">
      <c r="A79" s="112">
        <f t="shared" ref="A79" si="2">H79+(B79-SUM(D79:F79))</f>
        <v>20</v>
      </c>
      <c r="B79" s="233">
        <v>20</v>
      </c>
      <c r="C79" s="17" t="s">
        <v>237</v>
      </c>
      <c r="D79" s="135"/>
      <c r="E79" s="139"/>
      <c r="F79" s="139"/>
      <c r="G79" s="17"/>
      <c r="H79" s="112"/>
      <c r="M79" s="1"/>
      <c r="R79" s="3"/>
    </row>
    <row r="80" spans="1:18" ht="16.5" thickBot="1">
      <c r="A80" s="112">
        <f>SUM(A66:A79)</f>
        <v>45.339999999999982</v>
      </c>
      <c r="B80" s="135">
        <f>SUM(B66:B79)</f>
        <v>170</v>
      </c>
      <c r="C80" s="17" t="s">
        <v>53</v>
      </c>
      <c r="D80" s="135">
        <f>SUM(D66:D79)</f>
        <v>139.29</v>
      </c>
      <c r="E80" s="135">
        <f>SUM(E66:E79)</f>
        <v>0</v>
      </c>
      <c r="F80" s="135">
        <f>SUM(F66:F79)</f>
        <v>27.5</v>
      </c>
      <c r="G80" s="17" t="s">
        <v>53</v>
      </c>
      <c r="H80" s="112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12"/>
      <c r="M81" s="1"/>
      <c r="R81" s="3"/>
    </row>
    <row r="82" spans="1:18" ht="15.6" customHeight="1">
      <c r="A82" s="1"/>
      <c r="B82" s="430" t="str">
        <f>AÑO!A24</f>
        <v>Transportes</v>
      </c>
      <c r="C82" s="419"/>
      <c r="D82" s="419"/>
      <c r="E82" s="419"/>
      <c r="F82" s="419"/>
      <c r="G82" s="420"/>
      <c r="H82" s="112"/>
      <c r="M82" s="1"/>
      <c r="R82" s="3"/>
    </row>
    <row r="83" spans="1:18" ht="16.149999999999999" customHeight="1" thickBot="1">
      <c r="A83" s="1"/>
      <c r="B83" s="421"/>
      <c r="C83" s="422"/>
      <c r="D83" s="422"/>
      <c r="E83" s="422"/>
      <c r="F83" s="422"/>
      <c r="G83" s="423"/>
      <c r="H83" s="112"/>
      <c r="M83" s="1"/>
      <c r="R83" s="3"/>
    </row>
    <row r="84" spans="1:18" ht="15.75">
      <c r="A84" s="1"/>
      <c r="B84" s="431" t="s">
        <v>8</v>
      </c>
      <c r="C84" s="432"/>
      <c r="D84" s="433" t="s">
        <v>9</v>
      </c>
      <c r="E84" s="433"/>
      <c r="F84" s="433"/>
      <c r="G84" s="432"/>
      <c r="H84" s="112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12"/>
      <c r="M85" s="1"/>
      <c r="R85" s="3"/>
    </row>
    <row r="86" spans="1:18" ht="15.75">
      <c r="A86" s="1"/>
      <c r="B86" s="133">
        <v>160</v>
      </c>
      <c r="C86" s="19" t="s">
        <v>202</v>
      </c>
      <c r="D86" s="137"/>
      <c r="E86" s="138">
        <v>2</v>
      </c>
      <c r="F86" s="138"/>
      <c r="G86" s="16" t="s">
        <v>260</v>
      </c>
      <c r="H86" s="112"/>
      <c r="M86" s="1"/>
      <c r="R86" s="3"/>
    </row>
    <row r="87" spans="1:18" ht="15.75">
      <c r="A87" s="1"/>
      <c r="B87" s="134"/>
      <c r="C87" s="16"/>
      <c r="D87" s="137">
        <v>45</v>
      </c>
      <c r="E87" s="138"/>
      <c r="F87" s="138"/>
      <c r="G87" s="16" t="s">
        <v>263</v>
      </c>
      <c r="H87" s="112"/>
      <c r="M87" s="1"/>
      <c r="R87" s="3"/>
    </row>
    <row r="88" spans="1:18" ht="15.75">
      <c r="A88" s="1"/>
      <c r="B88" s="134"/>
      <c r="C88" s="16"/>
      <c r="D88" s="137">
        <v>44.31</v>
      </c>
      <c r="E88" s="138"/>
      <c r="F88" s="138"/>
      <c r="G88" s="16" t="s">
        <v>284</v>
      </c>
      <c r="H88" s="112"/>
      <c r="M88" s="1"/>
      <c r="R88" s="3"/>
    </row>
    <row r="89" spans="1:18" ht="15.75">
      <c r="A89" s="1"/>
      <c r="B89" s="134"/>
      <c r="C89" s="16"/>
      <c r="D89" s="137"/>
      <c r="E89" s="138">
        <v>1.3</v>
      </c>
      <c r="F89" s="138"/>
      <c r="G89" s="16" t="s">
        <v>298</v>
      </c>
      <c r="H89" s="112"/>
      <c r="M89" s="1"/>
      <c r="R89" s="3"/>
    </row>
    <row r="90" spans="1:18" ht="15.75">
      <c r="A90" s="1"/>
      <c r="B90" s="134"/>
      <c r="C90" s="16"/>
      <c r="D90" s="137">
        <v>52.4</v>
      </c>
      <c r="E90" s="138"/>
      <c r="F90" s="138"/>
      <c r="G90" s="16" t="s">
        <v>301</v>
      </c>
      <c r="H90" s="112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12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12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12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12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12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12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12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12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12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141.71</v>
      </c>
      <c r="E100" s="135">
        <f>SUM(E86:E99)</f>
        <v>3.3</v>
      </c>
      <c r="F100" s="135">
        <f>SUM(F86:F99)</f>
        <v>0</v>
      </c>
      <c r="G100" s="17" t="s">
        <v>53</v>
      </c>
      <c r="H100" s="112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12"/>
      <c r="M101" s="1"/>
      <c r="R101" s="3"/>
    </row>
    <row r="102" spans="1:18" ht="15.6" customHeight="1">
      <c r="A102" s="1"/>
      <c r="B102" s="430" t="str">
        <f>AÑO!A25</f>
        <v>Coche</v>
      </c>
      <c r="C102" s="419"/>
      <c r="D102" s="419"/>
      <c r="E102" s="419"/>
      <c r="F102" s="419"/>
      <c r="G102" s="420"/>
      <c r="H102" s="112"/>
      <c r="M102" s="1"/>
      <c r="R102" s="3"/>
    </row>
    <row r="103" spans="1:18" ht="16.149999999999999" customHeight="1" thickBot="1">
      <c r="A103" s="1"/>
      <c r="B103" s="421"/>
      <c r="C103" s="422"/>
      <c r="D103" s="422"/>
      <c r="E103" s="422"/>
      <c r="F103" s="422"/>
      <c r="G103" s="423"/>
      <c r="H103" s="112"/>
      <c r="M103" s="1"/>
      <c r="R103" s="3"/>
    </row>
    <row r="104" spans="1:18" ht="15.75">
      <c r="A104" s="1"/>
      <c r="B104" s="431" t="s">
        <v>8</v>
      </c>
      <c r="C104" s="432"/>
      <c r="D104" s="433" t="s">
        <v>9</v>
      </c>
      <c r="E104" s="433"/>
      <c r="F104" s="433"/>
      <c r="G104" s="432"/>
      <c r="H104" s="112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12" t="s">
        <v>184</v>
      </c>
      <c r="M105" s="1"/>
      <c r="R105" s="3"/>
    </row>
    <row r="106" spans="1:18" ht="15.75">
      <c r="A106" s="112">
        <f>H106+(B106-SUM(D106:F106))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12">
        <v>0</v>
      </c>
      <c r="M106" s="1"/>
      <c r="R106" s="3"/>
    </row>
    <row r="107" spans="1:18" ht="15.75">
      <c r="A107" s="112">
        <f t="shared" ref="A107:A109" si="3">H107+(B107-SUM(D107:F107))</f>
        <v>1.4800000000000182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12">
        <v>1.3900000000000148</v>
      </c>
      <c r="M107" s="1"/>
      <c r="R107" s="3"/>
    </row>
    <row r="108" spans="1:18" ht="15.75">
      <c r="A108" s="112">
        <f t="shared" si="3"/>
        <v>247.09999999999991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12">
        <v>197.09999999999991</v>
      </c>
      <c r="M108" s="1"/>
      <c r="R108" s="3"/>
    </row>
    <row r="109" spans="1:18" ht="15.75">
      <c r="A109" s="112">
        <f t="shared" si="3"/>
        <v>2991.5900000000006</v>
      </c>
      <c r="B109" s="134">
        <v>27.53</v>
      </c>
      <c r="C109" s="18" t="s">
        <v>205</v>
      </c>
      <c r="D109" s="137"/>
      <c r="E109" s="138"/>
      <c r="F109" s="138"/>
      <c r="G109" s="31"/>
      <c r="H109" s="112">
        <v>2964.0600000000004</v>
      </c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12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12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12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12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12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12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12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12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12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12"/>
      <c r="M119" s="1"/>
      <c r="R119" s="3"/>
    </row>
    <row r="120" spans="1:18" ht="16.5" thickBot="1">
      <c r="A120" s="113">
        <f>SUM(A106:A109)</f>
        <v>3240.1700000000005</v>
      </c>
      <c r="B120" s="135">
        <f>SUM(B106:B119)</f>
        <v>405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12">
        <v>3162.55</v>
      </c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12"/>
      <c r="M121" s="1"/>
      <c r="R121" s="3"/>
    </row>
    <row r="122" spans="1:18" ht="15.6" customHeight="1">
      <c r="A122" s="1"/>
      <c r="B122" s="430" t="str">
        <f>AÑO!A26</f>
        <v>Teléfono</v>
      </c>
      <c r="C122" s="419"/>
      <c r="D122" s="419"/>
      <c r="E122" s="419"/>
      <c r="F122" s="419"/>
      <c r="G122" s="420"/>
      <c r="H122" s="112"/>
      <c r="M122" s="1"/>
      <c r="R122" s="3"/>
    </row>
    <row r="123" spans="1:18" ht="16.149999999999999" customHeight="1" thickBot="1">
      <c r="A123" s="1"/>
      <c r="B123" s="421"/>
      <c r="C123" s="422"/>
      <c r="D123" s="422"/>
      <c r="E123" s="422"/>
      <c r="F123" s="422"/>
      <c r="G123" s="423"/>
      <c r="H123" s="112"/>
      <c r="M123" s="1"/>
      <c r="R123" s="3"/>
    </row>
    <row r="124" spans="1:18" ht="15.75">
      <c r="A124" s="1"/>
      <c r="B124" s="431" t="s">
        <v>8</v>
      </c>
      <c r="C124" s="432"/>
      <c r="D124" s="433" t="s">
        <v>9</v>
      </c>
      <c r="E124" s="433"/>
      <c r="F124" s="433"/>
      <c r="G124" s="432"/>
      <c r="H124" s="112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12"/>
      <c r="M125" s="1"/>
      <c r="R125" s="3"/>
    </row>
    <row r="126" spans="1:18" ht="15.75">
      <c r="A126" s="1"/>
      <c r="B126" s="133">
        <v>27.5</v>
      </c>
      <c r="C126" s="19" t="s">
        <v>46</v>
      </c>
      <c r="D126" s="137">
        <v>27.5</v>
      </c>
      <c r="E126" s="138"/>
      <c r="F126" s="138"/>
      <c r="G126" s="16" t="s">
        <v>46</v>
      </c>
      <c r="H126" s="112"/>
      <c r="M126" s="1"/>
      <c r="R126" s="3"/>
    </row>
    <row r="127" spans="1:18" ht="15.75">
      <c r="A127" s="1"/>
      <c r="B127" s="134">
        <v>12.5</v>
      </c>
      <c r="C127" s="16" t="s">
        <v>47</v>
      </c>
      <c r="D127" s="137">
        <v>15</v>
      </c>
      <c r="E127" s="138"/>
      <c r="F127" s="138"/>
      <c r="G127" s="16" t="s">
        <v>151</v>
      </c>
      <c r="H127" s="112"/>
      <c r="M127" s="1"/>
      <c r="R127" s="3"/>
    </row>
    <row r="128" spans="1:18" ht="15.75">
      <c r="A128" s="1"/>
      <c r="B128" s="134">
        <v>8</v>
      </c>
      <c r="C128" s="16" t="s">
        <v>162</v>
      </c>
      <c r="D128" s="137">
        <v>10</v>
      </c>
      <c r="E128" s="138"/>
      <c r="F128" s="138"/>
      <c r="G128" s="16" t="s">
        <v>153</v>
      </c>
      <c r="H128" s="112"/>
      <c r="M128" s="1"/>
      <c r="R128" s="3"/>
    </row>
    <row r="129" spans="1:18" ht="15.75">
      <c r="A129" s="1"/>
      <c r="B129" s="134"/>
      <c r="C129" s="16"/>
      <c r="D129" s="137"/>
      <c r="E129" s="138">
        <v>7.99</v>
      </c>
      <c r="F129" s="138"/>
      <c r="G129" s="16" t="s">
        <v>162</v>
      </c>
      <c r="H129" s="112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12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12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12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12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12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12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12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12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12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12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52.5</v>
      </c>
      <c r="E140" s="135">
        <f>SUM(E126:E139)</f>
        <v>7.99</v>
      </c>
      <c r="F140" s="135">
        <f>SUM(F126:F139)</f>
        <v>0</v>
      </c>
      <c r="G140" s="17" t="s">
        <v>53</v>
      </c>
      <c r="H140" s="112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12"/>
      <c r="M141" s="1"/>
      <c r="R141" s="3"/>
    </row>
    <row r="142" spans="1:18" ht="15.6" customHeight="1">
      <c r="A142" s="1"/>
      <c r="B142" s="430" t="str">
        <f>AÑO!A27</f>
        <v>Gatos</v>
      </c>
      <c r="C142" s="419"/>
      <c r="D142" s="419"/>
      <c r="E142" s="419"/>
      <c r="F142" s="419"/>
      <c r="G142" s="420"/>
      <c r="H142" s="112"/>
      <c r="M142" s="1"/>
      <c r="R142" s="3"/>
    </row>
    <row r="143" spans="1:18" ht="16.149999999999999" customHeight="1" thickBot="1">
      <c r="A143" s="1"/>
      <c r="B143" s="421"/>
      <c r="C143" s="422"/>
      <c r="D143" s="422"/>
      <c r="E143" s="422"/>
      <c r="F143" s="422"/>
      <c r="G143" s="423"/>
      <c r="H143" s="112"/>
      <c r="M143" s="1"/>
      <c r="R143" s="3"/>
    </row>
    <row r="144" spans="1:18" ht="15.75">
      <c r="A144" s="1"/>
      <c r="B144" s="431" t="s">
        <v>8</v>
      </c>
      <c r="C144" s="432"/>
      <c r="D144" s="433" t="s">
        <v>9</v>
      </c>
      <c r="E144" s="433"/>
      <c r="F144" s="433"/>
      <c r="G144" s="432"/>
      <c r="H144" s="112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12"/>
      <c r="M145" s="1"/>
      <c r="R145" s="3"/>
    </row>
    <row r="146" spans="1:22" ht="15.75">
      <c r="A146" s="1"/>
      <c r="B146" s="133">
        <v>50</v>
      </c>
      <c r="C146" s="19" t="s">
        <v>175</v>
      </c>
      <c r="D146" s="137">
        <v>23.67</v>
      </c>
      <c r="E146" s="138"/>
      <c r="F146" s="138"/>
      <c r="G146" s="16" t="s">
        <v>278</v>
      </c>
      <c r="H146" s="112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12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12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12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12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12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12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12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12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12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12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12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12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12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23.67</v>
      </c>
      <c r="E160" s="135">
        <f>SUM(E146:E159)</f>
        <v>0</v>
      </c>
      <c r="F160" s="135">
        <f>SUM(F146:F159)</f>
        <v>0</v>
      </c>
      <c r="G160" s="17" t="s">
        <v>53</v>
      </c>
      <c r="H160" s="112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12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30" t="str">
        <f>AÑO!A28</f>
        <v>Vacaciones</v>
      </c>
      <c r="C162" s="419"/>
      <c r="D162" s="419"/>
      <c r="E162" s="419"/>
      <c r="F162" s="419"/>
      <c r="G162" s="420"/>
      <c r="H162" s="112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21"/>
      <c r="C163" s="422"/>
      <c r="D163" s="422"/>
      <c r="E163" s="422"/>
      <c r="F163" s="422"/>
      <c r="G163" s="423"/>
      <c r="H163" s="112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31" t="s">
        <v>8</v>
      </c>
      <c r="C164" s="432"/>
      <c r="D164" s="433" t="s">
        <v>9</v>
      </c>
      <c r="E164" s="433"/>
      <c r="F164" s="433"/>
      <c r="G164" s="432"/>
      <c r="H164" s="112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89" t="s">
        <v>184</v>
      </c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12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12">
        <f>AÑO!B28+(B166-SUM(D166:F172))</f>
        <v>427.65000000000009</v>
      </c>
      <c r="B166" s="133">
        <v>200</v>
      </c>
      <c r="C166" s="19" t="s">
        <v>33</v>
      </c>
      <c r="D166" s="137"/>
      <c r="E166" s="138">
        <v>374.2</v>
      </c>
      <c r="F166" s="138"/>
      <c r="G166" s="16" t="s">
        <v>242</v>
      </c>
      <c r="H166" s="112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12"/>
      <c r="B167" s="134"/>
      <c r="C167" s="16"/>
      <c r="D167" s="137"/>
      <c r="E167" s="138">
        <v>7.2</v>
      </c>
      <c r="F167" s="138"/>
      <c r="G167" s="16" t="s">
        <v>305</v>
      </c>
      <c r="H167" s="11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12"/>
      <c r="B168" s="134"/>
      <c r="C168" s="16"/>
      <c r="D168" s="137"/>
      <c r="E168" s="138"/>
      <c r="F168" s="138"/>
      <c r="G168" s="16"/>
      <c r="H168" s="112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12"/>
      <c r="B169" s="134"/>
      <c r="C169" s="16"/>
      <c r="D169" s="137"/>
      <c r="E169" s="138"/>
      <c r="F169" s="138"/>
      <c r="G169" s="16"/>
      <c r="H169" s="112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B170" s="134"/>
      <c r="C170" s="16"/>
      <c r="D170" s="137"/>
      <c r="E170" s="138"/>
      <c r="F170" s="138"/>
      <c r="G170" s="16"/>
      <c r="H170" s="11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B171" s="134"/>
      <c r="C171" s="16"/>
      <c r="D171" s="137"/>
      <c r="E171" s="138"/>
      <c r="F171" s="138"/>
      <c r="G171" s="16"/>
      <c r="H171" s="11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B172" s="134"/>
      <c r="C172" s="16"/>
      <c r="D172" s="137"/>
      <c r="E172" s="138"/>
      <c r="F172" s="138"/>
      <c r="G172" s="16"/>
      <c r="H172" s="11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12">
        <f>0+(B173-SUM(D173:F179))</f>
        <v>0</v>
      </c>
      <c r="B173" s="134"/>
      <c r="C173" s="16"/>
      <c r="D173" s="137"/>
      <c r="E173" s="138"/>
      <c r="F173" s="138"/>
      <c r="G173" s="16"/>
      <c r="H173" s="112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B174" s="134"/>
      <c r="C174" s="16"/>
      <c r="D174" s="137"/>
      <c r="E174" s="138"/>
      <c r="F174" s="138"/>
      <c r="G174" s="16"/>
      <c r="H174" s="112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B175" s="134"/>
      <c r="C175" s="16"/>
      <c r="D175" s="137"/>
      <c r="E175" s="138"/>
      <c r="F175" s="138"/>
      <c r="G175" s="16"/>
      <c r="H175" s="112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B176" s="134"/>
      <c r="C176" s="16"/>
      <c r="D176" s="137"/>
      <c r="E176" s="138"/>
      <c r="F176" s="138"/>
      <c r="G176" s="16"/>
      <c r="H176" s="112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B177" s="134"/>
      <c r="C177" s="16"/>
      <c r="D177" s="137"/>
      <c r="E177" s="138"/>
      <c r="F177" s="138"/>
      <c r="G177" s="16"/>
      <c r="H177" s="112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B178" s="134"/>
      <c r="C178" s="16"/>
      <c r="D178" s="137"/>
      <c r="E178" s="138"/>
      <c r="F178" s="138"/>
      <c r="G178" s="16"/>
      <c r="H178" s="112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B179" s="135"/>
      <c r="C179" s="17"/>
      <c r="D179" s="135"/>
      <c r="E179" s="139"/>
      <c r="F179" s="139"/>
      <c r="G179" s="17"/>
      <c r="H179" s="112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13">
        <f>SUM(A166:A168)</f>
        <v>427.65000000000009</v>
      </c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381.4</v>
      </c>
      <c r="F180" s="135">
        <f>SUM(F166:F179)</f>
        <v>0</v>
      </c>
      <c r="G180" s="17" t="s">
        <v>53</v>
      </c>
      <c r="H180" s="112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12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30" t="str">
        <f>AÑO!A29</f>
        <v>Ropa</v>
      </c>
      <c r="C182" s="419"/>
      <c r="D182" s="419"/>
      <c r="E182" s="419"/>
      <c r="F182" s="419"/>
      <c r="G182" s="420"/>
      <c r="H182" s="112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21"/>
      <c r="C183" s="422"/>
      <c r="D183" s="422"/>
      <c r="E183" s="422"/>
      <c r="F183" s="422"/>
      <c r="G183" s="423"/>
      <c r="H183" s="112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31" t="s">
        <v>8</v>
      </c>
      <c r="C184" s="432"/>
      <c r="D184" s="433" t="s">
        <v>9</v>
      </c>
      <c r="E184" s="433"/>
      <c r="F184" s="433"/>
      <c r="G184" s="432"/>
      <c r="H184" s="11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1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/>
      <c r="E186" s="138">
        <v>45.97</v>
      </c>
      <c r="F186" s="138"/>
      <c r="G186" s="16" t="s">
        <v>276</v>
      </c>
      <c r="H186" s="11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1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H188" s="112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H189" s="112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H190" s="112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H191" s="112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H192" s="112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H193" s="112"/>
      <c r="I193" s="1"/>
      <c r="J193" s="1"/>
      <c r="K193" s="1"/>
      <c r="L193" s="1"/>
    </row>
    <row r="194" spans="2:12" ht="15.75">
      <c r="B194" s="134"/>
      <c r="C194" s="16"/>
      <c r="D194" s="137"/>
      <c r="E194" s="138"/>
      <c r="F194" s="138"/>
      <c r="G194" s="16"/>
      <c r="H194" s="112"/>
    </row>
    <row r="195" spans="2:12" ht="15.75">
      <c r="B195" s="134"/>
      <c r="C195" s="16"/>
      <c r="D195" s="137"/>
      <c r="E195" s="138"/>
      <c r="F195" s="138"/>
      <c r="G195" s="16"/>
      <c r="H195" s="112"/>
    </row>
    <row r="196" spans="2:12" ht="15.75">
      <c r="B196" s="134"/>
      <c r="C196" s="16"/>
      <c r="D196" s="137"/>
      <c r="E196" s="138"/>
      <c r="F196" s="138"/>
      <c r="G196" s="16"/>
      <c r="H196" s="112"/>
    </row>
    <row r="197" spans="2:12" ht="15.75">
      <c r="B197" s="134"/>
      <c r="C197" s="16"/>
      <c r="D197" s="137"/>
      <c r="E197" s="138"/>
      <c r="F197" s="138"/>
      <c r="G197" s="16"/>
      <c r="H197" s="112"/>
    </row>
    <row r="198" spans="2:12" ht="15.75">
      <c r="B198" s="134"/>
      <c r="C198" s="16"/>
      <c r="D198" s="137"/>
      <c r="E198" s="138"/>
      <c r="F198" s="138"/>
      <c r="G198" s="16"/>
      <c r="H198" s="112"/>
    </row>
    <row r="199" spans="2:12" ht="16.5" thickBot="1">
      <c r="B199" s="135"/>
      <c r="C199" s="17"/>
      <c r="D199" s="135"/>
      <c r="E199" s="139"/>
      <c r="F199" s="139"/>
      <c r="G199" s="17"/>
      <c r="H199" s="112"/>
    </row>
    <row r="200" spans="2:12" ht="16.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45.97</v>
      </c>
      <c r="F200" s="135">
        <f>SUM(F186:F199)</f>
        <v>0</v>
      </c>
      <c r="G200" s="17" t="s">
        <v>53</v>
      </c>
      <c r="H200" s="112"/>
    </row>
    <row r="201" spans="2:12" ht="16.5" thickBot="1">
      <c r="B201" s="5"/>
      <c r="C201" s="3"/>
      <c r="D201" s="5"/>
      <c r="E201" s="5"/>
      <c r="H201" s="112"/>
    </row>
    <row r="202" spans="2:12" ht="14.45" customHeight="1">
      <c r="B202" s="430" t="str">
        <f>AÑO!A30</f>
        <v>Belleza</v>
      </c>
      <c r="C202" s="419"/>
      <c r="D202" s="419"/>
      <c r="E202" s="419"/>
      <c r="F202" s="419"/>
      <c r="G202" s="420"/>
      <c r="H202" s="112"/>
    </row>
    <row r="203" spans="2:12" ht="15" customHeight="1" thickBot="1">
      <c r="B203" s="421"/>
      <c r="C203" s="422"/>
      <c r="D203" s="422"/>
      <c r="E203" s="422"/>
      <c r="F203" s="422"/>
      <c r="G203" s="423"/>
      <c r="H203" s="112"/>
    </row>
    <row r="204" spans="2:12" ht="15.75">
      <c r="B204" s="431" t="s">
        <v>8</v>
      </c>
      <c r="C204" s="432"/>
      <c r="D204" s="433" t="s">
        <v>9</v>
      </c>
      <c r="E204" s="433"/>
      <c r="F204" s="433"/>
      <c r="G204" s="432"/>
      <c r="H204" s="112"/>
    </row>
    <row r="205" spans="2:12" ht="15.75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  <c r="H205" s="112"/>
    </row>
    <row r="206" spans="2:12" ht="15.75">
      <c r="B206" s="133">
        <v>35</v>
      </c>
      <c r="C206" s="19"/>
      <c r="D206" s="137">
        <v>42.06</v>
      </c>
      <c r="E206" s="138"/>
      <c r="F206" s="138"/>
      <c r="G206" s="16" t="s">
        <v>286</v>
      </c>
      <c r="H206" s="112"/>
    </row>
    <row r="207" spans="2:12" ht="15.75">
      <c r="B207" s="134"/>
      <c r="C207" s="16"/>
      <c r="D207" s="137"/>
      <c r="E207" s="138"/>
      <c r="F207" s="138"/>
      <c r="G207" s="16"/>
      <c r="H207" s="112"/>
    </row>
    <row r="208" spans="2:12" ht="15.75">
      <c r="B208" s="134"/>
      <c r="C208" s="16"/>
      <c r="D208" s="137"/>
      <c r="E208" s="138"/>
      <c r="F208" s="138"/>
      <c r="G208" s="16"/>
      <c r="H208" s="112"/>
    </row>
    <row r="209" spans="2:8" ht="15.75">
      <c r="B209" s="134"/>
      <c r="C209" s="16"/>
      <c r="D209" s="137"/>
      <c r="E209" s="138"/>
      <c r="F209" s="138"/>
      <c r="G209" s="16"/>
      <c r="H209" s="112"/>
    </row>
    <row r="210" spans="2:8" ht="15.75">
      <c r="B210" s="134"/>
      <c r="C210" s="16"/>
      <c r="D210" s="137"/>
      <c r="E210" s="138"/>
      <c r="F210" s="138"/>
      <c r="G210" s="16"/>
      <c r="H210" s="112"/>
    </row>
    <row r="211" spans="2:8" ht="15.75">
      <c r="B211" s="134"/>
      <c r="C211" s="16"/>
      <c r="D211" s="137"/>
      <c r="E211" s="138"/>
      <c r="F211" s="138"/>
      <c r="G211" s="16"/>
      <c r="H211" s="112"/>
    </row>
    <row r="212" spans="2:8" ht="15.75">
      <c r="B212" s="134"/>
      <c r="C212" s="16"/>
      <c r="D212" s="137"/>
      <c r="E212" s="138"/>
      <c r="F212" s="138"/>
      <c r="G212" s="16"/>
      <c r="H212" s="112"/>
    </row>
    <row r="213" spans="2:8" ht="15.75">
      <c r="B213" s="134"/>
      <c r="C213" s="16"/>
      <c r="D213" s="137"/>
      <c r="E213" s="138"/>
      <c r="F213" s="138"/>
      <c r="G213" s="16"/>
      <c r="H213" s="112"/>
    </row>
    <row r="214" spans="2:8" ht="15.75">
      <c r="B214" s="134"/>
      <c r="C214" s="16"/>
      <c r="D214" s="137"/>
      <c r="E214" s="138"/>
      <c r="F214" s="138"/>
      <c r="G214" s="16"/>
      <c r="H214" s="112"/>
    </row>
    <row r="215" spans="2:8" ht="15.75">
      <c r="B215" s="134"/>
      <c r="C215" s="16"/>
      <c r="D215" s="137"/>
      <c r="E215" s="138"/>
      <c r="F215" s="138"/>
      <c r="G215" s="16"/>
      <c r="H215" s="112"/>
    </row>
    <row r="216" spans="2:8" ht="15.75">
      <c r="B216" s="134"/>
      <c r="C216" s="16"/>
      <c r="D216" s="137"/>
      <c r="E216" s="138"/>
      <c r="F216" s="138"/>
      <c r="G216" s="16"/>
      <c r="H216" s="112"/>
    </row>
    <row r="217" spans="2:8" ht="15.75">
      <c r="B217" s="134"/>
      <c r="C217" s="16"/>
      <c r="D217" s="137"/>
      <c r="E217" s="138"/>
      <c r="F217" s="138"/>
      <c r="G217" s="16"/>
      <c r="H217" s="112"/>
    </row>
    <row r="218" spans="2:8" ht="15.75">
      <c r="B218" s="134"/>
      <c r="C218" s="16"/>
      <c r="D218" s="137"/>
      <c r="E218" s="138"/>
      <c r="F218" s="138"/>
      <c r="G218" s="16"/>
      <c r="H218" s="112"/>
    </row>
    <row r="219" spans="2:8" ht="16.5" thickBot="1">
      <c r="B219" s="135"/>
      <c r="C219" s="17"/>
      <c r="D219" s="135"/>
      <c r="E219" s="139"/>
      <c r="F219" s="139"/>
      <c r="G219" s="17"/>
      <c r="H219" s="112"/>
    </row>
    <row r="220" spans="2:8" ht="16.5" thickBot="1">
      <c r="B220" s="135">
        <f>SUM(B206:B219)</f>
        <v>35</v>
      </c>
      <c r="C220" s="17" t="s">
        <v>53</v>
      </c>
      <c r="D220" s="135">
        <f>SUM(D206:D219)</f>
        <v>42.06</v>
      </c>
      <c r="E220" s="135">
        <f>SUM(E206:E219)</f>
        <v>0</v>
      </c>
      <c r="F220" s="135">
        <f>SUM(F206:F219)</f>
        <v>0</v>
      </c>
      <c r="G220" s="17" t="s">
        <v>53</v>
      </c>
      <c r="H220" s="112"/>
    </row>
    <row r="221" spans="2:8" ht="16.5" thickBot="1">
      <c r="B221" s="5"/>
      <c r="C221" s="3"/>
      <c r="D221" s="5"/>
      <c r="E221" s="5"/>
      <c r="H221" s="112"/>
    </row>
    <row r="222" spans="2:8" ht="14.45" customHeight="1">
      <c r="B222" s="430" t="str">
        <f>AÑO!A31</f>
        <v>Deportes</v>
      </c>
      <c r="C222" s="419"/>
      <c r="D222" s="419"/>
      <c r="E222" s="419"/>
      <c r="F222" s="419"/>
      <c r="G222" s="420"/>
      <c r="H222" s="112"/>
    </row>
    <row r="223" spans="2:8" ht="15" customHeight="1" thickBot="1">
      <c r="B223" s="421"/>
      <c r="C223" s="422"/>
      <c r="D223" s="422"/>
      <c r="E223" s="422"/>
      <c r="F223" s="422"/>
      <c r="G223" s="423"/>
      <c r="H223" s="112"/>
    </row>
    <row r="224" spans="2:8" ht="15.75">
      <c r="B224" s="431" t="s">
        <v>8</v>
      </c>
      <c r="C224" s="432"/>
      <c r="D224" s="433" t="s">
        <v>9</v>
      </c>
      <c r="E224" s="433"/>
      <c r="F224" s="433"/>
      <c r="G224" s="432"/>
      <c r="H224" s="112"/>
    </row>
    <row r="225" spans="2:8" ht="15.75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  <c r="H225" s="112"/>
    </row>
    <row r="226" spans="2:8" ht="15.75">
      <c r="B226" s="133">
        <v>20</v>
      </c>
      <c r="C226" s="19" t="s">
        <v>43</v>
      </c>
      <c r="D226" s="137"/>
      <c r="E226" s="138"/>
      <c r="F226" s="138"/>
      <c r="G226" s="16" t="s">
        <v>43</v>
      </c>
      <c r="H226" s="112"/>
    </row>
    <row r="227" spans="2:8" ht="15.75">
      <c r="B227" s="134"/>
      <c r="C227" s="16" t="s">
        <v>42</v>
      </c>
      <c r="D227" s="137">
        <v>7</v>
      </c>
      <c r="E227" s="138"/>
      <c r="F227" s="138"/>
      <c r="G227" s="16" t="s">
        <v>265</v>
      </c>
      <c r="H227" s="112"/>
    </row>
    <row r="228" spans="2:8" ht="15.75">
      <c r="B228" s="134"/>
      <c r="C228" s="16"/>
      <c r="D228" s="137"/>
      <c r="E228" s="138"/>
      <c r="F228" s="138"/>
      <c r="G228" s="16"/>
      <c r="H228" s="112"/>
    </row>
    <row r="229" spans="2:8" ht="15.75">
      <c r="B229" s="134"/>
      <c r="C229" s="16"/>
      <c r="D229" s="137"/>
      <c r="E229" s="138"/>
      <c r="F229" s="138"/>
      <c r="G229" s="16"/>
      <c r="H229" s="112"/>
    </row>
    <row r="230" spans="2:8" ht="15.75">
      <c r="B230" s="134"/>
      <c r="C230" s="16"/>
      <c r="D230" s="137"/>
      <c r="E230" s="138"/>
      <c r="F230" s="138"/>
      <c r="G230" s="16"/>
      <c r="H230" s="112"/>
    </row>
    <row r="231" spans="2:8" ht="15.75">
      <c r="B231" s="134"/>
      <c r="C231" s="16"/>
      <c r="D231" s="137"/>
      <c r="E231" s="138"/>
      <c r="F231" s="138"/>
      <c r="G231" s="16"/>
      <c r="H231" s="112"/>
    </row>
    <row r="232" spans="2:8" ht="15.75">
      <c r="B232" s="134"/>
      <c r="C232" s="16"/>
      <c r="D232" s="137"/>
      <c r="E232" s="138"/>
      <c r="F232" s="138"/>
      <c r="G232" s="16"/>
      <c r="H232" s="112"/>
    </row>
    <row r="233" spans="2:8" ht="15.75">
      <c r="B233" s="134"/>
      <c r="C233" s="16"/>
      <c r="D233" s="137"/>
      <c r="E233" s="138"/>
      <c r="F233" s="138"/>
      <c r="G233" s="16"/>
      <c r="H233" s="112"/>
    </row>
    <row r="234" spans="2:8" ht="15.75">
      <c r="B234" s="134"/>
      <c r="C234" s="16"/>
      <c r="D234" s="137"/>
      <c r="E234" s="138"/>
      <c r="F234" s="138"/>
      <c r="G234" s="16"/>
      <c r="H234" s="112"/>
    </row>
    <row r="235" spans="2:8" ht="15.75">
      <c r="B235" s="134"/>
      <c r="C235" s="16"/>
      <c r="D235" s="137"/>
      <c r="E235" s="138"/>
      <c r="F235" s="138"/>
      <c r="G235" s="16"/>
      <c r="H235" s="112"/>
    </row>
    <row r="236" spans="2:8" ht="15.75">
      <c r="B236" s="134"/>
      <c r="C236" s="16"/>
      <c r="D236" s="137"/>
      <c r="E236" s="138"/>
      <c r="F236" s="138"/>
      <c r="G236" s="16"/>
      <c r="H236" s="112"/>
    </row>
    <row r="237" spans="2:8" ht="15.75">
      <c r="B237" s="134"/>
      <c r="C237" s="16"/>
      <c r="D237" s="137"/>
      <c r="E237" s="138"/>
      <c r="F237" s="138"/>
      <c r="G237" s="16"/>
      <c r="H237" s="112"/>
    </row>
    <row r="238" spans="2:8" ht="15.75">
      <c r="B238" s="134"/>
      <c r="C238" s="16"/>
      <c r="D238" s="137"/>
      <c r="E238" s="138"/>
      <c r="F238" s="138"/>
      <c r="G238" s="16"/>
      <c r="H238" s="112"/>
    </row>
    <row r="239" spans="2:8" ht="16.5" thickBot="1">
      <c r="B239" s="135"/>
      <c r="C239" s="17"/>
      <c r="D239" s="135"/>
      <c r="E239" s="139"/>
      <c r="F239" s="139"/>
      <c r="G239" s="17"/>
      <c r="H239" s="112"/>
    </row>
    <row r="240" spans="2:8" ht="16.5" thickBot="1">
      <c r="B240" s="135">
        <f>SUM(B226:B239)</f>
        <v>20</v>
      </c>
      <c r="C240" s="17" t="s">
        <v>53</v>
      </c>
      <c r="D240" s="135">
        <f>SUM(D226:D239)</f>
        <v>7</v>
      </c>
      <c r="E240" s="135">
        <f>SUM(E226:E239)</f>
        <v>0</v>
      </c>
      <c r="F240" s="135">
        <f>SUM(F226:F239)</f>
        <v>0</v>
      </c>
      <c r="G240" s="17" t="s">
        <v>53</v>
      </c>
      <c r="H240" s="112"/>
    </row>
    <row r="241" spans="2:8" ht="16.5" thickBot="1">
      <c r="B241" s="5"/>
      <c r="C241" s="3"/>
      <c r="D241" s="5"/>
      <c r="E241" s="5"/>
      <c r="H241" s="112"/>
    </row>
    <row r="242" spans="2:8" ht="14.45" customHeight="1">
      <c r="B242" s="430" t="str">
        <f>AÑO!A32</f>
        <v>Hogar</v>
      </c>
      <c r="C242" s="419"/>
      <c r="D242" s="419"/>
      <c r="E242" s="419"/>
      <c r="F242" s="419"/>
      <c r="G242" s="420"/>
      <c r="H242" s="112"/>
    </row>
    <row r="243" spans="2:8" ht="15" customHeight="1" thickBot="1">
      <c r="B243" s="421"/>
      <c r="C243" s="422"/>
      <c r="D243" s="422"/>
      <c r="E243" s="422"/>
      <c r="F243" s="422"/>
      <c r="G243" s="423"/>
      <c r="H243" s="112"/>
    </row>
    <row r="244" spans="2:8" ht="15" customHeight="1">
      <c r="B244" s="431" t="s">
        <v>8</v>
      </c>
      <c r="C244" s="432"/>
      <c r="D244" s="433" t="s">
        <v>9</v>
      </c>
      <c r="E244" s="433"/>
      <c r="F244" s="433"/>
      <c r="G244" s="432"/>
      <c r="H244" s="112"/>
    </row>
    <row r="245" spans="2:8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  <c r="H245" s="112"/>
    </row>
    <row r="246" spans="2:8" ht="15" customHeight="1">
      <c r="B246" s="134">
        <v>50</v>
      </c>
      <c r="C246" s="27"/>
      <c r="D246" s="137"/>
      <c r="E246" s="138">
        <v>61.75</v>
      </c>
      <c r="F246" s="138"/>
      <c r="G246" s="16" t="s">
        <v>303</v>
      </c>
      <c r="H246" s="112"/>
    </row>
    <row r="247" spans="2:8" ht="15" customHeight="1">
      <c r="B247" s="134"/>
      <c r="C247" s="16"/>
      <c r="D247" s="137"/>
      <c r="E247" s="138"/>
      <c r="F247" s="138"/>
      <c r="G247" s="16"/>
      <c r="H247" s="112"/>
    </row>
    <row r="248" spans="2:8" ht="15.75">
      <c r="B248" s="134"/>
      <c r="C248" s="16"/>
      <c r="D248" s="137"/>
      <c r="E248" s="138"/>
      <c r="F248" s="138"/>
      <c r="G248" s="16"/>
      <c r="H248" s="112"/>
    </row>
    <row r="249" spans="2:8" ht="15.75">
      <c r="B249" s="134"/>
      <c r="C249" s="16"/>
      <c r="D249" s="137"/>
      <c r="E249" s="138"/>
      <c r="F249" s="138"/>
      <c r="G249" s="16"/>
      <c r="H249" s="112"/>
    </row>
    <row r="250" spans="2:8" ht="15.75">
      <c r="B250" s="134"/>
      <c r="C250" s="16"/>
      <c r="D250" s="137"/>
      <c r="E250" s="138"/>
      <c r="F250" s="138"/>
      <c r="G250" s="16"/>
      <c r="H250" s="112"/>
    </row>
    <row r="251" spans="2:8" ht="15.75">
      <c r="B251" s="134"/>
      <c r="C251" s="16"/>
      <c r="D251" s="137"/>
      <c r="E251" s="138"/>
      <c r="F251" s="138"/>
      <c r="G251" s="16"/>
      <c r="H251" s="112"/>
    </row>
    <row r="252" spans="2:8" ht="15.75">
      <c r="B252" s="134"/>
      <c r="C252" s="16"/>
      <c r="D252" s="137"/>
      <c r="E252" s="138"/>
      <c r="F252" s="138"/>
      <c r="G252" s="16"/>
      <c r="H252" s="112"/>
    </row>
    <row r="253" spans="2:8" ht="15.75">
      <c r="B253" s="134"/>
      <c r="C253" s="16"/>
      <c r="D253" s="137"/>
      <c r="E253" s="138"/>
      <c r="F253" s="138"/>
      <c r="G253" s="16"/>
      <c r="H253" s="112"/>
    </row>
    <row r="254" spans="2:8" ht="15.75">
      <c r="B254" s="134"/>
      <c r="C254" s="16"/>
      <c r="D254" s="137"/>
      <c r="E254" s="138"/>
      <c r="F254" s="138"/>
      <c r="G254" s="16"/>
      <c r="H254" s="112"/>
    </row>
    <row r="255" spans="2:8" ht="15.75">
      <c r="B255" s="134"/>
      <c r="C255" s="16"/>
      <c r="D255" s="137"/>
      <c r="E255" s="138"/>
      <c r="F255" s="138"/>
      <c r="G255" s="16"/>
      <c r="H255" s="112"/>
    </row>
    <row r="256" spans="2:8" ht="15.75">
      <c r="B256" s="134"/>
      <c r="C256" s="16"/>
      <c r="D256" s="137"/>
      <c r="E256" s="138"/>
      <c r="F256" s="138"/>
      <c r="G256" s="16"/>
      <c r="H256" s="112"/>
    </row>
    <row r="257" spans="2:8" ht="15.75">
      <c r="B257" s="134"/>
      <c r="C257" s="16"/>
      <c r="D257" s="137"/>
      <c r="E257" s="138"/>
      <c r="F257" s="138"/>
      <c r="G257" s="16"/>
      <c r="H257" s="112"/>
    </row>
    <row r="258" spans="2:8" ht="15.75">
      <c r="B258" s="134"/>
      <c r="C258" s="16"/>
      <c r="D258" s="137"/>
      <c r="E258" s="138"/>
      <c r="F258" s="138"/>
      <c r="G258" s="16"/>
      <c r="H258" s="112"/>
    </row>
    <row r="259" spans="2:8" ht="16.5" thickBot="1">
      <c r="B259" s="135"/>
      <c r="C259" s="17"/>
      <c r="D259" s="135"/>
      <c r="E259" s="139"/>
      <c r="F259" s="139"/>
      <c r="G259" s="17"/>
      <c r="H259" s="112"/>
    </row>
    <row r="260" spans="2:8" ht="16.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61.75</v>
      </c>
      <c r="F260" s="135">
        <f>SUM(F246:F259)</f>
        <v>0</v>
      </c>
      <c r="G260" s="17" t="s">
        <v>53</v>
      </c>
      <c r="H260" s="112"/>
    </row>
    <row r="261" spans="2:8" ht="16.5" thickBot="1">
      <c r="B261" s="5"/>
      <c r="C261" s="3"/>
      <c r="D261" s="5"/>
      <c r="E261" s="5"/>
      <c r="H261" s="112"/>
    </row>
    <row r="262" spans="2:8" ht="14.45" customHeight="1">
      <c r="B262" s="430" t="str">
        <f>AÑO!A33</f>
        <v>Formación</v>
      </c>
      <c r="C262" s="419"/>
      <c r="D262" s="419"/>
      <c r="E262" s="419"/>
      <c r="F262" s="419"/>
      <c r="G262" s="420"/>
      <c r="H262" s="112"/>
    </row>
    <row r="263" spans="2:8" ht="15" customHeight="1" thickBot="1">
      <c r="B263" s="421"/>
      <c r="C263" s="422"/>
      <c r="D263" s="422"/>
      <c r="E263" s="422"/>
      <c r="F263" s="422"/>
      <c r="G263" s="423"/>
      <c r="H263" s="112"/>
    </row>
    <row r="264" spans="2:8" ht="15.75">
      <c r="B264" s="431" t="s">
        <v>8</v>
      </c>
      <c r="C264" s="432"/>
      <c r="D264" s="433" t="s">
        <v>9</v>
      </c>
      <c r="E264" s="433"/>
      <c r="F264" s="433"/>
      <c r="G264" s="432"/>
      <c r="H264" s="112"/>
    </row>
    <row r="265" spans="2:8" ht="15.75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  <c r="H265" s="112"/>
    </row>
    <row r="266" spans="2:8" ht="15.75">
      <c r="B266" s="133">
        <v>50</v>
      </c>
      <c r="C266" s="19"/>
      <c r="D266" s="137">
        <v>40</v>
      </c>
      <c r="E266" s="138"/>
      <c r="F266" s="138"/>
      <c r="G266" s="16" t="s">
        <v>293</v>
      </c>
      <c r="H266" s="112"/>
    </row>
    <row r="267" spans="2:8" ht="15.75">
      <c r="B267" s="134"/>
      <c r="C267" s="16"/>
      <c r="D267" s="137">
        <v>600</v>
      </c>
      <c r="E267" s="138"/>
      <c r="F267" s="138"/>
      <c r="G267" s="16" t="s">
        <v>304</v>
      </c>
      <c r="H267" s="112"/>
    </row>
    <row r="268" spans="2:8" ht="15.75">
      <c r="B268" s="134"/>
      <c r="C268" s="16"/>
      <c r="D268" s="137"/>
      <c r="E268" s="138"/>
      <c r="F268" s="138"/>
      <c r="G268" s="16"/>
      <c r="H268" s="112"/>
    </row>
    <row r="269" spans="2:8" ht="15.75">
      <c r="B269" s="134"/>
      <c r="C269" s="16"/>
      <c r="D269" s="137"/>
      <c r="E269" s="138"/>
      <c r="F269" s="138"/>
      <c r="G269" s="16"/>
      <c r="H269" s="112"/>
    </row>
    <row r="270" spans="2:8" ht="15.75">
      <c r="B270" s="134"/>
      <c r="C270" s="16"/>
      <c r="D270" s="137"/>
      <c r="E270" s="138"/>
      <c r="F270" s="138"/>
      <c r="G270" s="16"/>
      <c r="H270" s="112"/>
    </row>
    <row r="271" spans="2:8" ht="15.75">
      <c r="B271" s="134"/>
      <c r="C271" s="16"/>
      <c r="D271" s="137"/>
      <c r="E271" s="138"/>
      <c r="F271" s="138"/>
      <c r="G271" s="16"/>
      <c r="H271" s="112"/>
    </row>
    <row r="272" spans="2:8" ht="15.75">
      <c r="B272" s="134"/>
      <c r="C272" s="16"/>
      <c r="D272" s="137"/>
      <c r="E272" s="138"/>
      <c r="F272" s="138"/>
      <c r="G272" s="16"/>
      <c r="H272" s="112"/>
    </row>
    <row r="273" spans="2:8" ht="15.75">
      <c r="B273" s="134"/>
      <c r="C273" s="16"/>
      <c r="D273" s="137"/>
      <c r="E273" s="138"/>
      <c r="F273" s="138"/>
      <c r="G273" s="16"/>
      <c r="H273" s="112"/>
    </row>
    <row r="274" spans="2:8" ht="15.75">
      <c r="B274" s="134"/>
      <c r="C274" s="16"/>
      <c r="D274" s="137"/>
      <c r="E274" s="138"/>
      <c r="F274" s="138"/>
      <c r="G274" s="16"/>
      <c r="H274" s="112"/>
    </row>
    <row r="275" spans="2:8" ht="15.75">
      <c r="B275" s="134"/>
      <c r="C275" s="16"/>
      <c r="D275" s="137"/>
      <c r="E275" s="138"/>
      <c r="F275" s="138"/>
      <c r="G275" s="16"/>
      <c r="H275" s="112"/>
    </row>
    <row r="276" spans="2:8" ht="15.75">
      <c r="B276" s="134"/>
      <c r="C276" s="16"/>
      <c r="D276" s="137"/>
      <c r="E276" s="138"/>
      <c r="F276" s="138"/>
      <c r="G276" s="16"/>
      <c r="H276" s="112"/>
    </row>
    <row r="277" spans="2:8" ht="15.75">
      <c r="B277" s="134"/>
      <c r="C277" s="16"/>
      <c r="D277" s="137"/>
      <c r="E277" s="138"/>
      <c r="F277" s="138"/>
      <c r="G277" s="16"/>
      <c r="H277" s="112"/>
    </row>
    <row r="278" spans="2:8" ht="15.75">
      <c r="B278" s="134"/>
      <c r="C278" s="16"/>
      <c r="D278" s="137"/>
      <c r="E278" s="138"/>
      <c r="F278" s="138"/>
      <c r="G278" s="16"/>
      <c r="H278" s="112"/>
    </row>
    <row r="279" spans="2:8" ht="16.5" thickBot="1">
      <c r="B279" s="135"/>
      <c r="C279" s="17"/>
      <c r="D279" s="135"/>
      <c r="E279" s="139"/>
      <c r="F279" s="139"/>
      <c r="G279" s="17"/>
      <c r="H279" s="112"/>
    </row>
    <row r="280" spans="2:8" ht="16.5" thickBot="1">
      <c r="B280" s="135">
        <f>SUM(B266:B279)</f>
        <v>50</v>
      </c>
      <c r="C280" s="17" t="s">
        <v>53</v>
      </c>
      <c r="D280" s="135">
        <f>SUM(D266:D279)</f>
        <v>640</v>
      </c>
      <c r="E280" s="135">
        <f>SUM(E266:E279)</f>
        <v>0</v>
      </c>
      <c r="F280" s="135">
        <f>SUM(F266:F279)</f>
        <v>0</v>
      </c>
      <c r="G280" s="17" t="s">
        <v>53</v>
      </c>
      <c r="H280" s="112"/>
    </row>
    <row r="281" spans="2:8" ht="16.5" thickBot="1">
      <c r="B281" s="5"/>
      <c r="C281" s="3"/>
      <c r="D281" s="5"/>
      <c r="E281" s="5"/>
      <c r="H281" s="112"/>
    </row>
    <row r="282" spans="2:8" ht="14.45" customHeight="1">
      <c r="B282" s="430" t="str">
        <f>AÑO!A34</f>
        <v>Regalos</v>
      </c>
      <c r="C282" s="419"/>
      <c r="D282" s="419"/>
      <c r="E282" s="419"/>
      <c r="F282" s="419"/>
      <c r="G282" s="420"/>
      <c r="H282" s="112"/>
    </row>
    <row r="283" spans="2:8" ht="15" customHeight="1" thickBot="1">
      <c r="B283" s="421"/>
      <c r="C283" s="422"/>
      <c r="D283" s="422"/>
      <c r="E283" s="422"/>
      <c r="F283" s="422"/>
      <c r="G283" s="423"/>
      <c r="H283" s="112"/>
    </row>
    <row r="284" spans="2:8" ht="15.75">
      <c r="B284" s="431" t="s">
        <v>8</v>
      </c>
      <c r="C284" s="432"/>
      <c r="D284" s="433" t="s">
        <v>9</v>
      </c>
      <c r="E284" s="433"/>
      <c r="F284" s="433"/>
      <c r="G284" s="432"/>
      <c r="H284" s="112"/>
    </row>
    <row r="285" spans="2:8" ht="15.75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  <c r="H285" s="112"/>
    </row>
    <row r="286" spans="2:8" ht="15.75">
      <c r="B286" s="133">
        <v>90</v>
      </c>
      <c r="C286" s="19" t="s">
        <v>33</v>
      </c>
      <c r="D286" s="137">
        <v>40.98</v>
      </c>
      <c r="E286" s="138"/>
      <c r="F286" s="138"/>
      <c r="G286" s="16" t="s">
        <v>248</v>
      </c>
      <c r="H286" s="112"/>
    </row>
    <row r="287" spans="2:8" ht="15.75">
      <c r="B287" s="134">
        <v>137</v>
      </c>
      <c r="C287" s="16" t="s">
        <v>300</v>
      </c>
      <c r="D287" s="137">
        <v>11.43</v>
      </c>
      <c r="E287" s="138"/>
      <c r="F287" s="138"/>
      <c r="G287" s="16" t="s">
        <v>250</v>
      </c>
      <c r="H287" s="112"/>
    </row>
    <row r="288" spans="2:8" ht="15.75">
      <c r="B288" s="134"/>
      <c r="C288" s="16"/>
      <c r="D288" s="137">
        <v>47.4</v>
      </c>
      <c r="E288" s="138"/>
      <c r="F288" s="138"/>
      <c r="G288" s="16" t="s">
        <v>251</v>
      </c>
      <c r="H288" s="112"/>
    </row>
    <row r="289" spans="2:8" ht="15.75">
      <c r="B289" s="134"/>
      <c r="C289" s="16"/>
      <c r="D289" s="137">
        <v>50</v>
      </c>
      <c r="E289" s="138"/>
      <c r="F289" s="138"/>
      <c r="G289" s="16" t="s">
        <v>272</v>
      </c>
      <c r="H289" s="112"/>
    </row>
    <row r="290" spans="2:8" ht="15.75">
      <c r="B290" s="134"/>
      <c r="C290" s="16"/>
      <c r="D290" s="137"/>
      <c r="E290" s="138">
        <v>25</v>
      </c>
      <c r="F290" s="138"/>
      <c r="G290" s="16" t="s">
        <v>281</v>
      </c>
      <c r="H290" s="112"/>
    </row>
    <row r="291" spans="2:8" ht="15.75">
      <c r="B291" s="134"/>
      <c r="C291" s="16"/>
      <c r="D291" s="137"/>
      <c r="E291" s="138">
        <v>137</v>
      </c>
      <c r="F291" s="138"/>
      <c r="G291" s="16" t="s">
        <v>282</v>
      </c>
      <c r="H291" s="112" t="s">
        <v>280</v>
      </c>
    </row>
    <row r="292" spans="2:8" ht="15.75">
      <c r="B292" s="134"/>
      <c r="C292" s="16"/>
      <c r="D292" s="137">
        <v>21.99</v>
      </c>
      <c r="E292" s="138"/>
      <c r="F292" s="138">
        <v>2.25</v>
      </c>
      <c r="G292" s="16" t="s">
        <v>283</v>
      </c>
      <c r="H292" s="112"/>
    </row>
    <row r="293" spans="2:8" ht="15.75">
      <c r="B293" s="134"/>
      <c r="C293" s="16"/>
      <c r="D293" s="137"/>
      <c r="E293" s="138"/>
      <c r="F293" s="138"/>
      <c r="G293" s="16"/>
      <c r="H293" s="112"/>
    </row>
    <row r="294" spans="2:8" ht="15.75">
      <c r="B294" s="134"/>
      <c r="C294" s="16"/>
      <c r="D294" s="137"/>
      <c r="E294" s="138"/>
      <c r="F294" s="138"/>
      <c r="G294" s="16"/>
      <c r="H294" s="112"/>
    </row>
    <row r="295" spans="2:8" ht="15.75">
      <c r="B295" s="134"/>
      <c r="C295" s="16"/>
      <c r="D295" s="137"/>
      <c r="E295" s="138"/>
      <c r="F295" s="138"/>
      <c r="G295" s="16"/>
      <c r="H295" s="112"/>
    </row>
    <row r="296" spans="2:8" ht="15.75">
      <c r="B296" s="134"/>
      <c r="C296" s="16"/>
      <c r="D296" s="137"/>
      <c r="E296" s="138"/>
      <c r="F296" s="138"/>
      <c r="G296" s="16"/>
      <c r="H296" s="112"/>
    </row>
    <row r="297" spans="2:8" ht="15.75">
      <c r="B297" s="134"/>
      <c r="C297" s="16"/>
      <c r="D297" s="137"/>
      <c r="E297" s="138"/>
      <c r="F297" s="138"/>
      <c r="G297" s="16"/>
      <c r="H297" s="112"/>
    </row>
    <row r="298" spans="2:8" ht="15.75">
      <c r="B298" s="134"/>
      <c r="C298" s="16"/>
      <c r="D298" s="137"/>
      <c r="E298" s="138"/>
      <c r="F298" s="138"/>
      <c r="G298" s="16"/>
      <c r="H298" s="112"/>
    </row>
    <row r="299" spans="2:8" ht="16.5" thickBot="1">
      <c r="B299" s="135"/>
      <c r="C299" s="17"/>
      <c r="D299" s="135"/>
      <c r="E299" s="139"/>
      <c r="F299" s="139"/>
      <c r="G299" s="17"/>
      <c r="H299" s="112"/>
    </row>
    <row r="300" spans="2:8" ht="16.5" thickBot="1">
      <c r="B300" s="135">
        <f>SUM(B286:B299)</f>
        <v>227</v>
      </c>
      <c r="C300" s="17" t="s">
        <v>53</v>
      </c>
      <c r="D300" s="135">
        <f>SUM(D286:D299)</f>
        <v>171.8</v>
      </c>
      <c r="E300" s="135">
        <f>SUM(E286:E299)</f>
        <v>162</v>
      </c>
      <c r="F300" s="135">
        <f>SUM(F286:F299)</f>
        <v>2.25</v>
      </c>
      <c r="G300" s="17" t="s">
        <v>53</v>
      </c>
      <c r="H300" s="112"/>
    </row>
    <row r="301" spans="2:8" ht="16.5" thickBot="1">
      <c r="B301" s="5"/>
      <c r="C301" s="3"/>
      <c r="D301" s="5"/>
      <c r="E301" s="5"/>
      <c r="H301" s="112"/>
    </row>
    <row r="302" spans="2:8" ht="14.45" customHeight="1">
      <c r="B302" s="430" t="str">
        <f>AÑO!A35</f>
        <v>Salud</v>
      </c>
      <c r="C302" s="419"/>
      <c r="D302" s="419"/>
      <c r="E302" s="419"/>
      <c r="F302" s="419"/>
      <c r="G302" s="420"/>
      <c r="H302" s="112"/>
    </row>
    <row r="303" spans="2:8" ht="15" customHeight="1" thickBot="1">
      <c r="B303" s="421"/>
      <c r="C303" s="422"/>
      <c r="D303" s="422"/>
      <c r="E303" s="422"/>
      <c r="F303" s="422"/>
      <c r="G303" s="423"/>
      <c r="H303" s="112"/>
    </row>
    <row r="304" spans="2:8" ht="15.75">
      <c r="B304" s="431" t="s">
        <v>8</v>
      </c>
      <c r="C304" s="432"/>
      <c r="D304" s="433" t="s">
        <v>9</v>
      </c>
      <c r="E304" s="433"/>
      <c r="F304" s="433"/>
      <c r="G304" s="432"/>
      <c r="H304" s="112"/>
    </row>
    <row r="305" spans="2:8" ht="15.75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  <c r="H305" s="112"/>
    </row>
    <row r="306" spans="2:8" ht="15.75">
      <c r="B306" s="133">
        <v>115</v>
      </c>
      <c r="C306" s="19" t="s">
        <v>233</v>
      </c>
      <c r="D306" s="137">
        <f>37.5+37.5</f>
        <v>75</v>
      </c>
      <c r="E306" s="138"/>
      <c r="F306" s="138"/>
      <c r="G306" s="16" t="s">
        <v>258</v>
      </c>
      <c r="H306" s="112"/>
    </row>
    <row r="307" spans="2:8" ht="15.75">
      <c r="B307" s="134"/>
      <c r="C307" s="27"/>
      <c r="D307" s="137"/>
      <c r="E307" s="138"/>
      <c r="F307" s="138"/>
      <c r="G307" s="16"/>
      <c r="H307" s="112"/>
    </row>
    <row r="308" spans="2:8" ht="15.75">
      <c r="B308" s="134"/>
      <c r="C308" s="27"/>
      <c r="D308" s="137"/>
      <c r="E308" s="138"/>
      <c r="F308" s="138"/>
      <c r="G308" s="16"/>
      <c r="H308" s="112"/>
    </row>
    <row r="309" spans="2:8" ht="15.75">
      <c r="B309" s="134"/>
      <c r="C309" s="16"/>
      <c r="D309" s="137"/>
      <c r="E309" s="138"/>
      <c r="F309" s="138"/>
      <c r="G309" s="16"/>
      <c r="H309" s="112"/>
    </row>
    <row r="310" spans="2:8" ht="15.75">
      <c r="B310" s="134"/>
      <c r="C310" s="16"/>
      <c r="D310" s="137"/>
      <c r="E310" s="138"/>
      <c r="F310" s="138"/>
      <c r="G310" s="16"/>
      <c r="H310" s="112"/>
    </row>
    <row r="311" spans="2:8" ht="15.75">
      <c r="B311" s="134"/>
      <c r="C311" s="16"/>
      <c r="D311" s="137"/>
      <c r="E311" s="138"/>
      <c r="F311" s="138"/>
      <c r="G311" s="16"/>
      <c r="H311" s="112"/>
    </row>
    <row r="312" spans="2:8" ht="15.75">
      <c r="B312" s="134"/>
      <c r="C312" s="16"/>
      <c r="D312" s="137"/>
      <c r="E312" s="138"/>
      <c r="F312" s="138"/>
      <c r="G312" s="16"/>
      <c r="H312" s="112"/>
    </row>
    <row r="313" spans="2:8" ht="15.75">
      <c r="B313" s="134"/>
      <c r="C313" s="16"/>
      <c r="D313" s="137"/>
      <c r="E313" s="138"/>
      <c r="F313" s="138"/>
      <c r="G313" s="16"/>
      <c r="H313" s="112"/>
    </row>
    <row r="314" spans="2:8" ht="15.75">
      <c r="B314" s="134"/>
      <c r="C314" s="16"/>
      <c r="D314" s="137"/>
      <c r="E314" s="138"/>
      <c r="F314" s="138"/>
      <c r="G314" s="16"/>
      <c r="H314" s="112"/>
    </row>
    <row r="315" spans="2:8" ht="15.75">
      <c r="B315" s="134"/>
      <c r="C315" s="16"/>
      <c r="D315" s="137"/>
      <c r="E315" s="138"/>
      <c r="F315" s="138"/>
      <c r="G315" s="16"/>
      <c r="H315" s="112"/>
    </row>
    <row r="316" spans="2:8" ht="15.75">
      <c r="B316" s="134"/>
      <c r="C316" s="16"/>
      <c r="D316" s="137"/>
      <c r="E316" s="138"/>
      <c r="F316" s="138"/>
      <c r="G316" s="16"/>
      <c r="H316" s="112"/>
    </row>
    <row r="317" spans="2:8" ht="15.75">
      <c r="B317" s="134"/>
      <c r="C317" s="16"/>
      <c r="D317" s="137"/>
      <c r="E317" s="138"/>
      <c r="F317" s="138"/>
      <c r="G317" s="16"/>
      <c r="H317" s="112"/>
    </row>
    <row r="318" spans="2:8" ht="15.75">
      <c r="B318" s="134"/>
      <c r="C318" s="16"/>
      <c r="D318" s="137"/>
      <c r="E318" s="138"/>
      <c r="F318" s="138"/>
      <c r="G318" s="16"/>
      <c r="H318" s="112"/>
    </row>
    <row r="319" spans="2:8" ht="16.5" thickBot="1">
      <c r="B319" s="135"/>
      <c r="C319" s="17"/>
      <c r="D319" s="135"/>
      <c r="E319" s="139"/>
      <c r="F319" s="139"/>
      <c r="G319" s="17"/>
      <c r="H319" s="112"/>
    </row>
    <row r="320" spans="2:8" ht="16.5" thickBot="1">
      <c r="B320" s="135">
        <f>SUM(B306:B319)</f>
        <v>115</v>
      </c>
      <c r="C320" s="17" t="s">
        <v>53</v>
      </c>
      <c r="D320" s="135">
        <f>SUM(D306:D319)</f>
        <v>75</v>
      </c>
      <c r="E320" s="135">
        <f>SUM(E306:E319)</f>
        <v>0</v>
      </c>
      <c r="F320" s="135">
        <f>SUM(F306:F319)</f>
        <v>0</v>
      </c>
      <c r="G320" s="17" t="s">
        <v>53</v>
      </c>
      <c r="H320" s="112"/>
    </row>
    <row r="321" spans="2:8" ht="16.5" thickBot="1">
      <c r="H321" s="112"/>
    </row>
    <row r="322" spans="2:8" ht="14.45" customHeight="1">
      <c r="B322" s="430" t="str">
        <f>AÑO!A36</f>
        <v>Nenas</v>
      </c>
      <c r="C322" s="419"/>
      <c r="D322" s="419"/>
      <c r="E322" s="419"/>
      <c r="F322" s="419"/>
      <c r="G322" s="420"/>
      <c r="H322" s="112"/>
    </row>
    <row r="323" spans="2:8" ht="15" customHeight="1" thickBot="1">
      <c r="B323" s="421"/>
      <c r="C323" s="422"/>
      <c r="D323" s="422"/>
      <c r="E323" s="422"/>
      <c r="F323" s="422"/>
      <c r="G323" s="423"/>
      <c r="H323" s="112"/>
    </row>
    <row r="324" spans="2:8" ht="15.75">
      <c r="B324" s="431" t="s">
        <v>8</v>
      </c>
      <c r="C324" s="432"/>
      <c r="D324" s="433" t="s">
        <v>9</v>
      </c>
      <c r="E324" s="433"/>
      <c r="F324" s="433"/>
      <c r="G324" s="432"/>
      <c r="H324" s="112"/>
    </row>
    <row r="325" spans="2:8" ht="15.75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  <c r="H325" s="112"/>
    </row>
    <row r="326" spans="2:8" ht="15.75">
      <c r="B326" s="133">
        <v>90</v>
      </c>
      <c r="C326" s="19"/>
      <c r="D326" s="137">
        <v>261</v>
      </c>
      <c r="E326" s="138"/>
      <c r="F326" s="138"/>
      <c r="G326" s="16" t="s">
        <v>287</v>
      </c>
      <c r="H326" s="112"/>
    </row>
    <row r="327" spans="2:8" ht="15.75">
      <c r="B327" s="134"/>
      <c r="C327" s="16"/>
      <c r="D327" s="137"/>
      <c r="E327" s="138"/>
      <c r="F327" s="138"/>
      <c r="G327" s="16"/>
      <c r="H327" s="112"/>
    </row>
    <row r="328" spans="2:8" ht="15.75">
      <c r="B328" s="134"/>
      <c r="C328" s="16"/>
      <c r="D328" s="137"/>
      <c r="E328" s="138"/>
      <c r="F328" s="138"/>
      <c r="G328" s="16"/>
      <c r="H328" s="112"/>
    </row>
    <row r="329" spans="2:8" ht="15.75">
      <c r="B329" s="134"/>
      <c r="C329" s="16"/>
      <c r="D329" s="137"/>
      <c r="E329" s="138"/>
      <c r="F329" s="138"/>
      <c r="G329" s="16"/>
      <c r="H329" s="112"/>
    </row>
    <row r="330" spans="2:8" ht="15.75">
      <c r="B330" s="134"/>
      <c r="C330" s="16"/>
      <c r="D330" s="137"/>
      <c r="E330" s="138"/>
      <c r="F330" s="138"/>
      <c r="G330" s="16"/>
      <c r="H330" s="112"/>
    </row>
    <row r="331" spans="2:8" ht="15.75">
      <c r="B331" s="134"/>
      <c r="C331" s="16"/>
      <c r="D331" s="137"/>
      <c r="E331" s="138"/>
      <c r="F331" s="138"/>
      <c r="G331" s="16"/>
      <c r="H331" s="112"/>
    </row>
    <row r="332" spans="2:8" ht="15.75">
      <c r="B332" s="134"/>
      <c r="C332" s="16"/>
      <c r="D332" s="137"/>
      <c r="E332" s="138"/>
      <c r="F332" s="138"/>
      <c r="G332" s="16"/>
      <c r="H332" s="112"/>
    </row>
    <row r="333" spans="2:8" ht="15.75">
      <c r="B333" s="134"/>
      <c r="C333" s="16"/>
      <c r="D333" s="137"/>
      <c r="E333" s="138"/>
      <c r="F333" s="138"/>
      <c r="G333" s="16"/>
      <c r="H333" s="112"/>
    </row>
    <row r="334" spans="2:8" ht="15.75">
      <c r="B334" s="134"/>
      <c r="C334" s="16"/>
      <c r="D334" s="137"/>
      <c r="E334" s="138"/>
      <c r="F334" s="138"/>
      <c r="G334" s="16"/>
      <c r="H334" s="112"/>
    </row>
    <row r="335" spans="2:8" ht="15.75">
      <c r="B335" s="134"/>
      <c r="C335" s="16"/>
      <c r="D335" s="137"/>
      <c r="E335" s="138"/>
      <c r="F335" s="138"/>
      <c r="G335" s="16"/>
      <c r="H335" s="112"/>
    </row>
    <row r="336" spans="2:8" ht="15.75">
      <c r="B336" s="134"/>
      <c r="C336" s="16"/>
      <c r="D336" s="137"/>
      <c r="E336" s="138"/>
      <c r="F336" s="138"/>
      <c r="G336" s="16"/>
      <c r="H336" s="112"/>
    </row>
    <row r="337" spans="2:8" ht="15.75">
      <c r="B337" s="134"/>
      <c r="C337" s="16"/>
      <c r="D337" s="137"/>
      <c r="E337" s="138"/>
      <c r="F337" s="138"/>
      <c r="G337" s="16"/>
      <c r="H337" s="112"/>
    </row>
    <row r="338" spans="2:8" ht="15.75">
      <c r="B338" s="134"/>
      <c r="C338" s="16"/>
      <c r="D338" s="137"/>
      <c r="E338" s="138"/>
      <c r="F338" s="138"/>
      <c r="G338" s="16"/>
      <c r="H338" s="112"/>
    </row>
    <row r="339" spans="2:8" ht="16.5" thickBot="1">
      <c r="B339" s="135"/>
      <c r="C339" s="17"/>
      <c r="D339" s="135"/>
      <c r="E339" s="139"/>
      <c r="F339" s="139"/>
      <c r="G339" s="17"/>
      <c r="H339" s="112"/>
    </row>
    <row r="340" spans="2:8" ht="16.5" thickBot="1">
      <c r="B340" s="135">
        <f>SUM(B326:B339)</f>
        <v>90</v>
      </c>
      <c r="C340" s="17" t="s">
        <v>53</v>
      </c>
      <c r="D340" s="135">
        <f>SUM(D326:D339)</f>
        <v>261</v>
      </c>
      <c r="E340" s="135">
        <f>SUM(E326:E339)</f>
        <v>0</v>
      </c>
      <c r="F340" s="135">
        <f>SUM(F326:F339)</f>
        <v>0</v>
      </c>
      <c r="G340" s="17" t="s">
        <v>53</v>
      </c>
      <c r="H340" s="112"/>
    </row>
    <row r="341" spans="2:8" ht="16.5" thickBot="1">
      <c r="B341" s="5"/>
      <c r="C341" s="3"/>
      <c r="D341" s="5"/>
      <c r="E341" s="5"/>
      <c r="H341" s="112"/>
    </row>
    <row r="342" spans="2:8" ht="14.45" customHeight="1">
      <c r="B342" s="430" t="str">
        <f>AÑO!A37</f>
        <v>Impuestos</v>
      </c>
      <c r="C342" s="419"/>
      <c r="D342" s="419"/>
      <c r="E342" s="419"/>
      <c r="F342" s="419"/>
      <c r="G342" s="420"/>
      <c r="H342" s="112"/>
    </row>
    <row r="343" spans="2:8" ht="15" customHeight="1" thickBot="1">
      <c r="B343" s="421"/>
      <c r="C343" s="422"/>
      <c r="D343" s="422"/>
      <c r="E343" s="422"/>
      <c r="F343" s="422"/>
      <c r="G343" s="423"/>
      <c r="H343" s="112"/>
    </row>
    <row r="344" spans="2:8" ht="15.75">
      <c r="B344" s="431" t="s">
        <v>8</v>
      </c>
      <c r="C344" s="432"/>
      <c r="D344" s="433" t="s">
        <v>9</v>
      </c>
      <c r="E344" s="433"/>
      <c r="F344" s="433"/>
      <c r="G344" s="432"/>
      <c r="H344" s="112"/>
    </row>
    <row r="345" spans="2:8" ht="15.75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  <c r="H345" s="112"/>
    </row>
    <row r="346" spans="2:8" ht="15.75">
      <c r="B346" s="133">
        <v>45</v>
      </c>
      <c r="C346" s="19" t="s">
        <v>199</v>
      </c>
      <c r="D346" s="137"/>
      <c r="E346" s="138"/>
      <c r="F346" s="138"/>
      <c r="G346" s="16"/>
      <c r="H346" s="112"/>
    </row>
    <row r="347" spans="2:8" ht="15.75">
      <c r="B347" s="134"/>
      <c r="C347" s="16"/>
      <c r="D347" s="137"/>
      <c r="E347" s="138"/>
      <c r="F347" s="138"/>
      <c r="G347" s="16"/>
      <c r="H347" s="112"/>
    </row>
    <row r="348" spans="2:8" ht="15.75">
      <c r="B348" s="134"/>
      <c r="C348" s="16"/>
      <c r="D348" s="137"/>
      <c r="E348" s="138"/>
      <c r="F348" s="138"/>
      <c r="G348" s="16"/>
      <c r="H348" s="112"/>
    </row>
    <row r="349" spans="2:8" ht="15.75">
      <c r="B349" s="134"/>
      <c r="C349" s="16"/>
      <c r="D349" s="137"/>
      <c r="E349" s="138"/>
      <c r="F349" s="138"/>
      <c r="G349" s="16"/>
      <c r="H349" s="112"/>
    </row>
    <row r="350" spans="2:8" ht="15.75">
      <c r="B350" s="134"/>
      <c r="C350" s="16"/>
      <c r="D350" s="137"/>
      <c r="E350" s="138"/>
      <c r="F350" s="138"/>
      <c r="G350" s="16"/>
      <c r="H350" s="112"/>
    </row>
    <row r="351" spans="2:8" ht="15.75">
      <c r="B351" s="134"/>
      <c r="C351" s="16"/>
      <c r="D351" s="137"/>
      <c r="E351" s="138"/>
      <c r="F351" s="138"/>
      <c r="G351" s="16"/>
      <c r="H351" s="112"/>
    </row>
    <row r="352" spans="2:8" ht="15.75">
      <c r="B352" s="134"/>
      <c r="C352" s="16"/>
      <c r="D352" s="137"/>
      <c r="E352" s="138"/>
      <c r="F352" s="138"/>
      <c r="G352" s="16"/>
      <c r="H352" s="112"/>
    </row>
    <row r="353" spans="2:8" ht="15.75">
      <c r="B353" s="134"/>
      <c r="C353" s="16"/>
      <c r="D353" s="137"/>
      <c r="E353" s="138"/>
      <c r="F353" s="138"/>
      <c r="G353" s="16"/>
      <c r="H353" s="112"/>
    </row>
    <row r="354" spans="2:8" ht="15.75">
      <c r="B354" s="134"/>
      <c r="C354" s="16"/>
      <c r="D354" s="137"/>
      <c r="E354" s="138"/>
      <c r="F354" s="138"/>
      <c r="G354" s="16"/>
      <c r="H354" s="112"/>
    </row>
    <row r="355" spans="2:8" ht="15.75">
      <c r="B355" s="134"/>
      <c r="C355" s="16"/>
      <c r="D355" s="137"/>
      <c r="E355" s="138"/>
      <c r="F355" s="138"/>
      <c r="G355" s="16"/>
      <c r="H355" s="112"/>
    </row>
    <row r="356" spans="2:8" ht="15.75">
      <c r="B356" s="134"/>
      <c r="C356" s="16"/>
      <c r="D356" s="137"/>
      <c r="E356" s="138"/>
      <c r="F356" s="138"/>
      <c r="G356" s="16"/>
      <c r="H356" s="112"/>
    </row>
    <row r="357" spans="2:8" ht="15.75">
      <c r="B357" s="134"/>
      <c r="C357" s="16"/>
      <c r="D357" s="137"/>
      <c r="E357" s="138"/>
      <c r="F357" s="138"/>
      <c r="G357" s="16"/>
      <c r="H357" s="112"/>
    </row>
    <row r="358" spans="2:8" ht="15.75">
      <c r="B358" s="134"/>
      <c r="C358" s="16"/>
      <c r="D358" s="137"/>
      <c r="E358" s="138"/>
      <c r="F358" s="138"/>
      <c r="G358" s="16"/>
      <c r="H358" s="112"/>
    </row>
    <row r="359" spans="2:8" ht="16.5" thickBot="1">
      <c r="B359" s="135"/>
      <c r="C359" s="17"/>
      <c r="D359" s="135"/>
      <c r="E359" s="139"/>
      <c r="F359" s="139"/>
      <c r="G359" s="17"/>
      <c r="H359" s="112"/>
    </row>
    <row r="360" spans="2:8" ht="16.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  <c r="H360" s="112"/>
    </row>
    <row r="361" spans="2:8" ht="16.5" thickBot="1">
      <c r="B361" s="5"/>
      <c r="C361" s="3"/>
      <c r="D361" s="5"/>
      <c r="E361" s="5"/>
      <c r="H361" s="112"/>
    </row>
    <row r="362" spans="2:8" ht="14.45" customHeight="1">
      <c r="B362" s="430" t="str">
        <f>AÑO!A38</f>
        <v>Gastos Curros</v>
      </c>
      <c r="C362" s="419"/>
      <c r="D362" s="419"/>
      <c r="E362" s="419"/>
      <c r="F362" s="419"/>
      <c r="G362" s="420"/>
      <c r="H362" s="112"/>
    </row>
    <row r="363" spans="2:8" ht="15" customHeight="1" thickBot="1">
      <c r="B363" s="421"/>
      <c r="C363" s="422"/>
      <c r="D363" s="422"/>
      <c r="E363" s="422"/>
      <c r="F363" s="422"/>
      <c r="G363" s="423"/>
      <c r="H363" s="112"/>
    </row>
    <row r="364" spans="2:8" ht="15.75">
      <c r="B364" s="431" t="s">
        <v>8</v>
      </c>
      <c r="C364" s="432"/>
      <c r="D364" s="433" t="s">
        <v>9</v>
      </c>
      <c r="E364" s="433"/>
      <c r="F364" s="433"/>
      <c r="G364" s="432"/>
      <c r="H364" s="112"/>
    </row>
    <row r="365" spans="2:8" ht="15.75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  <c r="H365" s="112"/>
    </row>
    <row r="366" spans="2:8" ht="15.75">
      <c r="B366" s="133">
        <v>70</v>
      </c>
      <c r="C366" s="19" t="s">
        <v>33</v>
      </c>
      <c r="D366" s="137">
        <f>4.45+4.45</f>
        <v>8.9</v>
      </c>
      <c r="E366" s="138"/>
      <c r="F366" s="138">
        <f>4.45+3.4+4.5+3.4+5+4.5+4.45+3.4+3.4+4+4</f>
        <v>44.5</v>
      </c>
      <c r="G366" s="31" t="s">
        <v>67</v>
      </c>
      <c r="H366" s="112"/>
    </row>
    <row r="367" spans="2:8" ht="15.75">
      <c r="B367" s="134"/>
      <c r="C367" s="16"/>
      <c r="D367" s="137">
        <v>3.5</v>
      </c>
      <c r="E367" s="138"/>
      <c r="F367" s="138"/>
      <c r="G367" s="31" t="s">
        <v>265</v>
      </c>
      <c r="H367" s="112"/>
    </row>
    <row r="368" spans="2:8" ht="15.75">
      <c r="B368" s="134"/>
      <c r="C368" s="16"/>
      <c r="D368" s="137">
        <v>34</v>
      </c>
      <c r="E368" s="138"/>
      <c r="F368" s="138"/>
      <c r="G368" s="16" t="s">
        <v>289</v>
      </c>
      <c r="H368" s="112"/>
    </row>
    <row r="369" spans="2:8" ht="15.75">
      <c r="B369" s="134"/>
      <c r="C369" s="16"/>
      <c r="D369" s="137"/>
      <c r="E369" s="138"/>
      <c r="F369" s="138"/>
      <c r="G369" s="16"/>
      <c r="H369" s="112"/>
    </row>
    <row r="370" spans="2:8" ht="15.75">
      <c r="B370" s="134"/>
      <c r="C370" s="16"/>
      <c r="D370" s="137"/>
      <c r="E370" s="138"/>
      <c r="F370" s="138"/>
      <c r="G370" s="16"/>
      <c r="H370" s="112"/>
    </row>
    <row r="371" spans="2:8" ht="15.75">
      <c r="B371" s="134"/>
      <c r="C371" s="16"/>
      <c r="D371" s="137"/>
      <c r="E371" s="138"/>
      <c r="F371" s="138"/>
      <c r="G371" s="16"/>
      <c r="H371" s="112"/>
    </row>
    <row r="372" spans="2:8" ht="15.75">
      <c r="B372" s="134"/>
      <c r="C372" s="16"/>
      <c r="D372" s="137"/>
      <c r="E372" s="138"/>
      <c r="F372" s="138"/>
      <c r="G372" s="16"/>
      <c r="H372" s="112"/>
    </row>
    <row r="373" spans="2:8" ht="15.75">
      <c r="B373" s="134"/>
      <c r="C373" s="16"/>
      <c r="D373" s="137"/>
      <c r="E373" s="138"/>
      <c r="F373" s="138"/>
      <c r="G373" s="16"/>
      <c r="H373" s="112"/>
    </row>
    <row r="374" spans="2:8" ht="15.75">
      <c r="B374" s="134"/>
      <c r="C374" s="16"/>
      <c r="D374" s="137"/>
      <c r="E374" s="138"/>
      <c r="F374" s="138"/>
      <c r="G374" s="16"/>
      <c r="H374" s="112"/>
    </row>
    <row r="375" spans="2:8" ht="15.75">
      <c r="B375" s="134"/>
      <c r="C375" s="16"/>
      <c r="D375" s="137"/>
      <c r="E375" s="138"/>
      <c r="F375" s="138"/>
      <c r="G375" s="16"/>
      <c r="H375" s="112"/>
    </row>
    <row r="376" spans="2:8" ht="15.75">
      <c r="B376" s="134"/>
      <c r="C376" s="16"/>
      <c r="D376" s="137"/>
      <c r="E376" s="138"/>
      <c r="F376" s="138"/>
      <c r="G376" s="16"/>
      <c r="H376" s="112"/>
    </row>
    <row r="377" spans="2:8" ht="15.75">
      <c r="B377" s="134"/>
      <c r="C377" s="16"/>
      <c r="D377" s="137"/>
      <c r="E377" s="138"/>
      <c r="F377" s="138"/>
      <c r="G377" s="16"/>
      <c r="H377" s="112"/>
    </row>
    <row r="378" spans="2:8" ht="15.75">
      <c r="B378" s="134"/>
      <c r="C378" s="16"/>
      <c r="D378" s="137"/>
      <c r="E378" s="138"/>
      <c r="F378" s="138"/>
      <c r="G378" s="16"/>
      <c r="H378" s="112"/>
    </row>
    <row r="379" spans="2:8" ht="16.5" thickBot="1">
      <c r="B379" s="135"/>
      <c r="C379" s="17"/>
      <c r="D379" s="135"/>
      <c r="E379" s="139"/>
      <c r="F379" s="139"/>
      <c r="G379" s="17"/>
      <c r="H379" s="112"/>
    </row>
    <row r="380" spans="2:8" ht="16.5" thickBot="1">
      <c r="B380" s="135">
        <f>SUM(B366:B379)</f>
        <v>70</v>
      </c>
      <c r="C380" s="17" t="s">
        <v>53</v>
      </c>
      <c r="D380" s="135">
        <f>SUM(D366:D379)</f>
        <v>46.4</v>
      </c>
      <c r="E380" s="135">
        <f>SUM(E366:E379)</f>
        <v>0</v>
      </c>
      <c r="F380" s="135">
        <f>SUM(F366:F379)</f>
        <v>44.5</v>
      </c>
      <c r="G380" s="17" t="s">
        <v>53</v>
      </c>
      <c r="H380" s="112"/>
    </row>
    <row r="381" spans="2:8" ht="16.5" thickBot="1">
      <c r="B381" s="5"/>
      <c r="C381" s="3"/>
      <c r="D381" s="5"/>
      <c r="E381" s="5"/>
      <c r="H381" s="112"/>
    </row>
    <row r="382" spans="2:8" ht="14.45" customHeight="1">
      <c r="B382" s="430" t="str">
        <f>AÑO!A39</f>
        <v>Dreamed Holidays</v>
      </c>
      <c r="C382" s="419"/>
      <c r="D382" s="419"/>
      <c r="E382" s="419"/>
      <c r="F382" s="419"/>
      <c r="G382" s="420"/>
      <c r="H382" s="112"/>
    </row>
    <row r="383" spans="2:8" ht="15" customHeight="1" thickBot="1">
      <c r="B383" s="421"/>
      <c r="C383" s="422"/>
      <c r="D383" s="422"/>
      <c r="E383" s="422"/>
      <c r="F383" s="422"/>
      <c r="G383" s="423"/>
      <c r="H383" s="112"/>
    </row>
    <row r="384" spans="2:8" ht="15.75">
      <c r="B384" s="431" t="s">
        <v>8</v>
      </c>
      <c r="C384" s="432"/>
      <c r="D384" s="433" t="s">
        <v>9</v>
      </c>
      <c r="E384" s="433"/>
      <c r="F384" s="433"/>
      <c r="G384" s="432"/>
      <c r="H384" s="112"/>
    </row>
    <row r="385" spans="2:8" ht="15.75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  <c r="H385" s="112"/>
    </row>
    <row r="386" spans="2:8" ht="15.75">
      <c r="B386" s="133">
        <v>20</v>
      </c>
      <c r="C386" s="19"/>
      <c r="D386" s="137"/>
      <c r="E386" s="138"/>
      <c r="F386" s="138"/>
      <c r="G386" s="16"/>
      <c r="H386" s="112"/>
    </row>
    <row r="387" spans="2:8" ht="15.75">
      <c r="B387" s="134"/>
      <c r="C387" s="16"/>
      <c r="D387" s="137"/>
      <c r="E387" s="138"/>
      <c r="F387" s="138"/>
      <c r="G387" s="16"/>
      <c r="H387" s="112"/>
    </row>
    <row r="388" spans="2:8" ht="15.75">
      <c r="B388" s="134"/>
      <c r="C388" s="16"/>
      <c r="D388" s="137"/>
      <c r="E388" s="138"/>
      <c r="F388" s="138"/>
      <c r="G388" s="16"/>
      <c r="H388" s="112"/>
    </row>
    <row r="389" spans="2:8" ht="15.75">
      <c r="B389" s="134"/>
      <c r="C389" s="16"/>
      <c r="D389" s="137"/>
      <c r="E389" s="138"/>
      <c r="F389" s="138"/>
      <c r="G389" s="16"/>
      <c r="H389" s="112"/>
    </row>
    <row r="390" spans="2:8" ht="15.75">
      <c r="B390" s="134"/>
      <c r="C390" s="16"/>
      <c r="D390" s="137"/>
      <c r="E390" s="138"/>
      <c r="F390" s="138"/>
      <c r="G390" s="16"/>
      <c r="H390" s="112"/>
    </row>
    <row r="391" spans="2:8" ht="15.75">
      <c r="B391" s="134"/>
      <c r="C391" s="16"/>
      <c r="D391" s="137"/>
      <c r="E391" s="138"/>
      <c r="F391" s="138"/>
      <c r="G391" s="16"/>
      <c r="H391" s="112"/>
    </row>
    <row r="392" spans="2:8" ht="15.75">
      <c r="B392" s="134"/>
      <c r="C392" s="16"/>
      <c r="D392" s="137"/>
      <c r="E392" s="138"/>
      <c r="F392" s="138"/>
      <c r="G392" s="16"/>
      <c r="H392" s="112"/>
    </row>
    <row r="393" spans="2:8" ht="15.75">
      <c r="B393" s="134"/>
      <c r="C393" s="16"/>
      <c r="D393" s="137"/>
      <c r="E393" s="138"/>
      <c r="F393" s="138"/>
      <c r="G393" s="16"/>
      <c r="H393" s="112"/>
    </row>
    <row r="394" spans="2:8" ht="15.75">
      <c r="B394" s="134"/>
      <c r="C394" s="16"/>
      <c r="D394" s="137"/>
      <c r="E394" s="138"/>
      <c r="F394" s="138"/>
      <c r="G394" s="16"/>
      <c r="H394" s="112"/>
    </row>
    <row r="395" spans="2:8" ht="15.75">
      <c r="B395" s="134"/>
      <c r="C395" s="16"/>
      <c r="D395" s="137"/>
      <c r="E395" s="138"/>
      <c r="F395" s="138"/>
      <c r="G395" s="16"/>
      <c r="H395" s="112"/>
    </row>
    <row r="396" spans="2:8" ht="15.75">
      <c r="B396" s="134"/>
      <c r="C396" s="16"/>
      <c r="D396" s="137"/>
      <c r="E396" s="138"/>
      <c r="F396" s="138"/>
      <c r="G396" s="16"/>
      <c r="H396" s="112"/>
    </row>
    <row r="397" spans="2:8" ht="15.75">
      <c r="B397" s="134"/>
      <c r="C397" s="16"/>
      <c r="D397" s="137"/>
      <c r="E397" s="138"/>
      <c r="F397" s="138"/>
      <c r="G397" s="16"/>
      <c r="H397" s="112"/>
    </row>
    <row r="398" spans="2:8" ht="15.75">
      <c r="B398" s="134"/>
      <c r="C398" s="16"/>
      <c r="D398" s="137"/>
      <c r="E398" s="138"/>
      <c r="F398" s="138"/>
      <c r="G398" s="16"/>
      <c r="H398" s="112"/>
    </row>
    <row r="399" spans="2:8" ht="16.5" thickBot="1">
      <c r="B399" s="135"/>
      <c r="C399" s="17"/>
      <c r="D399" s="135"/>
      <c r="E399" s="139"/>
      <c r="F399" s="139"/>
      <c r="G399" s="17"/>
      <c r="H399" s="112"/>
    </row>
    <row r="400" spans="2:8" ht="16.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  <c r="H400" s="112"/>
    </row>
    <row r="401" spans="2:8" ht="16.5" thickBot="1">
      <c r="B401" s="5"/>
      <c r="C401" s="3"/>
      <c r="D401" s="5"/>
      <c r="E401" s="5"/>
      <c r="H401" s="112"/>
    </row>
    <row r="402" spans="2:8" ht="14.45" customHeight="1">
      <c r="B402" s="430" t="str">
        <f>AÑO!A40</f>
        <v>Financieros</v>
      </c>
      <c r="C402" s="419"/>
      <c r="D402" s="419"/>
      <c r="E402" s="419"/>
      <c r="F402" s="419"/>
      <c r="G402" s="420"/>
      <c r="H402" s="112"/>
    </row>
    <row r="403" spans="2:8" ht="15" customHeight="1" thickBot="1">
      <c r="B403" s="421"/>
      <c r="C403" s="422"/>
      <c r="D403" s="422"/>
      <c r="E403" s="422"/>
      <c r="F403" s="422"/>
      <c r="G403" s="423"/>
      <c r="H403" s="112"/>
    </row>
    <row r="404" spans="2:8" ht="15.75">
      <c r="B404" s="431" t="s">
        <v>8</v>
      </c>
      <c r="C404" s="432"/>
      <c r="D404" s="433" t="s">
        <v>9</v>
      </c>
      <c r="E404" s="433"/>
      <c r="F404" s="433"/>
      <c r="G404" s="432"/>
      <c r="H404" s="112"/>
    </row>
    <row r="405" spans="2:8" ht="15.75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  <c r="H405" s="112"/>
    </row>
    <row r="406" spans="2:8" ht="15.75">
      <c r="B406" s="133">
        <v>20</v>
      </c>
      <c r="C406" s="19"/>
      <c r="D406" s="137">
        <v>10</v>
      </c>
      <c r="E406" s="138"/>
      <c r="F406" s="138"/>
      <c r="G406" s="16" t="s">
        <v>246</v>
      </c>
      <c r="H406" s="112"/>
    </row>
    <row r="407" spans="2:8" ht="15.75">
      <c r="B407" s="134">
        <v>1.87</v>
      </c>
      <c r="C407" s="16" t="s">
        <v>240</v>
      </c>
      <c r="D407" s="137">
        <v>25.87</v>
      </c>
      <c r="E407" s="138"/>
      <c r="F407" s="138"/>
      <c r="G407" s="16" t="s">
        <v>273</v>
      </c>
      <c r="H407" s="112"/>
    </row>
    <row r="408" spans="2:8" ht="15.75">
      <c r="B408" s="134"/>
      <c r="C408" s="16"/>
      <c r="D408" s="137"/>
      <c r="E408" s="138"/>
      <c r="F408" s="138"/>
      <c r="G408" s="16"/>
      <c r="H408" s="112"/>
    </row>
    <row r="409" spans="2:8" ht="15.75">
      <c r="B409" s="134"/>
      <c r="C409" s="16"/>
      <c r="D409" s="137"/>
      <c r="E409" s="138"/>
      <c r="F409" s="138"/>
      <c r="G409" s="16"/>
      <c r="H409" s="112"/>
    </row>
    <row r="410" spans="2:8" ht="15.75">
      <c r="B410" s="134"/>
      <c r="C410" s="16"/>
      <c r="D410" s="137"/>
      <c r="E410" s="138"/>
      <c r="F410" s="138"/>
      <c r="G410" s="16"/>
      <c r="H410" s="112"/>
    </row>
    <row r="411" spans="2:8" ht="15.75">
      <c r="B411" s="134"/>
      <c r="C411" s="16"/>
      <c r="D411" s="137"/>
      <c r="E411" s="138"/>
      <c r="F411" s="138"/>
      <c r="G411" s="16"/>
      <c r="H411" s="112"/>
    </row>
    <row r="412" spans="2:8" ht="15.75">
      <c r="B412" s="134"/>
      <c r="C412" s="16"/>
      <c r="D412" s="137"/>
      <c r="E412" s="138"/>
      <c r="F412" s="138"/>
      <c r="G412" s="16"/>
      <c r="H412" s="112"/>
    </row>
    <row r="413" spans="2:8" ht="15.75">
      <c r="B413" s="134"/>
      <c r="C413" s="16"/>
      <c r="D413" s="137"/>
      <c r="E413" s="138"/>
      <c r="F413" s="138"/>
      <c r="G413" s="16"/>
      <c r="H413" s="112"/>
    </row>
    <row r="414" spans="2:8" ht="15.75">
      <c r="B414" s="134"/>
      <c r="C414" s="16"/>
      <c r="D414" s="137"/>
      <c r="E414" s="138"/>
      <c r="F414" s="138"/>
      <c r="G414" s="16"/>
      <c r="H414" s="112"/>
    </row>
    <row r="415" spans="2:8" ht="15.75">
      <c r="B415" s="134"/>
      <c r="C415" s="16"/>
      <c r="D415" s="137"/>
      <c r="E415" s="138"/>
      <c r="F415" s="138"/>
      <c r="G415" s="16"/>
      <c r="H415" s="112"/>
    </row>
    <row r="416" spans="2:8" ht="15.75">
      <c r="B416" s="134"/>
      <c r="C416" s="16"/>
      <c r="D416" s="137"/>
      <c r="E416" s="138"/>
      <c r="F416" s="138"/>
      <c r="G416" s="16"/>
      <c r="H416" s="112"/>
    </row>
    <row r="417" spans="1:8" ht="15.75">
      <c r="B417" s="134"/>
      <c r="C417" s="16"/>
      <c r="D417" s="137"/>
      <c r="E417" s="138"/>
      <c r="F417" s="138"/>
      <c r="G417" s="16"/>
      <c r="H417" s="112"/>
    </row>
    <row r="418" spans="1:8" ht="15.75">
      <c r="B418" s="134"/>
      <c r="C418" s="16"/>
      <c r="D418" s="137"/>
      <c r="E418" s="138"/>
      <c r="F418" s="138"/>
      <c r="G418" s="16"/>
      <c r="H418" s="112"/>
    </row>
    <row r="419" spans="1:8" ht="16.5" thickBot="1">
      <c r="B419" s="135"/>
      <c r="C419" s="17"/>
      <c r="D419" s="135"/>
      <c r="E419" s="139"/>
      <c r="F419" s="139"/>
      <c r="G419" s="17"/>
      <c r="H419" s="112"/>
    </row>
    <row r="420" spans="1:8" ht="16.5" thickBot="1">
      <c r="B420" s="135">
        <f>SUM(B406:B419)</f>
        <v>21.87</v>
      </c>
      <c r="C420" s="17" t="s">
        <v>53</v>
      </c>
      <c r="D420" s="135">
        <f>SUM(D406:D419)</f>
        <v>35.870000000000005</v>
      </c>
      <c r="E420" s="135">
        <f>SUM(E406:E419)</f>
        <v>0</v>
      </c>
      <c r="F420" s="135">
        <f>SUM(F406:F419)</f>
        <v>0</v>
      </c>
      <c r="G420" s="17" t="s">
        <v>53</v>
      </c>
      <c r="H420" s="112"/>
    </row>
    <row r="421" spans="1:8" ht="16.5" thickBot="1">
      <c r="B421" s="5"/>
      <c r="C421" s="3"/>
      <c r="D421" s="5"/>
      <c r="E421" s="5"/>
      <c r="H421" s="112"/>
    </row>
    <row r="422" spans="1:8" ht="14.45" customHeight="1">
      <c r="B422" s="430" t="str">
        <f>AÑO!A41</f>
        <v>Ahorros Colchón</v>
      </c>
      <c r="C422" s="436"/>
      <c r="D422" s="436"/>
      <c r="E422" s="436"/>
      <c r="F422" s="436"/>
      <c r="G422" s="437"/>
      <c r="H422" s="112"/>
    </row>
    <row r="423" spans="1:8" ht="15" customHeight="1" thickBot="1">
      <c r="B423" s="438"/>
      <c r="C423" s="439"/>
      <c r="D423" s="439"/>
      <c r="E423" s="439"/>
      <c r="F423" s="439"/>
      <c r="G423" s="440"/>
      <c r="H423" s="112"/>
    </row>
    <row r="424" spans="1:8" ht="15.75">
      <c r="B424" s="431" t="s">
        <v>8</v>
      </c>
      <c r="C424" s="432"/>
      <c r="D424" s="433" t="s">
        <v>9</v>
      </c>
      <c r="E424" s="433"/>
      <c r="F424" s="433"/>
      <c r="G424" s="432"/>
      <c r="H424" s="112"/>
    </row>
    <row r="425" spans="1:8" ht="15.75">
      <c r="A425" s="89" t="s">
        <v>220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  <c r="H425" s="112" t="s">
        <v>209</v>
      </c>
    </row>
    <row r="426" spans="1:8" ht="15.75">
      <c r="A426" s="112">
        <f>3900+115.77+3.85+0.02+137+85</f>
        <v>4241.6399999999994</v>
      </c>
      <c r="B426" s="134">
        <f>AÑO!C17 -A426</f>
        <v>-550.06999999999925</v>
      </c>
      <c r="C426" s="19" t="s">
        <v>234</v>
      </c>
      <c r="D426" s="137"/>
      <c r="E426" s="138"/>
      <c r="F426" s="138"/>
      <c r="G426" s="16"/>
      <c r="H426" s="112">
        <v>5860</v>
      </c>
    </row>
    <row r="427" spans="1:8" ht="15.75">
      <c r="A427" s="113"/>
      <c r="B427" s="134"/>
      <c r="C427" s="16"/>
      <c r="D427" s="137"/>
      <c r="E427" s="138"/>
      <c r="F427" s="138"/>
      <c r="G427" s="16"/>
      <c r="H427" s="112"/>
    </row>
    <row r="428" spans="1:8" ht="15.75">
      <c r="A428" s="113"/>
      <c r="B428" s="134"/>
      <c r="C428" s="16"/>
      <c r="D428" s="137"/>
      <c r="E428" s="138"/>
      <c r="F428" s="138"/>
      <c r="G428" s="16"/>
      <c r="H428" s="112"/>
    </row>
    <row r="429" spans="1:8" ht="15.75">
      <c r="A429" s="113"/>
      <c r="B429" s="134"/>
      <c r="C429" s="16"/>
      <c r="D429" s="137"/>
      <c r="E429" s="138"/>
      <c r="F429" s="138"/>
      <c r="G429" s="16"/>
      <c r="H429" s="112"/>
    </row>
    <row r="430" spans="1:8" ht="15.75">
      <c r="A430" s="113"/>
      <c r="B430" s="134"/>
      <c r="C430" s="16"/>
      <c r="D430" s="137"/>
      <c r="E430" s="138"/>
      <c r="F430" s="138"/>
      <c r="G430" s="16"/>
      <c r="H430" s="112"/>
    </row>
    <row r="431" spans="1:8" ht="15.75">
      <c r="B431" s="134"/>
      <c r="C431" s="16"/>
      <c r="D431" s="137"/>
      <c r="E431" s="138"/>
      <c r="F431" s="138"/>
      <c r="G431" s="16"/>
      <c r="H431" s="112"/>
    </row>
    <row r="432" spans="1:8" ht="15.75">
      <c r="B432" s="134"/>
      <c r="C432" s="16"/>
      <c r="D432" s="137"/>
      <c r="E432" s="138"/>
      <c r="F432" s="138"/>
      <c r="G432" s="16"/>
      <c r="H432" s="112"/>
    </row>
    <row r="433" spans="2:8" ht="15.75">
      <c r="B433" s="134"/>
      <c r="C433" s="16"/>
      <c r="D433" s="137"/>
      <c r="E433" s="138"/>
      <c r="F433" s="138"/>
      <c r="G433" s="16"/>
      <c r="H433" s="112"/>
    </row>
    <row r="434" spans="2:8" ht="15.75">
      <c r="B434" s="134"/>
      <c r="C434" s="16"/>
      <c r="D434" s="137"/>
      <c r="E434" s="138"/>
      <c r="F434" s="138"/>
      <c r="G434" s="16"/>
      <c r="H434" s="112"/>
    </row>
    <row r="435" spans="2:8" ht="15.75">
      <c r="B435" s="134"/>
      <c r="C435" s="16"/>
      <c r="D435" s="137"/>
      <c r="E435" s="138"/>
      <c r="F435" s="138"/>
      <c r="G435" s="16"/>
      <c r="H435" s="112"/>
    </row>
    <row r="436" spans="2:8" ht="15.75">
      <c r="B436" s="134"/>
      <c r="C436" s="16"/>
      <c r="D436" s="137"/>
      <c r="E436" s="138"/>
      <c r="F436" s="138"/>
      <c r="G436" s="16"/>
      <c r="H436" s="112"/>
    </row>
    <row r="437" spans="2:8" ht="15.75">
      <c r="B437" s="134"/>
      <c r="C437" s="16"/>
      <c r="D437" s="137"/>
      <c r="E437" s="138"/>
      <c r="F437" s="138"/>
      <c r="G437" s="16"/>
      <c r="H437" s="112"/>
    </row>
    <row r="438" spans="2:8" ht="15.75">
      <c r="B438" s="134"/>
      <c r="C438" s="16"/>
      <c r="D438" s="137"/>
      <c r="E438" s="138"/>
      <c r="F438" s="138"/>
      <c r="G438" s="16"/>
      <c r="H438" s="112"/>
    </row>
    <row r="439" spans="2:8" ht="16.5" thickBot="1">
      <c r="B439" s="135"/>
      <c r="C439" s="17"/>
      <c r="D439" s="135"/>
      <c r="E439" s="139"/>
      <c r="F439" s="139"/>
      <c r="G439" s="17"/>
      <c r="H439" s="112"/>
    </row>
    <row r="440" spans="2:8" ht="16.5" thickBot="1">
      <c r="B440" s="135">
        <f>SUM(B426:B439)</f>
        <v>-550.06999999999925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  <c r="H440" s="112"/>
    </row>
    <row r="441" spans="2:8" ht="16.5" thickBot="1">
      <c r="B441" s="5"/>
      <c r="C441" s="3"/>
      <c r="D441" s="5"/>
      <c r="E441" s="5"/>
      <c r="H441" s="112"/>
    </row>
    <row r="442" spans="2:8" ht="14.45" customHeight="1">
      <c r="B442" s="430" t="str">
        <f>AÑO!A42</f>
        <v>Dinero Bloqueado</v>
      </c>
      <c r="C442" s="436"/>
      <c r="D442" s="436"/>
      <c r="E442" s="436"/>
      <c r="F442" s="436"/>
      <c r="G442" s="437"/>
      <c r="H442" s="112"/>
    </row>
    <row r="443" spans="2:8" ht="15" customHeight="1" thickBot="1">
      <c r="B443" s="438"/>
      <c r="C443" s="439"/>
      <c r="D443" s="439"/>
      <c r="E443" s="439"/>
      <c r="F443" s="439"/>
      <c r="G443" s="440"/>
      <c r="H443" s="112"/>
    </row>
    <row r="444" spans="2:8" ht="15.75">
      <c r="B444" s="431" t="s">
        <v>8</v>
      </c>
      <c r="C444" s="432"/>
      <c r="D444" s="433" t="s">
        <v>9</v>
      </c>
      <c r="E444" s="433"/>
      <c r="F444" s="433"/>
      <c r="G444" s="432"/>
      <c r="H444" s="112"/>
    </row>
    <row r="445" spans="2:8" ht="15.75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  <c r="H445" s="112"/>
    </row>
    <row r="446" spans="2:8" ht="15.75">
      <c r="B446" s="133">
        <v>1.98</v>
      </c>
      <c r="C446" s="19" t="s">
        <v>241</v>
      </c>
      <c r="D446" s="137"/>
      <c r="E446" s="138"/>
      <c r="F446" s="138"/>
      <c r="G446" s="16"/>
      <c r="H446" s="112"/>
    </row>
    <row r="447" spans="2:8" ht="15.75">
      <c r="B447" s="134"/>
      <c r="C447" s="16"/>
      <c r="D447" s="137"/>
      <c r="E447" s="138"/>
      <c r="F447" s="138"/>
      <c r="G447" s="16"/>
      <c r="H447" s="112"/>
    </row>
    <row r="448" spans="2:8" ht="15.75">
      <c r="B448" s="134"/>
      <c r="C448" s="16"/>
      <c r="D448" s="137"/>
      <c r="E448" s="138"/>
      <c r="F448" s="138"/>
      <c r="G448" s="16"/>
      <c r="H448" s="112"/>
    </row>
    <row r="449" spans="2:8" ht="15.75">
      <c r="B449" s="134"/>
      <c r="C449" s="16"/>
      <c r="D449" s="137"/>
      <c r="E449" s="138"/>
      <c r="F449" s="138"/>
      <c r="G449" s="16"/>
      <c r="H449" s="112"/>
    </row>
    <row r="450" spans="2:8" ht="15.75">
      <c r="B450" s="134"/>
      <c r="C450" s="16"/>
      <c r="D450" s="137"/>
      <c r="E450" s="138"/>
      <c r="F450" s="138"/>
      <c r="G450" s="16"/>
      <c r="H450" s="112"/>
    </row>
    <row r="451" spans="2:8" ht="15.75">
      <c r="B451" s="134"/>
      <c r="C451" s="16"/>
      <c r="D451" s="137"/>
      <c r="E451" s="138"/>
      <c r="F451" s="138"/>
      <c r="G451" s="16"/>
      <c r="H451" s="112"/>
    </row>
    <row r="452" spans="2:8" ht="15.75">
      <c r="B452" s="134"/>
      <c r="C452" s="16"/>
      <c r="D452" s="137"/>
      <c r="E452" s="138"/>
      <c r="F452" s="138"/>
      <c r="G452" s="16"/>
      <c r="H452" s="112"/>
    </row>
    <row r="453" spans="2:8" ht="15.75">
      <c r="B453" s="134"/>
      <c r="C453" s="16"/>
      <c r="D453" s="137"/>
      <c r="E453" s="138"/>
      <c r="F453" s="138"/>
      <c r="G453" s="16"/>
      <c r="H453" s="112"/>
    </row>
    <row r="454" spans="2:8" ht="15.75">
      <c r="B454" s="134"/>
      <c r="C454" s="16"/>
      <c r="D454" s="137"/>
      <c r="E454" s="138"/>
      <c r="F454" s="138"/>
      <c r="G454" s="16"/>
      <c r="H454" s="112"/>
    </row>
    <row r="455" spans="2:8" ht="15.75">
      <c r="B455" s="134"/>
      <c r="C455" s="16"/>
      <c r="D455" s="137"/>
      <c r="E455" s="138"/>
      <c r="F455" s="138"/>
      <c r="G455" s="16"/>
      <c r="H455" s="112"/>
    </row>
    <row r="456" spans="2:8" ht="15.75">
      <c r="B456" s="134"/>
      <c r="C456" s="16"/>
      <c r="D456" s="137"/>
      <c r="E456" s="138"/>
      <c r="F456" s="138"/>
      <c r="G456" s="16"/>
      <c r="H456" s="112"/>
    </row>
    <row r="457" spans="2:8" ht="15.75">
      <c r="B457" s="134"/>
      <c r="C457" s="16"/>
      <c r="D457" s="137"/>
      <c r="E457" s="138"/>
      <c r="F457" s="138"/>
      <c r="G457" s="16"/>
      <c r="H457" s="112"/>
    </row>
    <row r="458" spans="2:8" ht="15.75">
      <c r="B458" s="134"/>
      <c r="C458" s="16"/>
      <c r="D458" s="137"/>
      <c r="E458" s="138"/>
      <c r="F458" s="138"/>
      <c r="G458" s="16"/>
      <c r="H458" s="112"/>
    </row>
    <row r="459" spans="2:8" ht="16.5" thickBot="1">
      <c r="B459" s="135"/>
      <c r="C459" s="17"/>
      <c r="D459" s="135"/>
      <c r="E459" s="139"/>
      <c r="F459" s="139"/>
      <c r="G459" s="17"/>
      <c r="H459" s="112"/>
    </row>
    <row r="460" spans="2:8" ht="16.5" thickBot="1">
      <c r="B460" s="135">
        <f>SUM(B446:B459)</f>
        <v>1.98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  <c r="H460" s="112"/>
    </row>
    <row r="461" spans="2:8" ht="16.5" thickBot="1">
      <c r="B461" s="5"/>
      <c r="C461" s="3"/>
      <c r="D461" s="5"/>
      <c r="E461" s="5"/>
      <c r="H461" s="112"/>
    </row>
    <row r="462" spans="2:8" ht="14.45" customHeight="1">
      <c r="B462" s="430" t="str">
        <f>AÑO!A43</f>
        <v>Cartama Finanazas</v>
      </c>
      <c r="C462" s="436"/>
      <c r="D462" s="436"/>
      <c r="E462" s="436"/>
      <c r="F462" s="436"/>
      <c r="G462" s="437"/>
      <c r="H462" s="112"/>
    </row>
    <row r="463" spans="2:8" ht="15" customHeight="1" thickBot="1">
      <c r="B463" s="438"/>
      <c r="C463" s="439"/>
      <c r="D463" s="439"/>
      <c r="E463" s="439"/>
      <c r="F463" s="439"/>
      <c r="G463" s="440"/>
      <c r="H463" s="112"/>
    </row>
    <row r="464" spans="2:8" ht="15.75">
      <c r="B464" s="431" t="s">
        <v>8</v>
      </c>
      <c r="C464" s="432"/>
      <c r="D464" s="433" t="s">
        <v>9</v>
      </c>
      <c r="E464" s="433"/>
      <c r="F464" s="433"/>
      <c r="G464" s="432"/>
      <c r="H464" s="112"/>
    </row>
    <row r="465" spans="1:8" ht="15.75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  <c r="H465" s="112" t="s">
        <v>184</v>
      </c>
    </row>
    <row r="466" spans="1:8" ht="15.75">
      <c r="A466" s="112">
        <f>H466+(B466-SUM(D466:F466))</f>
        <v>550</v>
      </c>
      <c r="B466" s="134">
        <v>0</v>
      </c>
      <c r="C466" s="16" t="s">
        <v>174</v>
      </c>
      <c r="D466" s="137"/>
      <c r="E466" s="138"/>
      <c r="F466" s="138"/>
      <c r="G466" s="16"/>
      <c r="H466" s="112">
        <v>550</v>
      </c>
    </row>
    <row r="467" spans="1:8" ht="15.75">
      <c r="A467" s="112">
        <f t="shared" ref="A467:A468" si="4">H467+(B467-SUM(D467:F467))</f>
        <v>433.02</v>
      </c>
      <c r="B467" s="134">
        <f>35+0.02</f>
        <v>35.020000000000003</v>
      </c>
      <c r="C467" s="16" t="s">
        <v>185</v>
      </c>
      <c r="D467" s="137"/>
      <c r="E467" s="138"/>
      <c r="F467" s="138"/>
      <c r="G467" s="16"/>
      <c r="H467" s="112">
        <v>398</v>
      </c>
    </row>
    <row r="468" spans="1:8" ht="15.75">
      <c r="A468" s="112">
        <f t="shared" si="4"/>
        <v>30</v>
      </c>
      <c r="B468" s="134">
        <v>15</v>
      </c>
      <c r="C468" s="16" t="s">
        <v>186</v>
      </c>
      <c r="D468" s="137"/>
      <c r="E468" s="138"/>
      <c r="F468" s="138"/>
      <c r="G468" s="16"/>
      <c r="H468" s="112">
        <v>15</v>
      </c>
    </row>
    <row r="469" spans="1:8" ht="15.75">
      <c r="B469" s="134"/>
      <c r="C469" s="16"/>
      <c r="D469" s="137"/>
      <c r="E469" s="138"/>
      <c r="F469" s="138"/>
      <c r="G469" s="16"/>
      <c r="H469" s="112"/>
    </row>
    <row r="470" spans="1:8" ht="15.75">
      <c r="B470" s="134"/>
      <c r="C470" s="16"/>
      <c r="D470" s="137"/>
      <c r="E470" s="138"/>
      <c r="F470" s="138"/>
      <c r="G470" s="16"/>
      <c r="H470" s="112"/>
    </row>
    <row r="471" spans="1:8" ht="15.75">
      <c r="B471" s="134"/>
      <c r="C471" s="16"/>
      <c r="D471" s="137"/>
      <c r="E471" s="138"/>
      <c r="F471" s="138"/>
      <c r="G471" s="16"/>
      <c r="H471" s="112"/>
    </row>
    <row r="472" spans="1:8" ht="15.75">
      <c r="B472" s="134"/>
      <c r="C472" s="16"/>
      <c r="D472" s="137"/>
      <c r="E472" s="138"/>
      <c r="F472" s="138"/>
      <c r="G472" s="16"/>
      <c r="H472" s="112"/>
    </row>
    <row r="473" spans="1:8" ht="15.75">
      <c r="B473" s="134"/>
      <c r="C473" s="16"/>
      <c r="D473" s="137"/>
      <c r="E473" s="138"/>
      <c r="F473" s="138"/>
      <c r="G473" s="16"/>
      <c r="H473" s="112"/>
    </row>
    <row r="474" spans="1:8" ht="15.75">
      <c r="B474" s="134"/>
      <c r="C474" s="16"/>
      <c r="D474" s="137"/>
      <c r="E474" s="138"/>
      <c r="F474" s="138"/>
      <c r="G474" s="16"/>
      <c r="H474" s="112"/>
    </row>
    <row r="475" spans="1:8" ht="15.75">
      <c r="B475" s="134"/>
      <c r="C475" s="16"/>
      <c r="D475" s="137"/>
      <c r="E475" s="138"/>
      <c r="F475" s="138"/>
      <c r="G475" s="16"/>
      <c r="H475" s="112"/>
    </row>
    <row r="476" spans="1:8" ht="15.75">
      <c r="B476" s="134"/>
      <c r="C476" s="16"/>
      <c r="D476" s="137"/>
      <c r="E476" s="138"/>
      <c r="F476" s="138"/>
      <c r="G476" s="16"/>
      <c r="H476" s="112"/>
    </row>
    <row r="477" spans="1:8" ht="15.75">
      <c r="B477" s="134"/>
      <c r="C477" s="16"/>
      <c r="D477" s="137"/>
      <c r="E477" s="138"/>
      <c r="F477" s="138"/>
      <c r="G477" s="16"/>
      <c r="H477" s="112"/>
    </row>
    <row r="478" spans="1:8" ht="15.75">
      <c r="B478" s="134"/>
      <c r="C478" s="16"/>
      <c r="D478" s="137"/>
      <c r="E478" s="138"/>
      <c r="F478" s="138"/>
      <c r="G478" s="16"/>
      <c r="H478" s="112"/>
    </row>
    <row r="479" spans="1:8" ht="16.5" thickBot="1">
      <c r="B479" s="135"/>
      <c r="C479" s="17"/>
      <c r="D479" s="135"/>
      <c r="E479" s="139"/>
      <c r="F479" s="139"/>
      <c r="G479" s="17"/>
      <c r="H479" s="112"/>
    </row>
    <row r="480" spans="1:8" ht="16.5" thickBot="1">
      <c r="A480" s="113">
        <f>SUM(A466:A468)</f>
        <v>1013.02</v>
      </c>
      <c r="B480" s="135">
        <f>SUM(B466:B479)</f>
        <v>50.02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  <c r="H480" s="112">
        <v>918</v>
      </c>
    </row>
    <row r="481" spans="2:8" ht="16.5" thickBot="1">
      <c r="H481" s="112"/>
    </row>
    <row r="482" spans="2:8" ht="14.45" customHeight="1">
      <c r="B482" s="430" t="str">
        <f>AÑO!A44</f>
        <v>NULO</v>
      </c>
      <c r="C482" s="436"/>
      <c r="D482" s="436"/>
      <c r="E482" s="436"/>
      <c r="F482" s="436"/>
      <c r="G482" s="437"/>
      <c r="H482" s="112"/>
    </row>
    <row r="483" spans="2:8" ht="15" customHeight="1" thickBot="1">
      <c r="B483" s="438"/>
      <c r="C483" s="439"/>
      <c r="D483" s="439"/>
      <c r="E483" s="439"/>
      <c r="F483" s="439"/>
      <c r="G483" s="440"/>
      <c r="H483" s="112"/>
    </row>
    <row r="484" spans="2:8" ht="15.75">
      <c r="B484" s="431" t="s">
        <v>8</v>
      </c>
      <c r="C484" s="432"/>
      <c r="D484" s="433" t="s">
        <v>9</v>
      </c>
      <c r="E484" s="433"/>
      <c r="F484" s="433"/>
      <c r="G484" s="432"/>
      <c r="H484" s="112"/>
    </row>
    <row r="485" spans="2:8" ht="15.75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  <c r="H485" s="112"/>
    </row>
    <row r="486" spans="2:8" ht="15.75">
      <c r="B486" s="133"/>
      <c r="C486" s="19"/>
      <c r="D486" s="137"/>
      <c r="E486" s="138"/>
      <c r="F486" s="138"/>
      <c r="G486" s="16"/>
      <c r="H486" s="112"/>
    </row>
    <row r="487" spans="2:8" ht="15.75">
      <c r="B487" s="134"/>
      <c r="C487" s="16"/>
      <c r="D487" s="137"/>
      <c r="E487" s="138"/>
      <c r="F487" s="138"/>
      <c r="G487" s="16"/>
      <c r="H487" s="112"/>
    </row>
    <row r="488" spans="2:8" ht="15.75">
      <c r="B488" s="134"/>
      <c r="C488" s="16"/>
      <c r="D488" s="137"/>
      <c r="E488" s="138"/>
      <c r="F488" s="138"/>
      <c r="G488" s="16"/>
      <c r="H488" s="112"/>
    </row>
    <row r="489" spans="2:8" ht="15.75">
      <c r="B489" s="134"/>
      <c r="C489" s="16"/>
      <c r="D489" s="137"/>
      <c r="E489" s="138"/>
      <c r="F489" s="138"/>
      <c r="G489" s="16"/>
      <c r="H489" s="112"/>
    </row>
    <row r="490" spans="2:8" ht="15.75">
      <c r="B490" s="134"/>
      <c r="C490" s="16"/>
      <c r="D490" s="137"/>
      <c r="E490" s="138"/>
      <c r="F490" s="138"/>
      <c r="G490" s="16"/>
      <c r="H490" s="112"/>
    </row>
    <row r="491" spans="2:8" ht="15.75">
      <c r="B491" s="134"/>
      <c r="C491" s="16"/>
      <c r="D491" s="137"/>
      <c r="E491" s="138"/>
      <c r="F491" s="138"/>
      <c r="G491" s="16"/>
      <c r="H491" s="112"/>
    </row>
    <row r="492" spans="2:8" ht="15.75">
      <c r="B492" s="134"/>
      <c r="C492" s="16"/>
      <c r="D492" s="137"/>
      <c r="E492" s="138"/>
      <c r="F492" s="138"/>
      <c r="G492" s="16"/>
      <c r="H492" s="112"/>
    </row>
    <row r="493" spans="2:8" ht="15.75">
      <c r="B493" s="134"/>
      <c r="C493" s="16"/>
      <c r="D493" s="137"/>
      <c r="E493" s="138"/>
      <c r="F493" s="138"/>
      <c r="G493" s="16"/>
      <c r="H493" s="112"/>
    </row>
    <row r="494" spans="2:8" ht="15.75">
      <c r="B494" s="134"/>
      <c r="C494" s="16"/>
      <c r="D494" s="137"/>
      <c r="E494" s="138"/>
      <c r="F494" s="138"/>
      <c r="G494" s="16"/>
      <c r="H494" s="112"/>
    </row>
    <row r="495" spans="2:8" ht="15.75">
      <c r="B495" s="134"/>
      <c r="C495" s="16"/>
      <c r="D495" s="137"/>
      <c r="E495" s="138"/>
      <c r="F495" s="138"/>
      <c r="G495" s="16"/>
      <c r="H495" s="112"/>
    </row>
    <row r="496" spans="2:8" ht="15.75">
      <c r="B496" s="134"/>
      <c r="C496" s="16"/>
      <c r="D496" s="137"/>
      <c r="E496" s="138"/>
      <c r="F496" s="138"/>
      <c r="G496" s="16"/>
      <c r="H496" s="112"/>
    </row>
    <row r="497" spans="2:8" ht="15.75">
      <c r="B497" s="134"/>
      <c r="C497" s="16"/>
      <c r="D497" s="137"/>
      <c r="E497" s="138"/>
      <c r="F497" s="138"/>
      <c r="G497" s="16"/>
      <c r="H497" s="112"/>
    </row>
    <row r="498" spans="2:8" ht="15.75">
      <c r="B498" s="134"/>
      <c r="C498" s="16"/>
      <c r="D498" s="137"/>
      <c r="E498" s="138"/>
      <c r="F498" s="138"/>
      <c r="G498" s="16"/>
      <c r="H498" s="112"/>
    </row>
    <row r="499" spans="2:8" ht="16.5" thickBot="1">
      <c r="B499" s="135"/>
      <c r="C499" s="17"/>
      <c r="D499" s="135"/>
      <c r="E499" s="139"/>
      <c r="F499" s="139"/>
      <c r="G499" s="17"/>
      <c r="H499" s="112"/>
    </row>
    <row r="500" spans="2:8" ht="16.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  <c r="H500" s="112"/>
    </row>
    <row r="501" spans="2:8" ht="16.5" thickBot="1">
      <c r="B501" s="5"/>
      <c r="C501" s="3"/>
      <c r="D501" s="5"/>
      <c r="E501" s="5"/>
      <c r="H501" s="112"/>
    </row>
    <row r="502" spans="2:8" ht="14.45" customHeight="1">
      <c r="B502" s="430" t="str">
        <f>AÑO!A45</f>
        <v>OTROS</v>
      </c>
      <c r="C502" s="436"/>
      <c r="D502" s="436"/>
      <c r="E502" s="436"/>
      <c r="F502" s="436"/>
      <c r="G502" s="437"/>
      <c r="H502" s="112"/>
    </row>
    <row r="503" spans="2:8" ht="15" customHeight="1" thickBot="1">
      <c r="B503" s="438"/>
      <c r="C503" s="439"/>
      <c r="D503" s="439"/>
      <c r="E503" s="439"/>
      <c r="F503" s="439"/>
      <c r="G503" s="440"/>
      <c r="H503" s="112"/>
    </row>
    <row r="504" spans="2:8" ht="15.75">
      <c r="B504" s="431" t="s">
        <v>8</v>
      </c>
      <c r="C504" s="432"/>
      <c r="D504" s="433" t="s">
        <v>9</v>
      </c>
      <c r="E504" s="433"/>
      <c r="F504" s="433"/>
      <c r="G504" s="432"/>
      <c r="H504" s="112"/>
    </row>
    <row r="505" spans="2:8" ht="15.75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  <c r="H505" s="112"/>
    </row>
    <row r="506" spans="2:8" ht="15.75">
      <c r="B506" s="133"/>
      <c r="C506" s="19"/>
      <c r="D506" s="137">
        <v>25.25</v>
      </c>
      <c r="E506" s="138"/>
      <c r="F506" s="138"/>
      <c r="G506" s="16" t="s">
        <v>285</v>
      </c>
      <c r="H506" s="112"/>
    </row>
    <row r="507" spans="2:8" ht="15.75">
      <c r="B507" s="134"/>
      <c r="C507" s="16"/>
      <c r="D507" s="137"/>
      <c r="E507" s="138"/>
      <c r="F507" s="138"/>
      <c r="G507" s="16"/>
      <c r="H507" s="112"/>
    </row>
    <row r="508" spans="2:8" ht="15.75">
      <c r="B508" s="134"/>
      <c r="C508" s="16"/>
      <c r="D508" s="137"/>
      <c r="E508" s="138"/>
      <c r="F508" s="138"/>
      <c r="G508" s="16"/>
      <c r="H508" s="112"/>
    </row>
    <row r="509" spans="2:8" ht="15.75">
      <c r="B509" s="134"/>
      <c r="C509" s="16"/>
      <c r="D509" s="137"/>
      <c r="E509" s="138"/>
      <c r="F509" s="138"/>
      <c r="G509" s="16"/>
      <c r="H509" s="112"/>
    </row>
    <row r="510" spans="2:8" ht="15.75">
      <c r="B510" s="134"/>
      <c r="C510" s="16"/>
      <c r="D510" s="137"/>
      <c r="E510" s="138"/>
      <c r="F510" s="138"/>
      <c r="G510" s="16"/>
      <c r="H510" s="112"/>
    </row>
    <row r="511" spans="2:8" ht="15.75">
      <c r="B511" s="134"/>
      <c r="C511" s="16"/>
      <c r="D511" s="137"/>
      <c r="E511" s="138"/>
      <c r="F511" s="138"/>
      <c r="G511" s="16"/>
      <c r="H511" s="112"/>
    </row>
    <row r="512" spans="2:8" ht="15.75">
      <c r="B512" s="134"/>
      <c r="C512" s="16"/>
      <c r="D512" s="137"/>
      <c r="E512" s="138"/>
      <c r="F512" s="138"/>
      <c r="G512" s="16"/>
      <c r="H512" s="112"/>
    </row>
    <row r="513" spans="2:8" ht="15.75">
      <c r="B513" s="134"/>
      <c r="C513" s="16"/>
      <c r="D513" s="137"/>
      <c r="E513" s="138"/>
      <c r="F513" s="138"/>
      <c r="G513" s="16"/>
      <c r="H513" s="112"/>
    </row>
    <row r="514" spans="2:8" ht="15.75">
      <c r="B514" s="134"/>
      <c r="C514" s="16"/>
      <c r="D514" s="137"/>
      <c r="E514" s="138"/>
      <c r="F514" s="138"/>
      <c r="G514" s="16"/>
      <c r="H514" s="112"/>
    </row>
    <row r="515" spans="2:8" ht="15.75">
      <c r="B515" s="134"/>
      <c r="C515" s="16"/>
      <c r="D515" s="137"/>
      <c r="E515" s="138"/>
      <c r="F515" s="138"/>
      <c r="G515" s="16"/>
      <c r="H515" s="112"/>
    </row>
    <row r="516" spans="2:8" ht="15.75">
      <c r="B516" s="134"/>
      <c r="C516" s="16"/>
      <c r="D516" s="137"/>
      <c r="E516" s="138"/>
      <c r="F516" s="138"/>
      <c r="G516" s="16"/>
      <c r="H516" s="112"/>
    </row>
    <row r="517" spans="2:8" ht="15.75">
      <c r="B517" s="134"/>
      <c r="C517" s="16"/>
      <c r="D517" s="137"/>
      <c r="E517" s="138"/>
      <c r="F517" s="138"/>
      <c r="G517" s="16"/>
      <c r="H517" s="112"/>
    </row>
    <row r="518" spans="2:8" ht="15.75">
      <c r="B518" s="134"/>
      <c r="C518" s="16"/>
      <c r="D518" s="137"/>
      <c r="E518" s="138"/>
      <c r="F518" s="138"/>
      <c r="G518" s="16"/>
      <c r="H518" s="112"/>
    </row>
    <row r="519" spans="2:8" ht="16.5" thickBot="1">
      <c r="B519" s="135"/>
      <c r="C519" s="17"/>
      <c r="D519" s="135"/>
      <c r="E519" s="139"/>
      <c r="F519" s="139"/>
      <c r="G519" s="17"/>
      <c r="H519" s="112"/>
    </row>
    <row r="520" spans="2:8" ht="16.5" thickBot="1">
      <c r="B520" s="135">
        <f>SUM(B506:B519)</f>
        <v>0</v>
      </c>
      <c r="C520" s="17" t="s">
        <v>53</v>
      </c>
      <c r="D520" s="135">
        <f>SUM(D506:D519)</f>
        <v>25.25</v>
      </c>
      <c r="E520" s="135">
        <f>SUM(E506:E519)</f>
        <v>0</v>
      </c>
      <c r="F520" s="135">
        <f>SUM(F506:F519)</f>
        <v>0</v>
      </c>
      <c r="G520" s="17" t="s">
        <v>53</v>
      </c>
      <c r="H520" s="112"/>
    </row>
  </sheetData>
  <mergeCells count="151">
    <mergeCell ref="B364:C364"/>
    <mergeCell ref="B384:C384"/>
    <mergeCell ref="B462:G463"/>
    <mergeCell ref="D464:G464"/>
    <mergeCell ref="B482:G483"/>
    <mergeCell ref="B444:C444"/>
    <mergeCell ref="B442:G443"/>
    <mergeCell ref="D444:G444"/>
    <mergeCell ref="D504:G504"/>
    <mergeCell ref="B504:C504"/>
    <mergeCell ref="B484:C484"/>
    <mergeCell ref="B464:C464"/>
    <mergeCell ref="D484:G484"/>
    <mergeCell ref="B502:G503"/>
    <mergeCell ref="B82:G83"/>
    <mergeCell ref="B284:C284"/>
    <mergeCell ref="B264:C264"/>
    <mergeCell ref="B424:C424"/>
    <mergeCell ref="B242:G243"/>
    <mergeCell ref="B244:C244"/>
    <mergeCell ref="B404:C404"/>
    <mergeCell ref="D424:G424"/>
    <mergeCell ref="B282:G283"/>
    <mergeCell ref="D284:G284"/>
    <mergeCell ref="B302:G303"/>
    <mergeCell ref="B204:C204"/>
    <mergeCell ref="B402:G403"/>
    <mergeCell ref="D404:G404"/>
    <mergeCell ref="B422:G423"/>
    <mergeCell ref="D364:G364"/>
    <mergeCell ref="B382:G383"/>
    <mergeCell ref="D384:G384"/>
    <mergeCell ref="B362:G363"/>
    <mergeCell ref="D144:G144"/>
    <mergeCell ref="B184:C184"/>
    <mergeCell ref="B344:C344"/>
    <mergeCell ref="D244:G244"/>
    <mergeCell ref="B222:G223"/>
    <mergeCell ref="B342:G343"/>
    <mergeCell ref="D344:G344"/>
    <mergeCell ref="D324:G324"/>
    <mergeCell ref="D224:G224"/>
    <mergeCell ref="B262:G263"/>
    <mergeCell ref="D264:G264"/>
    <mergeCell ref="B304:C304"/>
    <mergeCell ref="B224:C224"/>
    <mergeCell ref="B144:C144"/>
    <mergeCell ref="B2:G3"/>
    <mergeCell ref="B4:C4"/>
    <mergeCell ref="B164:C164"/>
    <mergeCell ref="B324:C324"/>
    <mergeCell ref="D4:G4"/>
    <mergeCell ref="D164:G164"/>
    <mergeCell ref="B162:G163"/>
    <mergeCell ref="B182:G183"/>
    <mergeCell ref="B22:G23"/>
    <mergeCell ref="D24:G24"/>
    <mergeCell ref="D184:G184"/>
    <mergeCell ref="B202:G203"/>
    <mergeCell ref="D204:G204"/>
    <mergeCell ref="D304:G304"/>
    <mergeCell ref="B42:G43"/>
    <mergeCell ref="B24:C24"/>
    <mergeCell ref="B64:C64"/>
    <mergeCell ref="D64:G64"/>
    <mergeCell ref="D84:G84"/>
    <mergeCell ref="D104:G104"/>
    <mergeCell ref="B124:C124"/>
    <mergeCell ref="D124:G124"/>
    <mergeCell ref="B122:G123"/>
    <mergeCell ref="B104:C104"/>
    <mergeCell ref="B142:G143"/>
    <mergeCell ref="B322:G323"/>
    <mergeCell ref="K15:L15"/>
    <mergeCell ref="K16:L16"/>
    <mergeCell ref="K17:L17"/>
    <mergeCell ref="B102:G103"/>
    <mergeCell ref="B84:C84"/>
    <mergeCell ref="D44:G44"/>
    <mergeCell ref="K18:L18"/>
    <mergeCell ref="K19:L19"/>
    <mergeCell ref="B44:C44"/>
    <mergeCell ref="B62:G63"/>
    <mergeCell ref="I22:L23"/>
    <mergeCell ref="I25:I29"/>
    <mergeCell ref="J25:K25"/>
    <mergeCell ref="J26:K26"/>
    <mergeCell ref="I35:I39"/>
    <mergeCell ref="J35:K35"/>
    <mergeCell ref="J36:K36"/>
    <mergeCell ref="J37:K37"/>
    <mergeCell ref="J38:K38"/>
    <mergeCell ref="J39:K39"/>
    <mergeCell ref="J27:K27"/>
    <mergeCell ref="J28:K28"/>
    <mergeCell ref="I2:L3"/>
    <mergeCell ref="K4:L4"/>
    <mergeCell ref="K5:L5"/>
    <mergeCell ref="K6:L6"/>
    <mergeCell ref="K7:L7"/>
    <mergeCell ref="K13:L13"/>
    <mergeCell ref="K14:L14"/>
    <mergeCell ref="K8:L8"/>
    <mergeCell ref="K9:L9"/>
    <mergeCell ref="K10:L10"/>
    <mergeCell ref="K11:L11"/>
    <mergeCell ref="K12:L12"/>
    <mergeCell ref="J29:K29"/>
    <mergeCell ref="I30:I34"/>
    <mergeCell ref="J30:K30"/>
    <mergeCell ref="J31:K31"/>
    <mergeCell ref="J32:K32"/>
    <mergeCell ref="J33:K33"/>
    <mergeCell ref="J34:K34"/>
    <mergeCell ref="J54:K54"/>
    <mergeCell ref="I45:I49"/>
    <mergeCell ref="J45:K45"/>
    <mergeCell ref="J46:K46"/>
    <mergeCell ref="J47:K47"/>
    <mergeCell ref="J48:K48"/>
    <mergeCell ref="J49:K49"/>
    <mergeCell ref="I40:I44"/>
    <mergeCell ref="J40:K40"/>
    <mergeCell ref="J41:K41"/>
    <mergeCell ref="J42:K42"/>
    <mergeCell ref="J43:K43"/>
    <mergeCell ref="J44:K44"/>
    <mergeCell ref="J24:K24"/>
    <mergeCell ref="I65:I69"/>
    <mergeCell ref="J65:K65"/>
    <mergeCell ref="J66:K66"/>
    <mergeCell ref="J67:K67"/>
    <mergeCell ref="J68:K68"/>
    <mergeCell ref="J69:K69"/>
    <mergeCell ref="I60:I64"/>
    <mergeCell ref="J60:K60"/>
    <mergeCell ref="J61:K61"/>
    <mergeCell ref="J62:K62"/>
    <mergeCell ref="J63:K63"/>
    <mergeCell ref="J64:K64"/>
    <mergeCell ref="I55:I59"/>
    <mergeCell ref="J55:K55"/>
    <mergeCell ref="J56:K56"/>
    <mergeCell ref="J57:K57"/>
    <mergeCell ref="J58:K58"/>
    <mergeCell ref="J59:K59"/>
    <mergeCell ref="I50:I54"/>
    <mergeCell ref="J50:K50"/>
    <mergeCell ref="J51:K51"/>
    <mergeCell ref="J52:K52"/>
    <mergeCell ref="J53:K53"/>
  </mergeCells>
  <hyperlinks>
    <hyperlink ref="I22" location="Trimestre!C39:F40" display="TELÉFONO" xr:uid="{00000000-0004-0000-0100-000002000000}"/>
    <hyperlink ref="I22:L23" location="AÑO!C7:F17" display="INGRESOS" xr:uid="{00000000-0004-0000-0100-000003000000}"/>
    <hyperlink ref="I2" location="Trimestre!C39:F40" display="TELÉFONO" xr:uid="{050B82DE-15F5-41AC-9EF8-BE935715360F}"/>
    <hyperlink ref="I2:L3" location="AÑO!C4:F5" display="SALDO REAL" xr:uid="{6373CD6E-140D-4BE5-ACE5-4B346F8DA25E}"/>
    <hyperlink ref="B2" location="Trimestre!C25:F26" display="HIPOTECA" xr:uid="{2283DAEF-4EF2-4E91-9CDA-A1E08CDA5A94}"/>
    <hyperlink ref="B2:G3" location="AÑO!C20:F20" display="AÑO!C20:F20" xr:uid="{524DAB4A-0290-47C0-AD2C-16D80DF97937}"/>
    <hyperlink ref="B22" location="Trimestre!C25:F26" display="HIPOTECA" xr:uid="{D5182295-B66A-4A38-8F14-DF607DD49D95}"/>
    <hyperlink ref="B22:G23" location="AÑO!C21:F21" display="AÑO!C21:F21" xr:uid="{46F3A7A3-E326-4B4D-BDF4-0034BF49EFF3}"/>
    <hyperlink ref="B42" location="Trimestre!C25:F26" display="HIPOTECA" xr:uid="{A22DCEF4-97E4-4515-8A28-34609538A0F5}"/>
    <hyperlink ref="B42:G43" location="AÑO!C22:F22" display="AÑO!C22:F22" xr:uid="{6027B3FC-178E-469B-BF83-D68739991F11}"/>
    <hyperlink ref="B62" location="Trimestre!C25:F26" display="HIPOTECA" xr:uid="{436B641E-0561-48E5-BA4E-CA1450649830}"/>
    <hyperlink ref="B62:G63" location="AÑO!C23:F23" display="AÑO!C23:F23" xr:uid="{EF05BABF-6402-45C9-8FBF-60748A6EF59C}"/>
    <hyperlink ref="B82" location="Trimestre!C25:F26" display="HIPOTECA" xr:uid="{762FA746-0DE8-4FA4-B441-B4245AC2D8A5}"/>
    <hyperlink ref="B82:G83" location="AÑO!C24:F24" display="AÑO!C24:F24" xr:uid="{38513537-B0CA-4274-9D7F-D255B5E96E44}"/>
    <hyperlink ref="B102" location="Trimestre!C25:F26" display="HIPOTECA" xr:uid="{2459D62A-59C6-411B-B27A-72390D005F7C}"/>
    <hyperlink ref="B102:G103" location="AÑO!C25:F25" display="AÑO!C25:F25" xr:uid="{58A90BEB-2AE1-4C07-8B71-860A1614E3B8}"/>
    <hyperlink ref="B122" location="Trimestre!C25:F26" display="HIPOTECA" xr:uid="{0E19B79F-EBA8-4FE9-B9A9-F938C657BCA7}"/>
    <hyperlink ref="B122:G123" location="AÑO!C26:F26" display="AÑO!C26:F26" xr:uid="{2BB38805-8868-45DA-B903-C91ADD208EF5}"/>
    <hyperlink ref="B142" location="Trimestre!C25:F26" display="HIPOTECA" xr:uid="{214E4B32-404C-4DD7-97A3-6EBF9FF54C49}"/>
    <hyperlink ref="B142:G143" location="AÑO!C27:F27" display="AÑO!C27:F27" xr:uid="{E0735B6D-2605-4D02-A06A-93962D0F16AD}"/>
    <hyperlink ref="B162" location="Trimestre!C25:F26" display="HIPOTECA" xr:uid="{14B92464-1CC8-4D58-BB2A-2D009D1A5788}"/>
    <hyperlink ref="B162:G163" location="AÑO!C28:F28" display="AÑO!C28:F28" xr:uid="{A23749BA-EE13-47F0-AD19-6ED52CBA850F}"/>
    <hyperlink ref="B182" location="Trimestre!C25:F26" display="HIPOTECA" xr:uid="{228F7DB1-A6C2-403A-B856-010D08EAD123}"/>
    <hyperlink ref="B182:G183" location="AÑO!C29:F29" display="AÑO!C29:F29" xr:uid="{C201F255-91A9-40B4-8079-DF1A920D9D65}"/>
    <hyperlink ref="B202" location="Trimestre!C25:F26" display="HIPOTECA" xr:uid="{5726CFFA-94B9-40F8-B023-F3A544B97FA4}"/>
    <hyperlink ref="B202:G203" location="AÑO!C30:F30" display="AÑO!C30:F30" xr:uid="{893781A2-ECA7-4103-AF8B-808CF8202C6C}"/>
    <hyperlink ref="B222" location="Trimestre!C25:F26" display="HIPOTECA" xr:uid="{C2A10E3A-3B0E-4184-AE9F-79217B0F38C6}"/>
    <hyperlink ref="B222:G223" location="AÑO!C31:F31" display="AÑO!C31:F31" xr:uid="{4F75BDE7-F36C-446A-A7CF-7EF741F466D9}"/>
    <hyperlink ref="B242" location="Trimestre!C25:F26" display="HIPOTECA" xr:uid="{89D593E3-0297-4E27-86FE-448F9EA33746}"/>
    <hyperlink ref="B242:G243" location="AÑO!C32:F32" display="AÑO!C32:F32" xr:uid="{ABDA1191-7AFA-413B-9F93-3FBC5D5EB002}"/>
    <hyperlink ref="B262" location="Trimestre!C25:F26" display="HIPOTECA" xr:uid="{7A42D669-7929-41DF-95EA-CA54DB8C2C5A}"/>
    <hyperlink ref="B282" location="Trimestre!C25:F26" display="HIPOTECA" xr:uid="{396CEEBA-22DF-4EDF-8ED6-35565CE55730}"/>
    <hyperlink ref="B282:G283" location="AÑO!C34:F34" display="AÑO!C34:F34" xr:uid="{3CDCE30D-B457-4BC8-B0DE-A76222E6662B}"/>
    <hyperlink ref="B302" location="Trimestre!C25:F26" display="HIPOTECA" xr:uid="{49E00B59-1C0F-41C7-B726-A966C55C9FD6}"/>
    <hyperlink ref="B302:G303" location="AÑO!C35:F35" display="AÑO!C35:F35" xr:uid="{9B266850-4DE1-427F-B103-633A293BD825}"/>
    <hyperlink ref="B322" location="Trimestre!C25:F26" display="HIPOTECA" xr:uid="{C33FA24E-1C96-4DF8-B63F-C8E6ECB712B3}"/>
    <hyperlink ref="B322:G323" location="AÑO!C36:F36" display="AÑO!C36:F36" xr:uid="{97088344-66CF-4D2A-99D0-54CAA416CB76}"/>
    <hyperlink ref="B342" location="Trimestre!C25:F26" display="HIPOTECA" xr:uid="{4198071C-9384-4E74-AA53-67B1EFFA4B70}"/>
    <hyperlink ref="B342:G343" location="AÑO!C37:F37" display="AÑO!C37:F37" xr:uid="{F5227E44-DADD-49D2-8379-CD38A8EB7DED}"/>
    <hyperlink ref="B362" location="Trimestre!C25:F26" display="HIPOTECA" xr:uid="{650403B1-C089-4CA3-B4D9-72420041259B}"/>
    <hyperlink ref="B362:G363" location="AÑO!C38:F38" display="AÑO!C38:F38" xr:uid="{F2516C1F-F9E4-4D39-9166-E6D74C58161D}"/>
    <hyperlink ref="B382" location="Trimestre!C25:F26" display="HIPOTECA" xr:uid="{09D9559D-0B36-47C3-8AD1-3285C2D20943}"/>
    <hyperlink ref="B382:G383" location="AÑO!C39:F39" display="AÑO!C39:F39" xr:uid="{A9579FF8-0AB6-4304-9724-2CA3A1AD0A65}"/>
    <hyperlink ref="B402" location="Trimestre!C25:F26" display="HIPOTECA" xr:uid="{D20F3C0A-CC8E-4A2D-91EE-EC349DB5FC6F}"/>
    <hyperlink ref="B402:G403" location="AÑO!C40:F40" display="AÑO!C40:F40" xr:uid="{B92D11BD-75B3-4CAD-8408-6A691639FA37}"/>
    <hyperlink ref="B422" location="Trimestre!C25:F26" display="HIPOTECA" xr:uid="{2DBD446A-BE5F-4111-9893-0D85A898DA24}"/>
    <hyperlink ref="B422:G423" location="AÑO!C41:F41" display="AÑO!C41:F41" xr:uid="{DE3B47D3-5DEE-4EAC-BD78-767D58243025}"/>
    <hyperlink ref="B442" location="Trimestre!C25:F26" display="HIPOTECA" xr:uid="{E36ADAE2-BC48-43CD-A4EC-F1FCEDCDEBA0}"/>
    <hyperlink ref="B442:G443" location="AÑO!C42:F42" display="AÑO!C42:F42" xr:uid="{38C92EB3-E194-4F61-B6A8-5ED23D4B8F46}"/>
    <hyperlink ref="B462" location="Trimestre!C25:F26" display="HIPOTECA" xr:uid="{296555CA-AF48-47C3-B053-5C5399E78003}"/>
    <hyperlink ref="B462:G463" location="AÑO!C43:F43" display="AÑO!C43:F43" xr:uid="{AE72913F-C3EB-4FF7-BFEF-4E791B72148C}"/>
    <hyperlink ref="B482" location="Trimestre!C25:F26" display="HIPOTECA" xr:uid="{816E10C4-CF98-49B0-ABAA-478E129CB501}"/>
    <hyperlink ref="B482:G483" location="AÑO!C44:F44" display="AÑO!C44:F44" xr:uid="{C00398B7-6C16-483B-9D19-D08E4934EC4B}"/>
    <hyperlink ref="B502" location="Trimestre!C25:F26" display="HIPOTECA" xr:uid="{A128D826-1628-4ABE-B5E4-33CC84554D0A}"/>
    <hyperlink ref="B502:G503" location="AÑO!C45:F45" display="AÑO!C45:F45" xr:uid="{F46284EE-378D-4B77-A471-DF6324A2A8DC}"/>
    <hyperlink ref="B262:G263" location="AÑO!C33:F33" display="AÑO!C33:F33" xr:uid="{6809DACA-E617-4307-A67C-EE432833B97E}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520"/>
  <sheetViews>
    <sheetView topLeftCell="A41" zoomScaleNormal="100" workbookViewId="0">
      <selection activeCell="J50" sqref="J50:K50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" t="s">
        <v>221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30" t="str">
        <f>AÑO!A20</f>
        <v>Cártama Gastos</v>
      </c>
      <c r="C2" s="419"/>
      <c r="D2" s="419"/>
      <c r="E2" s="419"/>
      <c r="F2" s="419"/>
      <c r="G2" s="420"/>
      <c r="H2" s="222"/>
      <c r="I2" s="418" t="s">
        <v>4</v>
      </c>
      <c r="J2" s="419"/>
      <c r="K2" s="419"/>
      <c r="L2" s="420"/>
      <c r="M2" s="1"/>
      <c r="N2" s="1"/>
      <c r="R2" s="3"/>
    </row>
    <row r="3" spans="1:22" ht="16.5" thickBot="1">
      <c r="A3" s="1"/>
      <c r="B3" s="421"/>
      <c r="C3" s="422"/>
      <c r="D3" s="422"/>
      <c r="E3" s="422"/>
      <c r="F3" s="422"/>
      <c r="G3" s="423"/>
      <c r="H3" s="1"/>
      <c r="I3" s="421"/>
      <c r="J3" s="422"/>
      <c r="K3" s="422"/>
      <c r="L3" s="423"/>
      <c r="M3" s="1"/>
      <c r="N3" s="1"/>
      <c r="R3" s="3"/>
    </row>
    <row r="4" spans="1:22" ht="15.75">
      <c r="A4" s="1"/>
      <c r="B4" s="431" t="s">
        <v>8</v>
      </c>
      <c r="C4" s="432"/>
      <c r="D4" s="433" t="s">
        <v>9</v>
      </c>
      <c r="E4" s="433"/>
      <c r="F4" s="433"/>
      <c r="G4" s="432"/>
      <c r="H4" s="222"/>
      <c r="I4" s="40" t="s">
        <v>57</v>
      </c>
      <c r="J4" s="105" t="s">
        <v>58</v>
      </c>
      <c r="K4" s="424" t="s">
        <v>59</v>
      </c>
      <c r="L4" s="425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26">
        <f>2397.48-4.45</f>
        <v>2393.0300000000002</v>
      </c>
      <c r="L5" s="427"/>
      <c r="M5" s="1"/>
      <c r="N5" s="1"/>
      <c r="R5" s="3"/>
    </row>
    <row r="6" spans="1:22" ht="15.75">
      <c r="A6" s="112">
        <f>'01'!A6+(B6-SUM(D6:F6))</f>
        <v>6</v>
      </c>
      <c r="B6" s="133">
        <v>262.38</v>
      </c>
      <c r="C6" s="19" t="s">
        <v>181</v>
      </c>
      <c r="D6" s="137"/>
      <c r="E6" s="138">
        <v>262.38</v>
      </c>
      <c r="F6" s="138"/>
      <c r="G6" s="16" t="s">
        <v>32</v>
      </c>
      <c r="H6" s="1"/>
      <c r="I6" s="108" t="s">
        <v>60</v>
      </c>
      <c r="J6" s="107" t="s">
        <v>62</v>
      </c>
      <c r="K6" s="428">
        <v>620.08000000000004</v>
      </c>
      <c r="L6" s="429"/>
      <c r="M6" s="1" t="s">
        <v>165</v>
      </c>
      <c r="N6" s="1"/>
      <c r="R6" s="3"/>
    </row>
    <row r="7" spans="1:22" ht="15.75">
      <c r="A7" s="112">
        <f>'01'!A7+(B7-SUM(D7:F7))</f>
        <v>579.63999999999987</v>
      </c>
      <c r="B7" s="134">
        <v>70.180000000000007</v>
      </c>
      <c r="C7" s="16" t="s">
        <v>200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428">
        <f>7340.23-4.45</f>
        <v>7335.78</v>
      </c>
      <c r="L7" s="429"/>
      <c r="M7" s="1"/>
      <c r="N7" s="1"/>
      <c r="R7" s="3"/>
    </row>
    <row r="8" spans="1:22" ht="15.75">
      <c r="A8" s="112">
        <f>'01'!A8+(B8-SUM(D8:F8))</f>
        <v>-112.11</v>
      </c>
      <c r="B8" s="134">
        <v>0</v>
      </c>
      <c r="C8" s="16" t="s">
        <v>35</v>
      </c>
      <c r="D8" s="137"/>
      <c r="E8" s="113">
        <v>112.11</v>
      </c>
      <c r="F8" s="138"/>
      <c r="G8" s="16" t="s">
        <v>35</v>
      </c>
      <c r="H8" s="1"/>
      <c r="I8" s="108" t="s">
        <v>63</v>
      </c>
      <c r="J8" s="107" t="s">
        <v>65</v>
      </c>
      <c r="K8" s="428">
        <v>7001.87</v>
      </c>
      <c r="L8" s="429"/>
      <c r="M8" s="1"/>
      <c r="N8" s="1"/>
      <c r="R8" s="3"/>
    </row>
    <row r="9" spans="1:22" ht="15.75">
      <c r="A9" s="112">
        <f>'01'!A9+(B9-SUM(D9:F9))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428">
        <v>669.52</v>
      </c>
      <c r="L9" s="429"/>
      <c r="M9" s="1"/>
      <c r="N9" s="1"/>
      <c r="R9" s="3"/>
    </row>
    <row r="10" spans="1:22" ht="15.75">
      <c r="A10" s="112">
        <f>'01'!A10+(B10-SUM(D10:F10))</f>
        <v>0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28">
        <v>1802.02</v>
      </c>
      <c r="L10" s="429"/>
      <c r="M10" s="1" t="s">
        <v>156</v>
      </c>
      <c r="N10" s="1"/>
      <c r="R10" s="3"/>
    </row>
    <row r="11" spans="1:22" ht="15.75">
      <c r="A11" s="112">
        <f>'01'!A11+(B11-SUM(D11:F11))</f>
        <v>0</v>
      </c>
      <c r="B11" s="134">
        <v>0.02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428">
        <f>160+155</f>
        <v>315</v>
      </c>
      <c r="L11" s="429"/>
      <c r="M11" s="1"/>
      <c r="N11" s="1"/>
      <c r="R11" s="3"/>
    </row>
    <row r="12" spans="1:22" ht="15.75">
      <c r="A12" s="112">
        <f>'01'!A12+(B12-SUM(D12:F12))</f>
        <v>88.04000000000002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28">
        <v>5092.08</v>
      </c>
      <c r="L12" s="429"/>
      <c r="M12" s="92"/>
      <c r="N12" s="1"/>
      <c r="R12" s="3"/>
    </row>
    <row r="13" spans="1:22" ht="15.75">
      <c r="A13" s="112">
        <f>'01'!A13+(B13-SUM(D13:F13))</f>
        <v>77</v>
      </c>
      <c r="B13" s="134">
        <v>7</v>
      </c>
      <c r="C13" s="16" t="s">
        <v>326</v>
      </c>
      <c r="D13" s="137"/>
      <c r="E13" s="138"/>
      <c r="F13" s="138"/>
      <c r="G13" s="16"/>
      <c r="H13" s="1"/>
      <c r="I13" s="108"/>
      <c r="J13" s="107"/>
      <c r="K13" s="428"/>
      <c r="L13" s="429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8"/>
      <c r="L14" s="429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8"/>
      <c r="L15" s="429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8"/>
      <c r="L16" s="429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8"/>
      <c r="L17" s="429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4"/>
      <c r="L18" s="435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34">
        <f>SUM(K5:K18)</f>
        <v>25229.379999999997</v>
      </c>
      <c r="L19" s="435"/>
      <c r="M19" s="1"/>
      <c r="N19" s="1"/>
      <c r="R19" s="3"/>
    </row>
    <row r="20" spans="1:18" ht="16.5" thickBot="1">
      <c r="A20" s="112">
        <f>SUM(A6:A15)</f>
        <v>638.56999999999994</v>
      </c>
      <c r="B20" s="135">
        <f>SUM(B6:B19)</f>
        <v>376.58</v>
      </c>
      <c r="C20" s="17" t="s">
        <v>53</v>
      </c>
      <c r="D20" s="135">
        <f>SUM(D6:D19)</f>
        <v>0</v>
      </c>
      <c r="E20" s="135">
        <f>SUM(E6:E19)</f>
        <v>416.73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18335.28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30" t="str">
        <f>AÑO!A21</f>
        <v>Waterloo</v>
      </c>
      <c r="C22" s="419"/>
      <c r="D22" s="419"/>
      <c r="E22" s="419"/>
      <c r="F22" s="419"/>
      <c r="G22" s="420"/>
      <c r="H22" s="1"/>
      <c r="I22" s="418" t="s">
        <v>6</v>
      </c>
      <c r="J22" s="419"/>
      <c r="K22" s="419"/>
      <c r="L22" s="420"/>
      <c r="M22" s="1"/>
      <c r="R22" s="3"/>
    </row>
    <row r="23" spans="1:18" ht="16.149999999999999" customHeight="1" thickBot="1">
      <c r="A23" s="1"/>
      <c r="B23" s="421"/>
      <c r="C23" s="422"/>
      <c r="D23" s="422"/>
      <c r="E23" s="422"/>
      <c r="F23" s="422"/>
      <c r="G23" s="423"/>
      <c r="H23" s="1"/>
      <c r="I23" s="421"/>
      <c r="J23" s="422"/>
      <c r="K23" s="422"/>
      <c r="L23" s="423"/>
      <c r="M23" s="1"/>
      <c r="R23" s="3"/>
    </row>
    <row r="24" spans="1:18" ht="15.75">
      <c r="A24" s="1"/>
      <c r="B24" s="431" t="s">
        <v>8</v>
      </c>
      <c r="C24" s="432"/>
      <c r="D24" s="433" t="s">
        <v>9</v>
      </c>
      <c r="E24" s="433"/>
      <c r="F24" s="433"/>
      <c r="G24" s="432"/>
      <c r="H24" s="1"/>
      <c r="I24" s="40" t="s">
        <v>31</v>
      </c>
      <c r="J24" s="403" t="s">
        <v>87</v>
      </c>
      <c r="K24" s="404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05" t="str">
        <f>AÑO!A8</f>
        <v>Manolo Salario</v>
      </c>
      <c r="J25" s="408" t="s">
        <v>402</v>
      </c>
      <c r="K25" s="409"/>
      <c r="L25" s="198">
        <v>2592.42</v>
      </c>
      <c r="M25" s="1"/>
      <c r="R25" s="3"/>
    </row>
    <row r="26" spans="1:18" ht="15.75">
      <c r="A26" s="112">
        <f>'01'!A26+(B26-SUM(D26:F26))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06"/>
      <c r="J26" s="410"/>
      <c r="K26" s="411"/>
      <c r="L26" s="199"/>
      <c r="M26" s="1"/>
      <c r="R26" s="3"/>
    </row>
    <row r="27" spans="1:18" ht="15.75">
      <c r="A27" s="112">
        <f>'01'!A27+(B27-SUM(D27:F27))</f>
        <v>18</v>
      </c>
      <c r="B27" s="134">
        <v>170</v>
      </c>
      <c r="C27" s="27" t="s">
        <v>40</v>
      </c>
      <c r="D27" s="137">
        <v>167</v>
      </c>
      <c r="E27" s="138"/>
      <c r="F27" s="138"/>
      <c r="G27" s="16" t="s">
        <v>40</v>
      </c>
      <c r="H27" s="1"/>
      <c r="I27" s="406"/>
      <c r="J27" s="410"/>
      <c r="K27" s="411"/>
      <c r="L27" s="199"/>
      <c r="M27" s="1"/>
      <c r="R27" s="3"/>
    </row>
    <row r="28" spans="1:18" ht="15.75">
      <c r="A28" s="112">
        <f>'01'!A28+(B28-SUM(D28:F28))</f>
        <v>126.12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06"/>
      <c r="J28" s="410"/>
      <c r="K28" s="411"/>
      <c r="L28" s="199"/>
      <c r="M28" s="1"/>
      <c r="R28" s="3"/>
    </row>
    <row r="29" spans="1:18" ht="15.75">
      <c r="A29" s="112">
        <f>'01'!A29+(B29-SUM(D29:F29))</f>
        <v>1.2800000000000011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14"/>
      <c r="J29" s="415"/>
      <c r="K29" s="416"/>
      <c r="L29" s="201"/>
      <c r="M29" s="1"/>
      <c r="R29" s="3"/>
    </row>
    <row r="30" spans="1:18" ht="15.75" customHeight="1">
      <c r="A30" s="112">
        <f>'01'!A30+(B30-SUM(D30:F30))</f>
        <v>593.55999999999995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05" t="str">
        <f>AÑO!A9</f>
        <v>Rocío Salario</v>
      </c>
      <c r="J30" s="408" t="s">
        <v>314</v>
      </c>
      <c r="K30" s="409"/>
      <c r="L30" s="198">
        <v>80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6"/>
      <c r="J31" s="410" t="s">
        <v>319</v>
      </c>
      <c r="K31" s="411"/>
      <c r="L31" s="199">
        <v>379.17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6"/>
      <c r="J32" s="410" t="s">
        <v>328</v>
      </c>
      <c r="K32" s="411"/>
      <c r="L32" s="199">
        <v>181.09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6"/>
      <c r="J33" s="410" t="s">
        <v>314</v>
      </c>
      <c r="K33" s="411"/>
      <c r="L33" s="199">
        <v>120</v>
      </c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4"/>
      <c r="J34" s="415"/>
      <c r="K34" s="416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5" t="s">
        <v>218</v>
      </c>
      <c r="J35" s="408" t="s">
        <v>359</v>
      </c>
      <c r="K35" s="409"/>
      <c r="L35" s="198">
        <v>107.38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6"/>
      <c r="J36" s="410"/>
      <c r="K36" s="411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6"/>
      <c r="J37" s="410"/>
      <c r="K37" s="411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6"/>
      <c r="J38" s="410"/>
      <c r="K38" s="411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4"/>
      <c r="J39" s="415"/>
      <c r="K39" s="416"/>
      <c r="L39" s="201"/>
      <c r="M39" s="1"/>
      <c r="R39" s="3"/>
    </row>
    <row r="40" spans="1:18" ht="16.5" thickBot="1">
      <c r="A40" s="112">
        <f>SUM(A26:A35)</f>
        <v>738.95999999999992</v>
      </c>
      <c r="B40" s="135">
        <f>SUM(B26:B39)</f>
        <v>1128</v>
      </c>
      <c r="C40" s="17" t="s">
        <v>53</v>
      </c>
      <c r="D40" s="135">
        <f>SUM(D26:D39)</f>
        <v>1084.95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05" t="str">
        <f>AÑO!A11</f>
        <v>Finanazas</v>
      </c>
      <c r="J40" s="408"/>
      <c r="K40" s="409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6"/>
      <c r="J41" s="410"/>
      <c r="K41" s="411"/>
      <c r="L41" s="199"/>
      <c r="M41" s="1"/>
      <c r="R41" s="3"/>
    </row>
    <row r="42" spans="1:18" ht="15.6" customHeight="1">
      <c r="A42" s="1"/>
      <c r="B42" s="430" t="str">
        <f>AÑO!A22</f>
        <v>Comida+Limpieza</v>
      </c>
      <c r="C42" s="419"/>
      <c r="D42" s="419"/>
      <c r="E42" s="419"/>
      <c r="F42" s="419"/>
      <c r="G42" s="420"/>
      <c r="H42" s="1"/>
      <c r="I42" s="406"/>
      <c r="J42" s="410"/>
      <c r="K42" s="411"/>
      <c r="L42" s="199"/>
      <c r="M42" s="1"/>
      <c r="R42" s="3"/>
    </row>
    <row r="43" spans="1:18" ht="16.149999999999999" customHeight="1" thickBot="1">
      <c r="A43" s="1"/>
      <c r="B43" s="421"/>
      <c r="C43" s="422"/>
      <c r="D43" s="422"/>
      <c r="E43" s="422"/>
      <c r="F43" s="422"/>
      <c r="G43" s="423"/>
      <c r="H43" s="1"/>
      <c r="I43" s="406"/>
      <c r="J43" s="410"/>
      <c r="K43" s="411"/>
      <c r="L43" s="199"/>
      <c r="M43" s="1"/>
      <c r="R43" s="3"/>
    </row>
    <row r="44" spans="1:18" ht="15.75">
      <c r="A44" s="1"/>
      <c r="B44" s="431" t="s">
        <v>8</v>
      </c>
      <c r="C44" s="432"/>
      <c r="D44" s="433" t="s">
        <v>9</v>
      </c>
      <c r="E44" s="433"/>
      <c r="F44" s="433"/>
      <c r="G44" s="432"/>
      <c r="H44" s="1"/>
      <c r="I44" s="414"/>
      <c r="J44" s="415"/>
      <c r="K44" s="416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05" t="str">
        <f>AÑO!A12</f>
        <v>Regalos</v>
      </c>
      <c r="J45" s="408" t="s">
        <v>160</v>
      </c>
      <c r="K45" s="409"/>
      <c r="L45" s="198">
        <v>600.04</v>
      </c>
      <c r="M45" s="1"/>
      <c r="R45" s="3"/>
    </row>
    <row r="46" spans="1:18" ht="15.75">
      <c r="A46" s="1"/>
      <c r="B46" s="133">
        <v>419.65</v>
      </c>
      <c r="C46" s="19"/>
      <c r="D46" s="137"/>
      <c r="E46" s="138"/>
      <c r="F46" s="138">
        <v>50</v>
      </c>
      <c r="G46" s="30" t="s">
        <v>307</v>
      </c>
      <c r="H46" s="1"/>
      <c r="I46" s="406"/>
      <c r="J46" s="410"/>
      <c r="K46" s="411"/>
      <c r="L46" s="199"/>
      <c r="M46" s="1"/>
      <c r="R46" s="3"/>
    </row>
    <row r="47" spans="1:18" ht="15.75">
      <c r="A47" s="1"/>
      <c r="B47" s="134">
        <v>30.35</v>
      </c>
      <c r="C47" s="16" t="s">
        <v>78</v>
      </c>
      <c r="D47" s="137">
        <f>103.32-D146</f>
        <v>70.849999999999994</v>
      </c>
      <c r="E47" s="138"/>
      <c r="F47" s="138"/>
      <c r="G47" s="16" t="s">
        <v>308</v>
      </c>
      <c r="H47" s="1"/>
      <c r="I47" s="406"/>
      <c r="J47" s="410"/>
      <c r="K47" s="411"/>
      <c r="L47" s="199"/>
      <c r="M47" s="1"/>
      <c r="R47" s="3"/>
    </row>
    <row r="48" spans="1:18" ht="15.75">
      <c r="A48" s="1"/>
      <c r="B48" s="134"/>
      <c r="C48" s="16"/>
      <c r="D48" s="137">
        <v>78</v>
      </c>
      <c r="E48" s="138"/>
      <c r="F48" s="138"/>
      <c r="G48" s="16" t="s">
        <v>312</v>
      </c>
      <c r="H48" s="1"/>
      <c r="I48" s="406"/>
      <c r="J48" s="410"/>
      <c r="K48" s="411"/>
      <c r="L48" s="199"/>
      <c r="M48" s="1"/>
      <c r="R48" s="3"/>
    </row>
    <row r="49" spans="1:18" ht="15.75">
      <c r="A49" s="1"/>
      <c r="B49" s="134"/>
      <c r="C49" s="16"/>
      <c r="D49" s="137">
        <v>59.09</v>
      </c>
      <c r="E49" s="138"/>
      <c r="F49" s="138"/>
      <c r="G49" s="16" t="s">
        <v>313</v>
      </c>
      <c r="H49" s="1"/>
      <c r="I49" s="414"/>
      <c r="J49" s="415"/>
      <c r="K49" s="416"/>
      <c r="L49" s="201"/>
      <c r="M49" s="1"/>
      <c r="R49" s="3"/>
    </row>
    <row r="50" spans="1:18" ht="15.75" customHeight="1">
      <c r="A50" s="1"/>
      <c r="B50" s="134"/>
      <c r="C50" s="16"/>
      <c r="D50" s="137">
        <v>21.4</v>
      </c>
      <c r="E50" s="138"/>
      <c r="F50" s="138"/>
      <c r="G50" s="16" t="s">
        <v>324</v>
      </c>
      <c r="H50" s="1"/>
      <c r="I50" s="405" t="str">
        <f>AÑO!A13</f>
        <v>Gubernamental</v>
      </c>
      <c r="J50" s="408" t="s">
        <v>259</v>
      </c>
      <c r="K50" s="409"/>
      <c r="L50" s="198">
        <v>95.8</v>
      </c>
      <c r="M50" s="1"/>
      <c r="R50" s="3"/>
    </row>
    <row r="51" spans="1:18" ht="15.75">
      <c r="A51" s="1"/>
      <c r="B51" s="134"/>
      <c r="C51" s="16"/>
      <c r="D51" s="137">
        <v>13</v>
      </c>
      <c r="E51" s="138"/>
      <c r="F51" s="138"/>
      <c r="G51" s="16" t="s">
        <v>331</v>
      </c>
      <c r="H51" s="1"/>
      <c r="I51" s="406"/>
      <c r="J51" s="410"/>
      <c r="K51" s="411"/>
      <c r="L51" s="199"/>
      <c r="M51" s="1"/>
      <c r="R51" s="3"/>
    </row>
    <row r="52" spans="1:18" ht="15.75">
      <c r="A52" s="1"/>
      <c r="B52" s="134"/>
      <c r="C52" s="16"/>
      <c r="D52" s="137">
        <v>11.85</v>
      </c>
      <c r="E52" s="138"/>
      <c r="F52" s="138"/>
      <c r="G52" s="16" t="s">
        <v>332</v>
      </c>
      <c r="H52" s="1"/>
      <c r="I52" s="406"/>
      <c r="J52" s="410"/>
      <c r="K52" s="411"/>
      <c r="L52" s="199"/>
      <c r="M52" s="1"/>
      <c r="R52" s="3"/>
    </row>
    <row r="53" spans="1:18" ht="15.75">
      <c r="A53" s="1"/>
      <c r="B53" s="134"/>
      <c r="C53" s="16"/>
      <c r="D53" s="137">
        <f>25.68-D148+16.09</f>
        <v>25.77</v>
      </c>
      <c r="E53" s="138"/>
      <c r="F53" s="138"/>
      <c r="G53" s="16" t="s">
        <v>345</v>
      </c>
      <c r="H53" s="1"/>
      <c r="I53" s="406"/>
      <c r="J53" s="410"/>
      <c r="K53" s="411"/>
      <c r="L53" s="199"/>
      <c r="M53" s="1"/>
      <c r="R53" s="3"/>
    </row>
    <row r="54" spans="1:18" ht="15.75">
      <c r="A54" s="1"/>
      <c r="B54" s="134"/>
      <c r="C54" s="16"/>
      <c r="D54" s="137">
        <f>45.81+4.8</f>
        <v>50.61</v>
      </c>
      <c r="E54" s="138"/>
      <c r="F54" s="138"/>
      <c r="G54" s="16" t="s">
        <v>349</v>
      </c>
      <c r="H54" s="1"/>
      <c r="I54" s="414"/>
      <c r="J54" s="415"/>
      <c r="K54" s="416"/>
      <c r="L54" s="201"/>
      <c r="M54" s="1"/>
      <c r="R54" s="3"/>
    </row>
    <row r="55" spans="1:18" ht="15.75" customHeight="1">
      <c r="A55" s="1"/>
      <c r="B55" s="134"/>
      <c r="C55" s="16"/>
      <c r="D55" s="137">
        <f>29.19-D227-D246-D309</f>
        <v>15.690000000000001</v>
      </c>
      <c r="E55" s="138"/>
      <c r="F55" s="138"/>
      <c r="G55" s="16" t="s">
        <v>350</v>
      </c>
      <c r="H55" s="1"/>
      <c r="I55" s="405" t="str">
        <f>AÑO!A14</f>
        <v>Mutualite/DKV</v>
      </c>
      <c r="J55" s="408"/>
      <c r="K55" s="409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6"/>
      <c r="J56" s="410"/>
      <c r="K56" s="411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6"/>
      <c r="J57" s="410"/>
      <c r="K57" s="411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6"/>
      <c r="J58" s="410"/>
      <c r="K58" s="411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4"/>
      <c r="J59" s="415"/>
      <c r="K59" s="416"/>
      <c r="L59" s="201"/>
      <c r="M59" s="1"/>
      <c r="R59" s="3"/>
    </row>
    <row r="60" spans="1:18" ht="16.5" customHeight="1" thickBot="1">
      <c r="A60" s="1"/>
      <c r="B60" s="135">
        <f>SUM(B46:B59)</f>
        <v>450</v>
      </c>
      <c r="C60" s="17" t="s">
        <v>53</v>
      </c>
      <c r="D60" s="135">
        <f>SUM(D46:D59)</f>
        <v>346.26</v>
      </c>
      <c r="E60" s="135">
        <f>SUM(E46:E59)</f>
        <v>0</v>
      </c>
      <c r="F60" s="135">
        <f>SUM(F46:F59)</f>
        <v>50</v>
      </c>
      <c r="G60" s="17" t="s">
        <v>53</v>
      </c>
      <c r="H60" s="1"/>
      <c r="I60" s="405" t="str">
        <f>AÑO!A15</f>
        <v>Alquiler Cartama</v>
      </c>
      <c r="J60" s="408" t="s">
        <v>315</v>
      </c>
      <c r="K60" s="409"/>
      <c r="L60" s="198">
        <v>665.77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6"/>
      <c r="J61" s="410"/>
      <c r="K61" s="411"/>
      <c r="L61" s="199"/>
      <c r="M61" s="1"/>
      <c r="R61" s="3"/>
    </row>
    <row r="62" spans="1:18" ht="15.6" customHeight="1">
      <c r="A62" s="1"/>
      <c r="B62" s="430" t="str">
        <f>AÑO!A23</f>
        <v>Ocio</v>
      </c>
      <c r="C62" s="419"/>
      <c r="D62" s="419"/>
      <c r="E62" s="419"/>
      <c r="F62" s="419"/>
      <c r="G62" s="420"/>
      <c r="H62" s="1"/>
      <c r="I62" s="406"/>
      <c r="J62" s="410"/>
      <c r="K62" s="411"/>
      <c r="L62" s="199"/>
      <c r="M62" s="1"/>
      <c r="R62" s="3"/>
    </row>
    <row r="63" spans="1:18" ht="16.149999999999999" customHeight="1" thickBot="1">
      <c r="A63" s="1"/>
      <c r="B63" s="421"/>
      <c r="C63" s="422"/>
      <c r="D63" s="422"/>
      <c r="E63" s="422"/>
      <c r="F63" s="422"/>
      <c r="G63" s="423"/>
      <c r="H63" s="1"/>
      <c r="I63" s="406"/>
      <c r="J63" s="410"/>
      <c r="K63" s="411"/>
      <c r="L63" s="199"/>
      <c r="M63" s="1"/>
      <c r="R63" s="3"/>
    </row>
    <row r="64" spans="1:18" ht="15.75">
      <c r="A64" s="1"/>
      <c r="B64" s="431" t="s">
        <v>8</v>
      </c>
      <c r="C64" s="432"/>
      <c r="D64" s="433" t="s">
        <v>9</v>
      </c>
      <c r="E64" s="433"/>
      <c r="F64" s="433"/>
      <c r="G64" s="432"/>
      <c r="H64" s="1"/>
      <c r="I64" s="414"/>
      <c r="J64" s="415"/>
      <c r="K64" s="416"/>
      <c r="L64" s="201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05" t="str">
        <f>AÑO!A16</f>
        <v>Otros</v>
      </c>
      <c r="J65" s="408"/>
      <c r="K65" s="409"/>
      <c r="L65" s="198"/>
      <c r="M65" s="1"/>
      <c r="R65" s="3"/>
    </row>
    <row r="66" spans="1:18" ht="15.75">
      <c r="A66" s="112">
        <f>'01'!A66+(B66-SUM(D66:F78))</f>
        <v>-0.30000000000000426</v>
      </c>
      <c r="B66" s="133">
        <v>150</v>
      </c>
      <c r="C66" s="19" t="s">
        <v>33</v>
      </c>
      <c r="D66" s="137">
        <v>21.6</v>
      </c>
      <c r="E66" s="138"/>
      <c r="F66" s="138"/>
      <c r="G66" s="19" t="s">
        <v>320</v>
      </c>
      <c r="H66" s="1"/>
      <c r="I66" s="406"/>
      <c r="J66" s="410"/>
      <c r="K66" s="411"/>
      <c r="L66" s="199"/>
      <c r="M66" s="1"/>
      <c r="R66" s="3"/>
    </row>
    <row r="67" spans="1:18" ht="15.75">
      <c r="A67" s="112"/>
      <c r="B67" s="134">
        <v>10</v>
      </c>
      <c r="C67" s="16"/>
      <c r="D67" s="137"/>
      <c r="E67" s="138"/>
      <c r="F67" s="138">
        <v>25</v>
      </c>
      <c r="G67" s="31" t="s">
        <v>334</v>
      </c>
      <c r="H67" s="1"/>
      <c r="I67" s="406"/>
      <c r="J67" s="410"/>
      <c r="K67" s="411"/>
      <c r="L67" s="199"/>
      <c r="M67" s="1"/>
      <c r="R67" s="3"/>
    </row>
    <row r="68" spans="1:18" ht="15.75">
      <c r="A68" s="112"/>
      <c r="B68" s="134"/>
      <c r="C68" s="16"/>
      <c r="D68" s="137">
        <v>35.840000000000003</v>
      </c>
      <c r="E68" s="138"/>
      <c r="F68" s="138"/>
      <c r="G68" s="16" t="s">
        <v>336</v>
      </c>
      <c r="H68" s="1"/>
      <c r="I68" s="406"/>
      <c r="J68" s="410"/>
      <c r="K68" s="411"/>
      <c r="L68" s="199"/>
      <c r="M68" s="1"/>
      <c r="R68" s="3"/>
    </row>
    <row r="69" spans="1:18" ht="16.5" thickBot="1">
      <c r="A69" s="112"/>
      <c r="B69" s="134"/>
      <c r="C69" s="16"/>
      <c r="D69" s="137">
        <f>24.9+6.8</f>
        <v>31.7</v>
      </c>
      <c r="E69" s="138"/>
      <c r="F69" s="138"/>
      <c r="G69" s="16" t="s">
        <v>341</v>
      </c>
      <c r="H69" s="1"/>
      <c r="I69" s="407"/>
      <c r="J69" s="412"/>
      <c r="K69" s="413"/>
      <c r="L69" s="200"/>
      <c r="M69" s="1"/>
      <c r="R69" s="3"/>
    </row>
    <row r="70" spans="1:18" ht="15.75">
      <c r="A70" s="112"/>
      <c r="B70" s="134"/>
      <c r="C70" s="16"/>
      <c r="D70" s="137">
        <f>35.5+26</f>
        <v>61.5</v>
      </c>
      <c r="E70" s="138"/>
      <c r="F70" s="138"/>
      <c r="G70" s="16" t="s">
        <v>353</v>
      </c>
      <c r="H70" s="1"/>
      <c r="M70" s="1"/>
      <c r="R70" s="3"/>
    </row>
    <row r="71" spans="1:18" ht="15.75">
      <c r="A71" s="112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12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12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12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12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'01'!A79+(B79-SUM(D79:F79))</f>
        <v>40</v>
      </c>
      <c r="B79" s="233">
        <v>20</v>
      </c>
      <c r="C79" s="17" t="s">
        <v>237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39.699999999999996</v>
      </c>
      <c r="B80" s="233">
        <f>SUM(B66:B79)</f>
        <v>180</v>
      </c>
      <c r="C80" s="17" t="s">
        <v>53</v>
      </c>
      <c r="D80" s="135">
        <f>SUM(D66:D79)</f>
        <v>150.63999999999999</v>
      </c>
      <c r="E80" s="135">
        <f>SUM(E66:E79)</f>
        <v>0</v>
      </c>
      <c r="F80" s="135">
        <f>SUM(F66:F79)</f>
        <v>25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30" t="str">
        <f>AÑO!A24</f>
        <v>Transportes</v>
      </c>
      <c r="C82" s="419"/>
      <c r="D82" s="419"/>
      <c r="E82" s="419"/>
      <c r="F82" s="419"/>
      <c r="G82" s="420"/>
      <c r="H82" s="1"/>
      <c r="M82" s="1"/>
      <c r="R82" s="3"/>
    </row>
    <row r="83" spans="1:18" ht="16.149999999999999" customHeight="1" thickBot="1">
      <c r="A83" s="1"/>
      <c r="B83" s="421"/>
      <c r="C83" s="422"/>
      <c r="D83" s="422"/>
      <c r="E83" s="422"/>
      <c r="F83" s="422"/>
      <c r="G83" s="423"/>
      <c r="H83" s="1"/>
      <c r="M83" s="1"/>
      <c r="R83" s="3"/>
    </row>
    <row r="84" spans="1:18" ht="15.75">
      <c r="A84" s="1"/>
      <c r="B84" s="431" t="s">
        <v>8</v>
      </c>
      <c r="C84" s="432"/>
      <c r="D84" s="433" t="s">
        <v>9</v>
      </c>
      <c r="E84" s="433"/>
      <c r="F84" s="433"/>
      <c r="G84" s="432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202</v>
      </c>
      <c r="D86" s="137">
        <v>48.45</v>
      </c>
      <c r="E86" s="138"/>
      <c r="F86" s="138"/>
      <c r="G86" s="16" t="s">
        <v>329</v>
      </c>
      <c r="H86" s="1"/>
      <c r="M86" s="1"/>
      <c r="R86" s="3"/>
    </row>
    <row r="87" spans="1:18" ht="15.75">
      <c r="A87" s="1"/>
      <c r="B87" s="134"/>
      <c r="C87" s="16"/>
      <c r="D87" s="137">
        <v>43.81</v>
      </c>
      <c r="E87" s="138"/>
      <c r="F87" s="138"/>
      <c r="G87" s="16" t="s">
        <v>344</v>
      </c>
      <c r="H87" s="1"/>
      <c r="M87" s="1"/>
      <c r="R87" s="3"/>
    </row>
    <row r="88" spans="1:18" ht="15.75">
      <c r="A88" s="1"/>
      <c r="B88" s="134"/>
      <c r="C88" s="16"/>
      <c r="D88" s="137">
        <v>1</v>
      </c>
      <c r="E88" s="138"/>
      <c r="F88" s="138"/>
      <c r="G88" s="16" t="s">
        <v>343</v>
      </c>
      <c r="H88" s="1"/>
      <c r="M88" s="1"/>
      <c r="R88" s="3"/>
    </row>
    <row r="89" spans="1:18" ht="15.75">
      <c r="A89" s="1"/>
      <c r="B89" s="134"/>
      <c r="C89" s="16"/>
      <c r="D89" s="137">
        <v>53.9</v>
      </c>
      <c r="E89" s="138"/>
      <c r="F89" s="138"/>
      <c r="G89" s="16" t="s">
        <v>357</v>
      </c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147.16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30" t="str">
        <f>AÑO!A25</f>
        <v>Coche</v>
      </c>
      <c r="C102" s="419"/>
      <c r="D102" s="419"/>
      <c r="E102" s="419"/>
      <c r="F102" s="419"/>
      <c r="G102" s="420"/>
      <c r="H102" s="1"/>
      <c r="M102" s="1"/>
      <c r="R102" s="3"/>
    </row>
    <row r="103" spans="1:18" ht="16.149999999999999" customHeight="1" thickBot="1">
      <c r="A103" s="1"/>
      <c r="B103" s="421"/>
      <c r="C103" s="422"/>
      <c r="D103" s="422"/>
      <c r="E103" s="422"/>
      <c r="F103" s="422"/>
      <c r="G103" s="423"/>
      <c r="H103" s="1"/>
      <c r="M103" s="1"/>
      <c r="R103" s="3"/>
    </row>
    <row r="104" spans="1:18" ht="15.75">
      <c r="A104" s="1"/>
      <c r="B104" s="431" t="s">
        <v>8</v>
      </c>
      <c r="C104" s="432"/>
      <c r="D104" s="433" t="s">
        <v>9</v>
      </c>
      <c r="E104" s="433"/>
      <c r="F104" s="433"/>
      <c r="G104" s="432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'01'!A106+(B106-SUM(D106:F106))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'01'!A107+(B107-SUM(D107:F107))</f>
        <v>1.5700000000000216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'01'!A108+(B108-SUM(D108:F108))</f>
        <v>297.09999999999991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'01'!A109+(B109-SUM(D109:F109))</f>
        <v>3019.1200000000008</v>
      </c>
      <c r="B109" s="134">
        <v>27.53</v>
      </c>
      <c r="C109" s="18" t="s">
        <v>205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298.66999999999996</v>
      </c>
      <c r="B120" s="135">
        <f>SUM(B106:B119)</f>
        <v>405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30" t="str">
        <f>AÑO!A26</f>
        <v>Teléfono</v>
      </c>
      <c r="C122" s="419"/>
      <c r="D122" s="419"/>
      <c r="E122" s="419"/>
      <c r="F122" s="419"/>
      <c r="G122" s="420"/>
      <c r="H122" s="1"/>
      <c r="M122" s="1"/>
      <c r="R122" s="3"/>
    </row>
    <row r="123" spans="1:18" ht="16.149999999999999" customHeight="1" thickBot="1">
      <c r="A123" s="1"/>
      <c r="B123" s="421"/>
      <c r="C123" s="422"/>
      <c r="D123" s="422"/>
      <c r="E123" s="422"/>
      <c r="F123" s="422"/>
      <c r="G123" s="423"/>
      <c r="H123" s="1"/>
      <c r="M123" s="1"/>
      <c r="R123" s="3"/>
    </row>
    <row r="124" spans="1:18" ht="15.75">
      <c r="A124" s="1"/>
      <c r="B124" s="431" t="s">
        <v>8</v>
      </c>
      <c r="C124" s="432"/>
      <c r="D124" s="433" t="s">
        <v>9</v>
      </c>
      <c r="E124" s="433"/>
      <c r="F124" s="433"/>
      <c r="G124" s="432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>
        <v>10</v>
      </c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>
        <v>10</v>
      </c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>
        <v>0.45</v>
      </c>
      <c r="C129" s="16"/>
      <c r="D129" s="137"/>
      <c r="E129" s="138">
        <v>8</v>
      </c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48.45</v>
      </c>
      <c r="C140" s="17" t="s">
        <v>53</v>
      </c>
      <c r="D140" s="135">
        <f>SUM(D126:D139)</f>
        <v>47.5</v>
      </c>
      <c r="E140" s="135">
        <f>SUM(E126:E139)</f>
        <v>8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30" t="str">
        <f>AÑO!A27</f>
        <v>Gatos</v>
      </c>
      <c r="C142" s="419"/>
      <c r="D142" s="419"/>
      <c r="E142" s="419"/>
      <c r="F142" s="419"/>
      <c r="G142" s="420"/>
      <c r="H142" s="1"/>
      <c r="M142" s="1"/>
      <c r="R142" s="3"/>
    </row>
    <row r="143" spans="1:18" ht="16.149999999999999" customHeight="1" thickBot="1">
      <c r="A143" s="1"/>
      <c r="B143" s="421"/>
      <c r="C143" s="422"/>
      <c r="D143" s="422"/>
      <c r="E143" s="422"/>
      <c r="F143" s="422"/>
      <c r="G143" s="423"/>
      <c r="H143" s="1"/>
      <c r="M143" s="1"/>
      <c r="R143" s="3"/>
    </row>
    <row r="144" spans="1:18" ht="15.75">
      <c r="A144" s="1"/>
      <c r="B144" s="431" t="s">
        <v>8</v>
      </c>
      <c r="C144" s="432"/>
      <c r="D144" s="433" t="s">
        <v>9</v>
      </c>
      <c r="E144" s="433"/>
      <c r="F144" s="433"/>
      <c r="G144" s="432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>
        <f>43.29-10.82</f>
        <v>32.47</v>
      </c>
      <c r="E146" s="138"/>
      <c r="F146" s="138"/>
      <c r="G146" s="16" t="s">
        <v>308</v>
      </c>
      <c r="H146" s="1"/>
      <c r="M146" s="1"/>
      <c r="R146" s="3"/>
    </row>
    <row r="147" spans="1:22" ht="15.75">
      <c r="A147" s="1"/>
      <c r="B147" s="134"/>
      <c r="C147" s="16"/>
      <c r="D147" s="137">
        <v>5</v>
      </c>
      <c r="E147" s="138"/>
      <c r="F147" s="138"/>
      <c r="G147" s="16" t="s">
        <v>327</v>
      </c>
      <c r="H147" s="1"/>
      <c r="M147" s="1"/>
      <c r="R147" s="3"/>
    </row>
    <row r="148" spans="1:22" ht="15.75">
      <c r="A148" s="1"/>
      <c r="B148" s="134"/>
      <c r="C148" s="16"/>
      <c r="D148" s="137">
        <v>16</v>
      </c>
      <c r="E148" s="138"/>
      <c r="F148" s="138"/>
      <c r="G148" s="16" t="s">
        <v>340</v>
      </c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53.47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30" t="str">
        <f>AÑO!A28</f>
        <v>Vacaciones</v>
      </c>
      <c r="C162" s="419"/>
      <c r="D162" s="419"/>
      <c r="E162" s="419"/>
      <c r="F162" s="419"/>
      <c r="G162" s="420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21"/>
      <c r="C163" s="422"/>
      <c r="D163" s="422"/>
      <c r="E163" s="422"/>
      <c r="F163" s="422"/>
      <c r="G163" s="423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31" t="s">
        <v>8</v>
      </c>
      <c r="C164" s="432"/>
      <c r="D164" s="433" t="s">
        <v>9</v>
      </c>
      <c r="E164" s="433"/>
      <c r="F164" s="433"/>
      <c r="G164" s="432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89" t="s">
        <v>184</v>
      </c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12">
        <f>'01'!A166+(B166-SUM(D166:F172))</f>
        <v>627.65000000000009</v>
      </c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12"/>
      <c r="B167" s="134"/>
      <c r="C167" s="16"/>
      <c r="D167" s="137"/>
      <c r="E167" s="138"/>
      <c r="F167" s="138"/>
      <c r="G167" s="16"/>
      <c r="H167" s="11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12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12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12">
        <f>'01'!A173+(B173-SUM(D173:F179))</f>
        <v>-80.509999999999991</v>
      </c>
      <c r="B173" s="134">
        <v>600.04</v>
      </c>
      <c r="C173" s="16" t="s">
        <v>160</v>
      </c>
      <c r="D173" s="137">
        <v>225.14</v>
      </c>
      <c r="E173" s="138"/>
      <c r="F173" s="138"/>
      <c r="G173" s="16" t="s">
        <v>316</v>
      </c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B174" s="134"/>
      <c r="C174" s="16"/>
      <c r="D174" s="137"/>
      <c r="E174" s="138">
        <v>455.41</v>
      </c>
      <c r="F174" s="138"/>
      <c r="G174" s="16" t="s">
        <v>330</v>
      </c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13">
        <f>SUM(A166:A168)</f>
        <v>627.65000000000009</v>
      </c>
      <c r="B180" s="135">
        <f>SUM(B166:B179)</f>
        <v>800.04</v>
      </c>
      <c r="C180" s="17" t="s">
        <v>53</v>
      </c>
      <c r="D180" s="135">
        <f>SUM(D166:D179)</f>
        <v>225.14</v>
      </c>
      <c r="E180" s="135">
        <f>SUM(E166:E179)</f>
        <v>455.41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30" t="str">
        <f>AÑO!A29</f>
        <v>Ropa</v>
      </c>
      <c r="C182" s="419"/>
      <c r="D182" s="419"/>
      <c r="E182" s="419"/>
      <c r="F182" s="419"/>
      <c r="G182" s="42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21"/>
      <c r="C183" s="422"/>
      <c r="D183" s="422"/>
      <c r="E183" s="422"/>
      <c r="F183" s="422"/>
      <c r="G183" s="42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31" t="s">
        <v>8</v>
      </c>
      <c r="C184" s="432"/>
      <c r="D184" s="433" t="s">
        <v>9</v>
      </c>
      <c r="E184" s="433"/>
      <c r="F184" s="433"/>
      <c r="G184" s="432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>
        <v>5</v>
      </c>
      <c r="E186" s="138"/>
      <c r="F186" s="138"/>
      <c r="G186" s="16" t="s">
        <v>322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>
        <f>27.44-D51-D326</f>
        <v>9.4400000000000013</v>
      </c>
      <c r="E187" s="138"/>
      <c r="F187" s="138"/>
      <c r="G187" s="16" t="s">
        <v>331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14.440000000000001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30" t="str">
        <f>AÑO!A30</f>
        <v>Belleza</v>
      </c>
      <c r="C202" s="419"/>
      <c r="D202" s="419"/>
      <c r="E202" s="419"/>
      <c r="F202" s="419"/>
      <c r="G202" s="420"/>
    </row>
    <row r="203" spans="2:12" ht="15" customHeight="1" thickBot="1">
      <c r="B203" s="421"/>
      <c r="C203" s="422"/>
      <c r="D203" s="422"/>
      <c r="E203" s="422"/>
      <c r="F203" s="422"/>
      <c r="G203" s="423"/>
    </row>
    <row r="204" spans="2:12">
      <c r="B204" s="431" t="s">
        <v>8</v>
      </c>
      <c r="C204" s="432"/>
      <c r="D204" s="433" t="s">
        <v>9</v>
      </c>
      <c r="E204" s="433"/>
      <c r="F204" s="433"/>
      <c r="G204" s="432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30" t="str">
        <f>AÑO!A31</f>
        <v>Deportes</v>
      </c>
      <c r="C222" s="419"/>
      <c r="D222" s="419"/>
      <c r="E222" s="419"/>
      <c r="F222" s="419"/>
      <c r="G222" s="420"/>
    </row>
    <row r="223" spans="2:7" ht="15" customHeight="1" thickBot="1">
      <c r="B223" s="421"/>
      <c r="C223" s="422"/>
      <c r="D223" s="422"/>
      <c r="E223" s="422"/>
      <c r="F223" s="422"/>
      <c r="G223" s="423"/>
    </row>
    <row r="224" spans="2:7">
      <c r="B224" s="431" t="s">
        <v>8</v>
      </c>
      <c r="C224" s="432"/>
      <c r="D224" s="433" t="s">
        <v>9</v>
      </c>
      <c r="E224" s="433"/>
      <c r="F224" s="433"/>
      <c r="G224" s="432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v>20.98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>
        <v>3.5</v>
      </c>
      <c r="E227" s="138"/>
      <c r="F227" s="138"/>
      <c r="G227" s="16" t="s">
        <v>350</v>
      </c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24.48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430" t="str">
        <f>AÑO!A32</f>
        <v>Hogar</v>
      </c>
      <c r="C242" s="419"/>
      <c r="D242" s="419"/>
      <c r="E242" s="419"/>
      <c r="F242" s="419"/>
      <c r="G242" s="420"/>
    </row>
    <row r="243" spans="2:7" ht="15" customHeight="1" thickBot="1">
      <c r="B243" s="421"/>
      <c r="C243" s="422"/>
      <c r="D243" s="422"/>
      <c r="E243" s="422"/>
      <c r="F243" s="422"/>
      <c r="G243" s="423"/>
    </row>
    <row r="244" spans="2:7" ht="15" customHeight="1">
      <c r="B244" s="431" t="s">
        <v>8</v>
      </c>
      <c r="C244" s="432"/>
      <c r="D244" s="433" t="s">
        <v>9</v>
      </c>
      <c r="E244" s="433"/>
      <c r="F244" s="433"/>
      <c r="G244" s="432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2:7" ht="15" customHeight="1">
      <c r="B246" s="134">
        <v>50</v>
      </c>
      <c r="C246" s="27"/>
      <c r="D246" s="137">
        <v>4</v>
      </c>
      <c r="E246" s="138"/>
      <c r="F246" s="138"/>
      <c r="G246" s="16" t="s">
        <v>350</v>
      </c>
    </row>
    <row r="247" spans="2:7" ht="15" customHeight="1">
      <c r="B247" s="134">
        <v>40</v>
      </c>
      <c r="C247" s="16" t="s">
        <v>361</v>
      </c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90</v>
      </c>
      <c r="C260" s="17" t="s">
        <v>53</v>
      </c>
      <c r="D260" s="135">
        <f>SUM(D246:D259)</f>
        <v>4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430" t="str">
        <f>AÑO!A33</f>
        <v>Formación</v>
      </c>
      <c r="C262" s="419"/>
      <c r="D262" s="419"/>
      <c r="E262" s="419"/>
      <c r="F262" s="419"/>
      <c r="G262" s="420"/>
    </row>
    <row r="263" spans="2:7" ht="15" customHeight="1" thickBot="1">
      <c r="B263" s="421"/>
      <c r="C263" s="422"/>
      <c r="D263" s="422"/>
      <c r="E263" s="422"/>
      <c r="F263" s="422"/>
      <c r="G263" s="423"/>
    </row>
    <row r="264" spans="2:7">
      <c r="B264" s="431" t="s">
        <v>8</v>
      </c>
      <c r="C264" s="432"/>
      <c r="D264" s="433" t="s">
        <v>9</v>
      </c>
      <c r="E264" s="433"/>
      <c r="F264" s="433"/>
      <c r="G264" s="432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>
        <v>15</v>
      </c>
      <c r="G266" s="16" t="s">
        <v>317</v>
      </c>
    </row>
    <row r="267" spans="2:7">
      <c r="B267" s="134"/>
      <c r="C267" s="16"/>
      <c r="D267" s="137">
        <v>10.45</v>
      </c>
      <c r="E267" s="138"/>
      <c r="F267" s="138"/>
      <c r="G267" s="16" t="s">
        <v>321</v>
      </c>
    </row>
    <row r="268" spans="2:7">
      <c r="B268" s="134"/>
      <c r="C268" s="16"/>
      <c r="D268" s="137"/>
      <c r="E268" s="138">
        <v>57.96</v>
      </c>
      <c r="F268" s="138"/>
      <c r="G268" s="16" t="s">
        <v>347</v>
      </c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10.45</v>
      </c>
      <c r="E280" s="135">
        <f>SUM(E266:E279)</f>
        <v>57.96</v>
      </c>
      <c r="F280" s="135">
        <f>SUM(F266:F279)</f>
        <v>15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430" t="str">
        <f>AÑO!A34</f>
        <v>Regalos</v>
      </c>
      <c r="C282" s="419"/>
      <c r="D282" s="419"/>
      <c r="E282" s="419"/>
      <c r="F282" s="419"/>
      <c r="G282" s="420"/>
    </row>
    <row r="283" spans="2:8" ht="15" customHeight="1" thickBot="1">
      <c r="B283" s="421"/>
      <c r="C283" s="422"/>
      <c r="D283" s="422"/>
      <c r="E283" s="422"/>
      <c r="F283" s="422"/>
      <c r="G283" s="423"/>
    </row>
    <row r="284" spans="2:8">
      <c r="B284" s="431" t="s">
        <v>8</v>
      </c>
      <c r="C284" s="432"/>
      <c r="D284" s="433" t="s">
        <v>9</v>
      </c>
      <c r="E284" s="433"/>
      <c r="F284" s="433"/>
      <c r="G284" s="432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30" t="str">
        <f>AÑO!A35</f>
        <v>Salud</v>
      </c>
      <c r="C302" s="419"/>
      <c r="D302" s="419"/>
      <c r="E302" s="419"/>
      <c r="F302" s="419"/>
      <c r="G302" s="420"/>
    </row>
    <row r="303" spans="2:8" ht="15" customHeight="1" thickBot="1">
      <c r="B303" s="421"/>
      <c r="C303" s="422"/>
      <c r="D303" s="422"/>
      <c r="E303" s="422"/>
      <c r="F303" s="422"/>
      <c r="G303" s="423"/>
    </row>
    <row r="304" spans="2:8">
      <c r="B304" s="431" t="s">
        <v>8</v>
      </c>
      <c r="C304" s="432"/>
      <c r="D304" s="433" t="s">
        <v>9</v>
      </c>
      <c r="E304" s="433"/>
      <c r="F304" s="433"/>
      <c r="G304" s="432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100</v>
      </c>
      <c r="C306" s="19" t="s">
        <v>172</v>
      </c>
      <c r="D306" s="137">
        <v>13.6</v>
      </c>
      <c r="E306" s="138"/>
      <c r="F306" s="138"/>
      <c r="G306" s="16" t="s">
        <v>333</v>
      </c>
    </row>
    <row r="307" spans="2:7">
      <c r="B307" s="134">
        <v>15</v>
      </c>
      <c r="C307" s="27"/>
      <c r="D307" s="137"/>
      <c r="E307" s="138"/>
      <c r="F307" s="138">
        <v>9</v>
      </c>
      <c r="G307" s="16" t="s">
        <v>346</v>
      </c>
    </row>
    <row r="308" spans="2:7">
      <c r="B308" s="134">
        <v>61.11</v>
      </c>
      <c r="C308" s="27" t="s">
        <v>360</v>
      </c>
      <c r="D308" s="137">
        <v>11.12</v>
      </c>
      <c r="E308" s="138"/>
      <c r="F308" s="138"/>
      <c r="G308" s="16" t="s">
        <v>351</v>
      </c>
    </row>
    <row r="309" spans="2:7">
      <c r="B309" s="134"/>
      <c r="C309" s="16"/>
      <c r="D309" s="137">
        <v>6</v>
      </c>
      <c r="E309" s="138"/>
      <c r="F309" s="138"/>
      <c r="G309" s="16" t="s">
        <v>350</v>
      </c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176.11</v>
      </c>
      <c r="C320" s="17" t="s">
        <v>53</v>
      </c>
      <c r="D320" s="135">
        <f>SUM(D306:D319)</f>
        <v>30.72</v>
      </c>
      <c r="E320" s="135">
        <f>SUM(E306:E319)</f>
        <v>0</v>
      </c>
      <c r="F320" s="135">
        <f>SUM(F306:F319)</f>
        <v>9</v>
      </c>
      <c r="G320" s="17" t="s">
        <v>53</v>
      </c>
    </row>
    <row r="321" spans="2:7" ht="15.75" thickBot="1"/>
    <row r="322" spans="2:7" ht="14.45" customHeight="1">
      <c r="B322" s="430" t="str">
        <f>AÑO!A36</f>
        <v>Nenas</v>
      </c>
      <c r="C322" s="419"/>
      <c r="D322" s="419"/>
      <c r="E322" s="419"/>
      <c r="F322" s="419"/>
      <c r="G322" s="420"/>
    </row>
    <row r="323" spans="2:7" ht="15" customHeight="1" thickBot="1">
      <c r="B323" s="421"/>
      <c r="C323" s="422"/>
      <c r="D323" s="422"/>
      <c r="E323" s="422"/>
      <c r="F323" s="422"/>
      <c r="G323" s="423"/>
    </row>
    <row r="324" spans="2:7">
      <c r="B324" s="431" t="s">
        <v>8</v>
      </c>
      <c r="C324" s="432"/>
      <c r="D324" s="433" t="s">
        <v>9</v>
      </c>
      <c r="E324" s="433"/>
      <c r="F324" s="433"/>
      <c r="G324" s="432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>
        <f>5</f>
        <v>5</v>
      </c>
      <c r="E326" s="138"/>
      <c r="F326" s="138"/>
      <c r="G326" s="16" t="s">
        <v>331</v>
      </c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5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430" t="str">
        <f>AÑO!A37</f>
        <v>Impuestos</v>
      </c>
      <c r="C342" s="419"/>
      <c r="D342" s="419"/>
      <c r="E342" s="419"/>
      <c r="F342" s="419"/>
      <c r="G342" s="420"/>
    </row>
    <row r="343" spans="2:7" ht="15" customHeight="1" thickBot="1">
      <c r="B343" s="421"/>
      <c r="C343" s="422"/>
      <c r="D343" s="422"/>
      <c r="E343" s="422"/>
      <c r="F343" s="422"/>
      <c r="G343" s="423"/>
    </row>
    <row r="344" spans="2:7">
      <c r="B344" s="431" t="s">
        <v>8</v>
      </c>
      <c r="C344" s="432"/>
      <c r="D344" s="433" t="s">
        <v>9</v>
      </c>
      <c r="E344" s="433"/>
      <c r="F344" s="433"/>
      <c r="G344" s="432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199</v>
      </c>
      <c r="D346" s="137">
        <v>285.64999999999998</v>
      </c>
      <c r="E346" s="138"/>
      <c r="F346" s="138"/>
      <c r="G346" s="16" t="s">
        <v>318</v>
      </c>
    </row>
    <row r="347" spans="2:7">
      <c r="B347" s="134"/>
      <c r="C347" s="16"/>
      <c r="D347" s="137"/>
      <c r="E347" s="138"/>
      <c r="F347" s="138">
        <v>30</v>
      </c>
      <c r="G347" s="16" t="s">
        <v>342</v>
      </c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285.64999999999998</v>
      </c>
      <c r="E360" s="135">
        <f>SUM(E346:E359)</f>
        <v>0</v>
      </c>
      <c r="F360" s="135">
        <f>SUM(F346:F359)</f>
        <v>30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430" t="str">
        <f>AÑO!A38</f>
        <v>Gastos Curros</v>
      </c>
      <c r="C362" s="419"/>
      <c r="D362" s="419"/>
      <c r="E362" s="419"/>
      <c r="F362" s="419"/>
      <c r="G362" s="420"/>
    </row>
    <row r="363" spans="2:7" ht="15" customHeight="1" thickBot="1">
      <c r="B363" s="421"/>
      <c r="C363" s="422"/>
      <c r="D363" s="422"/>
      <c r="E363" s="422"/>
      <c r="F363" s="422"/>
      <c r="G363" s="423"/>
    </row>
    <row r="364" spans="2:7">
      <c r="B364" s="431" t="s">
        <v>8</v>
      </c>
      <c r="C364" s="432"/>
      <c r="D364" s="433" t="s">
        <v>9</v>
      </c>
      <c r="E364" s="433"/>
      <c r="F364" s="433"/>
      <c r="G364" s="432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>
        <f>4.45+4.5</f>
        <v>8.9499999999999993</v>
      </c>
      <c r="E366" s="138"/>
      <c r="F366" s="138">
        <f>2.8+3.5+3.4+4.45+2.8+2.8+4+4.45</f>
        <v>28.2</v>
      </c>
      <c r="G366" s="31" t="s">
        <v>67</v>
      </c>
    </row>
    <row r="367" spans="2:7">
      <c r="B367" s="134">
        <v>30</v>
      </c>
      <c r="C367" s="16"/>
      <c r="D367" s="137">
        <f>17.65-D147</f>
        <v>12.649999999999999</v>
      </c>
      <c r="E367" s="138"/>
      <c r="F367" s="138"/>
      <c r="G367" s="31" t="s">
        <v>327</v>
      </c>
    </row>
    <row r="368" spans="2:7">
      <c r="B368" s="134"/>
      <c r="C368" s="16"/>
      <c r="D368" s="137">
        <v>60</v>
      </c>
      <c r="E368" s="138"/>
      <c r="F368" s="138"/>
      <c r="G368" s="16" t="s">
        <v>335</v>
      </c>
    </row>
    <row r="369" spans="2:7">
      <c r="B369" s="134"/>
      <c r="C369" s="16"/>
      <c r="D369" s="137">
        <v>26.58</v>
      </c>
      <c r="E369" s="138"/>
      <c r="F369" s="138"/>
      <c r="G369" s="16" t="s">
        <v>339</v>
      </c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100</v>
      </c>
      <c r="C380" s="17" t="s">
        <v>53</v>
      </c>
      <c r="D380" s="135">
        <f>SUM(D366:D379)</f>
        <v>108.17999999999999</v>
      </c>
      <c r="E380" s="135">
        <f>SUM(E366:E379)</f>
        <v>0</v>
      </c>
      <c r="F380" s="135">
        <f>SUM(F366:F379)</f>
        <v>28.2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30" t="str">
        <f>AÑO!A39</f>
        <v>Dreamed Holidays</v>
      </c>
      <c r="C382" s="419"/>
      <c r="D382" s="419"/>
      <c r="E382" s="419"/>
      <c r="F382" s="419"/>
      <c r="G382" s="420"/>
    </row>
    <row r="383" spans="2:7" ht="15" customHeight="1" thickBot="1">
      <c r="B383" s="421"/>
      <c r="C383" s="422"/>
      <c r="D383" s="422"/>
      <c r="E383" s="422"/>
      <c r="F383" s="422"/>
      <c r="G383" s="423"/>
    </row>
    <row r="384" spans="2:7">
      <c r="B384" s="431" t="s">
        <v>8</v>
      </c>
      <c r="C384" s="432"/>
      <c r="D384" s="433" t="s">
        <v>9</v>
      </c>
      <c r="E384" s="433"/>
      <c r="F384" s="433"/>
      <c r="G384" s="432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30" t="str">
        <f>AÑO!A40</f>
        <v>Financieros</v>
      </c>
      <c r="C402" s="419"/>
      <c r="D402" s="419"/>
      <c r="E402" s="419"/>
      <c r="F402" s="419"/>
      <c r="G402" s="420"/>
    </row>
    <row r="403" spans="2:7" ht="15" customHeight="1" thickBot="1">
      <c r="B403" s="421"/>
      <c r="C403" s="422"/>
      <c r="D403" s="422"/>
      <c r="E403" s="422"/>
      <c r="F403" s="422"/>
      <c r="G403" s="423"/>
    </row>
    <row r="404" spans="2:7">
      <c r="B404" s="431" t="s">
        <v>8</v>
      </c>
      <c r="C404" s="432"/>
      <c r="D404" s="433" t="s">
        <v>9</v>
      </c>
      <c r="E404" s="433"/>
      <c r="F404" s="433"/>
      <c r="G404" s="432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2.1800000000000002</v>
      </c>
      <c r="E406" s="138"/>
      <c r="F406" s="138"/>
      <c r="G406" s="16" t="s">
        <v>273</v>
      </c>
    </row>
    <row r="407" spans="2:7">
      <c r="B407" s="134">
        <v>30</v>
      </c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8">
      <c r="B417" s="134"/>
      <c r="C417" s="16"/>
      <c r="D417" s="137"/>
      <c r="E417" s="138"/>
      <c r="F417" s="138"/>
      <c r="G417" s="16"/>
    </row>
    <row r="418" spans="1:8">
      <c r="B418" s="134"/>
      <c r="C418" s="16"/>
      <c r="D418" s="137"/>
      <c r="E418" s="138"/>
      <c r="F418" s="138"/>
      <c r="G418" s="16"/>
    </row>
    <row r="419" spans="1:8" ht="15.75" thickBot="1">
      <c r="B419" s="135"/>
      <c r="C419" s="17"/>
      <c r="D419" s="135"/>
      <c r="E419" s="139"/>
      <c r="F419" s="139"/>
      <c r="G419" s="17"/>
    </row>
    <row r="420" spans="1:8" ht="15.75" thickBot="1">
      <c r="B420" s="135">
        <f>SUM(B406:B419)</f>
        <v>80</v>
      </c>
      <c r="C420" s="17" t="s">
        <v>53</v>
      </c>
      <c r="D420" s="135">
        <f>SUM(D406:D419)</f>
        <v>2.1800000000000002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8" ht="15.75" thickBot="1">
      <c r="B421" s="5"/>
      <c r="C421" s="3"/>
      <c r="D421" s="5"/>
      <c r="E421" s="5"/>
    </row>
    <row r="422" spans="1:8" ht="14.45" customHeight="1">
      <c r="B422" s="430" t="str">
        <f>AÑO!A41</f>
        <v>Ahorros Colchón</v>
      </c>
      <c r="C422" s="436"/>
      <c r="D422" s="436"/>
      <c r="E422" s="436"/>
      <c r="F422" s="436"/>
      <c r="G422" s="437"/>
    </row>
    <row r="423" spans="1:8" ht="15" customHeight="1" thickBot="1">
      <c r="B423" s="438"/>
      <c r="C423" s="439"/>
      <c r="D423" s="439"/>
      <c r="E423" s="439"/>
      <c r="F423" s="439"/>
      <c r="G423" s="440"/>
    </row>
    <row r="424" spans="1:8">
      <c r="B424" s="431" t="s">
        <v>8</v>
      </c>
      <c r="C424" s="432"/>
      <c r="D424" s="433" t="s">
        <v>9</v>
      </c>
      <c r="E424" s="433"/>
      <c r="F424" s="433"/>
      <c r="G424" s="432"/>
    </row>
    <row r="425" spans="1:8">
      <c r="A425" s="113">
        <f>AÑO!G17</f>
        <v>4821.67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  <c r="H425" s="234" t="s">
        <v>356</v>
      </c>
    </row>
    <row r="426" spans="1:8" ht="15.75">
      <c r="A426" s="112">
        <v>3900</v>
      </c>
      <c r="B426" s="134">
        <f>A425-SUM(A426:A439)</f>
        <v>120.06999999999971</v>
      </c>
      <c r="C426" s="19" t="s">
        <v>234</v>
      </c>
      <c r="D426" s="137"/>
      <c r="E426" s="138"/>
      <c r="F426" s="138"/>
      <c r="G426" s="16"/>
      <c r="H426" s="112">
        <v>8120</v>
      </c>
    </row>
    <row r="427" spans="1:8">
      <c r="A427" s="113">
        <v>600.04</v>
      </c>
      <c r="B427" s="134"/>
      <c r="C427" s="16"/>
      <c r="D427" s="137"/>
      <c r="E427" s="138"/>
      <c r="F427" s="138"/>
      <c r="G427" s="16"/>
      <c r="H427" s="113">
        <f>AÑO!J41-'02'!H426</f>
        <v>0</v>
      </c>
    </row>
    <row r="428" spans="1:8">
      <c r="A428" s="113">
        <f>61.56+140</f>
        <v>201.56</v>
      </c>
      <c r="B428" s="134"/>
      <c r="C428" s="16"/>
      <c r="D428" s="137"/>
      <c r="E428" s="138"/>
      <c r="F428" s="138"/>
      <c r="G428" s="16"/>
      <c r="H428" s="113"/>
    </row>
    <row r="429" spans="1:8">
      <c r="A429" s="113"/>
      <c r="B429" s="134"/>
      <c r="C429" s="16"/>
      <c r="D429" s="137"/>
      <c r="E429" s="138"/>
      <c r="F429" s="138"/>
      <c r="G429" s="16"/>
      <c r="H429" s="113"/>
    </row>
    <row r="430" spans="1:8">
      <c r="A430" s="113"/>
      <c r="B430" s="134"/>
      <c r="C430" s="16"/>
      <c r="D430" s="137"/>
      <c r="E430" s="138"/>
      <c r="F430" s="138"/>
      <c r="G430" s="16"/>
      <c r="H430" s="113"/>
    </row>
    <row r="431" spans="1:8">
      <c r="B431" s="134"/>
      <c r="C431" s="16"/>
      <c r="D431" s="137"/>
      <c r="E431" s="138"/>
      <c r="F431" s="138"/>
      <c r="G431" s="16"/>
    </row>
    <row r="432" spans="1:8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120.06999999999971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30" t="str">
        <f>AÑO!A42</f>
        <v>Dinero Bloqueado</v>
      </c>
      <c r="C442" s="436"/>
      <c r="D442" s="436"/>
      <c r="E442" s="436"/>
      <c r="F442" s="436"/>
      <c r="G442" s="437"/>
    </row>
    <row r="443" spans="2:7" ht="15" customHeight="1" thickBot="1">
      <c r="B443" s="438"/>
      <c r="C443" s="439"/>
      <c r="D443" s="439"/>
      <c r="E443" s="439"/>
      <c r="F443" s="439"/>
      <c r="G443" s="440"/>
    </row>
    <row r="444" spans="2:7">
      <c r="B444" s="431" t="s">
        <v>8</v>
      </c>
      <c r="C444" s="432"/>
      <c r="D444" s="433" t="s">
        <v>9</v>
      </c>
      <c r="E444" s="433"/>
      <c r="F444" s="433"/>
      <c r="G444" s="432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30" t="str">
        <f>AÑO!A43</f>
        <v>Cartama Finanazas</v>
      </c>
      <c r="C462" s="436"/>
      <c r="D462" s="436"/>
      <c r="E462" s="436"/>
      <c r="F462" s="436"/>
      <c r="G462" s="437"/>
    </row>
    <row r="463" spans="2:7" ht="15" customHeight="1" thickBot="1">
      <c r="B463" s="438"/>
      <c r="C463" s="439"/>
      <c r="D463" s="439"/>
      <c r="E463" s="439"/>
      <c r="F463" s="439"/>
      <c r="G463" s="440"/>
    </row>
    <row r="464" spans="2:7">
      <c r="B464" s="431" t="s">
        <v>8</v>
      </c>
      <c r="C464" s="432"/>
      <c r="D464" s="433" t="s">
        <v>9</v>
      </c>
      <c r="E464" s="433"/>
      <c r="F464" s="433"/>
      <c r="G464" s="432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'01'!A466+(B466-SUM(D466:F466))</f>
        <v>550</v>
      </c>
      <c r="B466" s="134">
        <v>0</v>
      </c>
      <c r="C466" s="16" t="s">
        <v>174</v>
      </c>
      <c r="D466" s="137"/>
      <c r="E466" s="138"/>
      <c r="F466" s="138"/>
      <c r="G466" s="16"/>
    </row>
    <row r="467" spans="1:7" ht="15.75">
      <c r="A467" s="112">
        <f>'01'!A467+(B467-SUM(D467:F467))</f>
        <v>150.22999999999996</v>
      </c>
      <c r="B467" s="134">
        <f>399.59-B6+50+30</f>
        <v>217.20999999999998</v>
      </c>
      <c r="C467" s="16" t="s">
        <v>185</v>
      </c>
      <c r="D467" s="137"/>
      <c r="E467" s="138">
        <v>500</v>
      </c>
      <c r="F467" s="138"/>
      <c r="G467" s="16" t="s">
        <v>309</v>
      </c>
    </row>
    <row r="468" spans="1:7" ht="15.75">
      <c r="A468" s="112">
        <f>'01'!A468+(B468-SUM(D468:F468))</f>
        <v>50.21</v>
      </c>
      <c r="B468" s="134">
        <f>10+10.21</f>
        <v>20.21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750.44</v>
      </c>
      <c r="B480" s="135">
        <f>SUM(B466:B479)</f>
        <v>237.42</v>
      </c>
      <c r="C480" s="17" t="s">
        <v>53</v>
      </c>
      <c r="D480" s="135">
        <f>SUM(D466:D479)</f>
        <v>0</v>
      </c>
      <c r="E480" s="135">
        <f>SUM(E466:E479)</f>
        <v>500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30" t="str">
        <f>AÑO!A44</f>
        <v>NULO</v>
      </c>
      <c r="C482" s="436"/>
      <c r="D482" s="436"/>
      <c r="E482" s="436"/>
      <c r="F482" s="436"/>
      <c r="G482" s="437"/>
    </row>
    <row r="483" spans="2:7" ht="15" customHeight="1" thickBot="1">
      <c r="B483" s="438"/>
      <c r="C483" s="439"/>
      <c r="D483" s="439"/>
      <c r="E483" s="439"/>
      <c r="F483" s="439"/>
      <c r="G483" s="440"/>
    </row>
    <row r="484" spans="2:7">
      <c r="B484" s="431" t="s">
        <v>8</v>
      </c>
      <c r="C484" s="432"/>
      <c r="D484" s="433" t="s">
        <v>9</v>
      </c>
      <c r="E484" s="433"/>
      <c r="F484" s="433"/>
      <c r="G484" s="432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30" t="str">
        <f>AÑO!A45</f>
        <v>OTROS</v>
      </c>
      <c r="C502" s="436"/>
      <c r="D502" s="436"/>
      <c r="E502" s="436"/>
      <c r="F502" s="436"/>
      <c r="G502" s="437"/>
    </row>
    <row r="503" spans="2:7" ht="15" customHeight="1" thickBot="1">
      <c r="B503" s="438"/>
      <c r="C503" s="439"/>
      <c r="D503" s="439"/>
      <c r="E503" s="439"/>
      <c r="F503" s="439"/>
      <c r="G503" s="440"/>
    </row>
    <row r="504" spans="2:7">
      <c r="B504" s="431" t="s">
        <v>8</v>
      </c>
      <c r="C504" s="432"/>
      <c r="D504" s="433" t="s">
        <v>9</v>
      </c>
      <c r="E504" s="433"/>
      <c r="F504" s="433"/>
      <c r="G504" s="432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>
        <v>13.39</v>
      </c>
      <c r="E506" s="138"/>
      <c r="F506" s="138"/>
      <c r="G506" s="16" t="s">
        <v>358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13.39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3:L13"/>
    <mergeCell ref="K14:L14"/>
    <mergeCell ref="K15:L15"/>
    <mergeCell ref="K16:L16"/>
    <mergeCell ref="K12:L12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2" location="Trimestre!C39:F40" display="TELÉFONO" xr:uid="{B9F213BE-BD90-4BEC-A179-BC21E5036F5F}"/>
    <hyperlink ref="I22:L23" location="AÑO!G7:J17" display="INGRESOS" xr:uid="{C487B20A-5CB5-47A4-8EED-94E44227D220}"/>
    <hyperlink ref="I2" location="Trimestre!C39:F40" display="TELÉFONO" xr:uid="{CCE71FD3-DA95-43E0-AFC1-CE0732278879}"/>
    <hyperlink ref="I2:L3" location="AÑO!G4:J5" display="SALDO REAL" xr:uid="{097F258A-060E-4F18-AA9C-6C7E9ADB1147}"/>
    <hyperlink ref="B2" location="Trimestre!C25:F26" display="HIPOTECA" xr:uid="{E756625A-B84A-4B6E-AAFA-E5E1C94615FA}"/>
    <hyperlink ref="B2:G3" location="AÑO!G20:J20" display="AÑO!G20:J20" xr:uid="{E001805E-34EB-4366-8677-68006CCA2F8B}"/>
    <hyperlink ref="B22" location="Trimestre!C25:F26" display="HIPOTECA" xr:uid="{6A8FDD0F-6F15-4457-B656-B70F35335A04}"/>
    <hyperlink ref="B22:G23" location="AÑO!G21:J21" display="AÑO!G21:J21" xr:uid="{787CFBDE-F1E9-4593-9AAB-B6A91CD2E5D0}"/>
    <hyperlink ref="B42" location="Trimestre!C25:F26" display="HIPOTECA" xr:uid="{459FC909-F1F4-43D0-AD07-32825887D792}"/>
    <hyperlink ref="B42:G43" location="AÑO!G22:J22" display="AÑO!G22:J22" xr:uid="{067EA262-665B-4D9D-BCF8-19DE74E9D7B3}"/>
    <hyperlink ref="B62" location="Trimestre!C25:F26" display="HIPOTECA" xr:uid="{21DABE22-8499-4053-9F05-EEF850C32E33}"/>
    <hyperlink ref="B62:G63" location="AÑO!G23:J23" display="AÑO!G23:J23" xr:uid="{13E6F2F1-B25D-4E74-A667-D4F7654873F2}"/>
    <hyperlink ref="B82" location="Trimestre!C25:F26" display="HIPOTECA" xr:uid="{804A1CEF-01F7-46B9-8709-EFE601064135}"/>
    <hyperlink ref="B82:G83" location="AÑO!G24:J24" display="AÑO!G24:J24" xr:uid="{17B036FC-3DA5-4223-B963-A665AEB61296}"/>
    <hyperlink ref="B102" location="Trimestre!C25:F26" display="HIPOTECA" xr:uid="{A7339046-AC02-4735-9CF7-8EFAD91944E3}"/>
    <hyperlink ref="B102:G103" location="AÑO!G25:J25" display="AÑO!G25:J25" xr:uid="{A82C312E-F257-4B08-8D32-3F71AE54A665}"/>
    <hyperlink ref="B122" location="Trimestre!C25:F26" display="HIPOTECA" xr:uid="{6DA6CBFE-4A7E-473A-9749-41750839A46F}"/>
    <hyperlink ref="B122:G123" location="AÑO!G26:J26" display="AÑO!G26:J26" xr:uid="{F7093E40-C28E-4E2A-92C1-4598EEF44461}"/>
    <hyperlink ref="B142" location="Trimestre!C25:F26" display="HIPOTECA" xr:uid="{2588BCDF-E0FE-4CC4-963A-D21E6E7C3BA4}"/>
    <hyperlink ref="B142:G143" location="AÑO!G27:J27" display="AÑO!G27:J27" xr:uid="{68DA7793-9A6D-4CD6-969F-1BD130765161}"/>
    <hyperlink ref="B162" location="Trimestre!C25:F26" display="HIPOTECA" xr:uid="{FB2EF874-56D0-4E6C-BAA5-7E4A8641F3C2}"/>
    <hyperlink ref="B162:G163" location="AÑO!G28:J28" display="AÑO!G28:J28" xr:uid="{E2228C12-7D03-477C-A6AC-5C19558487A1}"/>
    <hyperlink ref="B182" location="Trimestre!C25:F26" display="HIPOTECA" xr:uid="{39B83936-E047-4FA9-B2D7-237ABAFA4F8A}"/>
    <hyperlink ref="B182:G183" location="AÑO!G29:J29" display="AÑO!G29:J29" xr:uid="{97121238-449F-41FC-B2DF-3867E093FA7E}"/>
    <hyperlink ref="B202" location="Trimestre!C25:F26" display="HIPOTECA" xr:uid="{896FD8F8-59F4-4919-9DDF-8115B500F3C9}"/>
    <hyperlink ref="B202:G203" location="AÑO!G30:J30" display="AÑO!G30:J30" xr:uid="{0F648F02-94AF-4E5B-86EB-72621EDD5483}"/>
    <hyperlink ref="B222" location="Trimestre!C25:F26" display="HIPOTECA" xr:uid="{D349B841-3F29-49EE-A2E7-77D423B2573B}"/>
    <hyperlink ref="B222:G223" location="AÑO!G31:J31" display="AÑO!G31:J31" xr:uid="{7B7F69BF-EEBC-44CD-8ADF-D6CA34D73717}"/>
    <hyperlink ref="B242" location="Trimestre!C25:F26" display="HIPOTECA" xr:uid="{F3A6EB74-63CE-486D-BA7A-781682797B47}"/>
    <hyperlink ref="B242:G243" location="AÑO!G32:J32" display="AÑO!G32:J32" xr:uid="{877B9CAA-FAEB-4B5F-81EB-CB754BBD3F68}"/>
    <hyperlink ref="B262" location="Trimestre!C25:F26" display="HIPOTECA" xr:uid="{36987A94-F79F-462F-893B-25DA4E84C84C}"/>
    <hyperlink ref="B262:G263" location="AÑO!G33:J33" display="AÑO!G33:J33" xr:uid="{C18E2BCE-61B0-436B-94D4-B03E2DACCA2A}"/>
    <hyperlink ref="B282" location="Trimestre!C25:F26" display="HIPOTECA" xr:uid="{641D8E19-8028-4FD5-8C52-EF52F667690F}"/>
    <hyperlink ref="B282:G283" location="AÑO!G34:J34" display="AÑO!G34:J34" xr:uid="{B6F924AE-1E97-40D3-8E70-FA5D93BAE681}"/>
    <hyperlink ref="B302" location="Trimestre!C25:F26" display="HIPOTECA" xr:uid="{80D50722-472C-4C64-8592-A3C23A753667}"/>
    <hyperlink ref="B302:G303" location="AÑO!G35:J35" display="AÑO!G35:J35" xr:uid="{4920106B-85B2-4E49-8F86-8118CC9191C0}"/>
    <hyperlink ref="B322" location="Trimestre!C25:F26" display="HIPOTECA" xr:uid="{D9CDF0BB-4AF9-461C-93F9-C91B2A36C914}"/>
    <hyperlink ref="B322:G323" location="AÑO!G36:J36" display="AÑO!G36:J36" xr:uid="{331E1E22-001E-48E9-95DD-C3470FBE5CE4}"/>
    <hyperlink ref="B342" location="Trimestre!C25:F26" display="HIPOTECA" xr:uid="{BD2F91FC-BD3E-4B78-8A04-1DBA34E89BE7}"/>
    <hyperlink ref="B342:G343" location="AÑO!G37:J37" display="AÑO!G37:J37" xr:uid="{C2832C2A-22ED-420D-BC7A-A3475C28EEFC}"/>
    <hyperlink ref="B362" location="Trimestre!C25:F26" display="HIPOTECA" xr:uid="{4E311625-4D07-4101-A483-0502B0A5C115}"/>
    <hyperlink ref="B362:G363" location="AÑO!G38:J38" display="AÑO!G38:J38" xr:uid="{136BC603-9277-48F7-8869-77CA766F030A}"/>
    <hyperlink ref="B382" location="Trimestre!C25:F26" display="HIPOTECA" xr:uid="{7F44F4CE-E8C2-4793-AD11-56CEAC8B8AD9}"/>
    <hyperlink ref="B382:G383" location="AÑO!G39:J39" display="AÑO!G39:J39" xr:uid="{B3AE040C-D127-4F3B-BF69-ABB57D521461}"/>
    <hyperlink ref="B402" location="Trimestre!C25:F26" display="HIPOTECA" xr:uid="{46F12E55-F99A-40F5-95A3-DFF8D6A3A7F6}"/>
    <hyperlink ref="B402:G403" location="AÑO!G40:J40" display="AÑO!G40:J40" xr:uid="{2F0B1FB2-CF5A-4675-AD3D-960726CECB4B}"/>
    <hyperlink ref="B422" location="Trimestre!C25:F26" display="HIPOTECA" xr:uid="{E3DDAD0B-9255-4527-8234-DCF38475D781}"/>
    <hyperlink ref="B422:G423" location="AÑO!G41:J41" display="AÑO!G41:J41" xr:uid="{2AEF8D50-0213-4581-ACF5-24CACA2CBECC}"/>
    <hyperlink ref="B442" location="Trimestre!C25:F26" display="HIPOTECA" xr:uid="{6F88BC5A-F86E-46B9-A81D-339F449B389C}"/>
    <hyperlink ref="B442:G443" location="AÑO!G42:J42" display="AÑO!G42:J42" xr:uid="{C197155F-F518-4AB7-AA1F-52BB5B1DCF3E}"/>
    <hyperlink ref="B462" location="Trimestre!C25:F26" display="HIPOTECA" xr:uid="{9DFF7191-80AA-48B3-AD67-15FC9A041BC8}"/>
    <hyperlink ref="B462:G463" location="AÑO!G43:J43" display="AÑO!G43:J43" xr:uid="{A46E8E99-C3EF-4B13-92C3-4128C6ECC701}"/>
    <hyperlink ref="B482" location="Trimestre!C25:F26" display="HIPOTECA" xr:uid="{747DE942-F531-4846-9A2F-CD52521DF357}"/>
    <hyperlink ref="B482:G483" location="AÑO!G44:J44" display="AÑO!G44:J44" xr:uid="{2C03F624-1232-4C82-9C6D-06360CDEE206}"/>
    <hyperlink ref="B502" location="Trimestre!C25:F26" display="HIPOTECA" xr:uid="{55EEA7BC-7C38-4BD8-A365-361C98F7FD83}"/>
    <hyperlink ref="B502:G503" location="AÑO!G45:J45" display="AÑO!G45:J45" xr:uid="{69C3D1EC-BB73-45DC-97E8-64D7589187E2}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520"/>
  <sheetViews>
    <sheetView topLeftCell="A392" workbookViewId="0">
      <selection activeCell="C407" sqref="C407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222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30" t="str">
        <f>AÑO!A20</f>
        <v>Cártama Gastos</v>
      </c>
      <c r="C2" s="419"/>
      <c r="D2" s="419"/>
      <c r="E2" s="419"/>
      <c r="F2" s="419"/>
      <c r="G2" s="420"/>
      <c r="H2" s="222"/>
      <c r="I2" s="418" t="s">
        <v>4</v>
      </c>
      <c r="J2" s="419"/>
      <c r="K2" s="419"/>
      <c r="L2" s="420"/>
      <c r="M2" s="1"/>
      <c r="N2" s="1"/>
      <c r="R2" s="3"/>
    </row>
    <row r="3" spans="1:22" ht="16.5" thickBot="1">
      <c r="A3" s="1"/>
      <c r="B3" s="421"/>
      <c r="C3" s="422"/>
      <c r="D3" s="422"/>
      <c r="E3" s="422"/>
      <c r="F3" s="422"/>
      <c r="G3" s="423"/>
      <c r="H3" s="1"/>
      <c r="I3" s="421"/>
      <c r="J3" s="422"/>
      <c r="K3" s="422"/>
      <c r="L3" s="423"/>
      <c r="M3" s="1"/>
      <c r="N3" s="1"/>
      <c r="R3" s="3"/>
    </row>
    <row r="4" spans="1:22" ht="15.75">
      <c r="A4" s="1"/>
      <c r="B4" s="431" t="s">
        <v>8</v>
      </c>
      <c r="C4" s="432"/>
      <c r="D4" s="433" t="s">
        <v>9</v>
      </c>
      <c r="E4" s="433"/>
      <c r="F4" s="433"/>
      <c r="G4" s="432"/>
      <c r="H4" s="222"/>
      <c r="I4" s="40" t="s">
        <v>57</v>
      </c>
      <c r="J4" s="105" t="s">
        <v>58</v>
      </c>
      <c r="K4" s="424" t="s">
        <v>59</v>
      </c>
      <c r="L4" s="425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26">
        <v>1559.34</v>
      </c>
      <c r="L5" s="427"/>
      <c r="M5" s="1"/>
      <c r="N5" s="1"/>
      <c r="R5" s="3"/>
    </row>
    <row r="6" spans="1:22" ht="15.75">
      <c r="A6" s="112">
        <f>'02'!A6+(B6-SUM(D6:F6))</f>
        <v>6</v>
      </c>
      <c r="B6" s="133">
        <v>399.59</v>
      </c>
      <c r="C6" s="19" t="s">
        <v>181</v>
      </c>
      <c r="D6" s="137"/>
      <c r="E6" s="138">
        <v>399.59</v>
      </c>
      <c r="F6" s="138"/>
      <c r="G6" s="16" t="s">
        <v>32</v>
      </c>
      <c r="H6" s="1"/>
      <c r="I6" s="108" t="s">
        <v>60</v>
      </c>
      <c r="J6" s="107" t="s">
        <v>62</v>
      </c>
      <c r="K6" s="428">
        <v>620.08000000000004</v>
      </c>
      <c r="L6" s="429"/>
      <c r="M6" s="1" t="s">
        <v>165</v>
      </c>
      <c r="N6" s="1"/>
      <c r="R6" s="3"/>
    </row>
    <row r="7" spans="1:22" ht="15.75">
      <c r="A7" s="112">
        <f>'02'!A7+(B7-SUM(D7:F7))</f>
        <v>-98.710000000000036</v>
      </c>
      <c r="B7" s="134">
        <v>70.180000000000007</v>
      </c>
      <c r="C7" s="16" t="s">
        <v>200</v>
      </c>
      <c r="D7" s="137"/>
      <c r="E7" s="138">
        <f>332.75+142.41+273.37</f>
        <v>748.53</v>
      </c>
      <c r="F7" s="138"/>
      <c r="G7" s="16" t="s">
        <v>74</v>
      </c>
      <c r="H7" s="1"/>
      <c r="I7" s="108" t="s">
        <v>63</v>
      </c>
      <c r="J7" s="107" t="s">
        <v>64</v>
      </c>
      <c r="K7" s="428">
        <v>8577.0300000000007</v>
      </c>
      <c r="L7" s="429"/>
      <c r="M7" s="1"/>
      <c r="N7" s="1"/>
      <c r="R7" s="3"/>
    </row>
    <row r="8" spans="1:22" ht="15.75">
      <c r="A8" s="112">
        <f>'02'!A8+(B8-SUM(D8:F8))</f>
        <v>0</v>
      </c>
      <c r="B8" s="134">
        <v>112.11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28">
        <v>3501.87</v>
      </c>
      <c r="L8" s="429"/>
      <c r="M8" s="1"/>
      <c r="N8" s="1"/>
      <c r="R8" s="3"/>
    </row>
    <row r="9" spans="1:22" ht="15.75">
      <c r="A9" s="112">
        <f>'02'!A9+(B9-SUM(D9:F9))</f>
        <v>0</v>
      </c>
      <c r="B9" s="134">
        <v>20.28</v>
      </c>
      <c r="C9" s="16" t="s">
        <v>37</v>
      </c>
      <c r="D9" s="137"/>
      <c r="E9" s="138">
        <v>20.28</v>
      </c>
      <c r="F9" s="138"/>
      <c r="G9" s="16" t="s">
        <v>37</v>
      </c>
      <c r="H9" s="1"/>
      <c r="I9" s="108" t="s">
        <v>63</v>
      </c>
      <c r="J9" s="107" t="s">
        <v>157</v>
      </c>
      <c r="K9" s="428">
        <v>4167.34</v>
      </c>
      <c r="L9" s="429"/>
      <c r="M9" s="1"/>
      <c r="N9" s="1"/>
      <c r="R9" s="3"/>
    </row>
    <row r="10" spans="1:22" ht="15.75">
      <c r="A10" s="112">
        <f>'02'!A10+(B10-SUM(D10:F10))</f>
        <v>12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428">
        <v>1802.02</v>
      </c>
      <c r="L10" s="429"/>
      <c r="M10" s="1" t="s">
        <v>156</v>
      </c>
      <c r="N10" s="1"/>
      <c r="R10" s="3"/>
    </row>
    <row r="11" spans="1:22" ht="15.75">
      <c r="A11" s="112">
        <f>'02'!A11+(B11-SUM(D11:F11))</f>
        <v>-9.9999999999980105E-3</v>
      </c>
      <c r="B11" s="134">
        <v>30.23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428">
        <v>255</v>
      </c>
      <c r="L11" s="429"/>
      <c r="M11" s="1"/>
      <c r="N11" s="1"/>
      <c r="R11" s="3"/>
    </row>
    <row r="12" spans="1:22" ht="15.75">
      <c r="A12" s="112">
        <f>'02'!A12+(B12-SUM(D12:F12))</f>
        <v>113.04000000000002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28">
        <v>5092.08</v>
      </c>
      <c r="L12" s="429"/>
      <c r="M12" s="92"/>
      <c r="N12" s="1"/>
      <c r="R12" s="3"/>
    </row>
    <row r="13" spans="1:22" ht="15.75">
      <c r="A13" s="112">
        <f>'02'!A13+(B13-SUM(D13:F13))</f>
        <v>5</v>
      </c>
      <c r="B13" s="134">
        <v>7</v>
      </c>
      <c r="C13" s="16" t="s">
        <v>326</v>
      </c>
      <c r="D13" s="137"/>
      <c r="E13" s="138">
        <v>79</v>
      </c>
      <c r="F13" s="138"/>
      <c r="G13" s="16"/>
      <c r="H13" s="1"/>
      <c r="I13" s="108"/>
      <c r="J13" s="107"/>
      <c r="K13" s="428"/>
      <c r="L13" s="429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8"/>
      <c r="L14" s="429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8"/>
      <c r="L15" s="429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8"/>
      <c r="L16" s="429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8"/>
      <c r="L17" s="429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4"/>
      <c r="L18" s="435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34">
        <f>SUM(K5:K18)</f>
        <v>25574.760000000002</v>
      </c>
      <c r="L19" s="435"/>
      <c r="M19" s="1"/>
      <c r="N19" s="1"/>
      <c r="R19" s="3"/>
    </row>
    <row r="20" spans="1:18" ht="16.5" thickBot="1">
      <c r="A20" s="112">
        <f>SUM(A6:A15)</f>
        <v>37.319999999999993</v>
      </c>
      <c r="B20" s="135">
        <f>SUM(B6:B19)</f>
        <v>676.39</v>
      </c>
      <c r="C20" s="17" t="s">
        <v>53</v>
      </c>
      <c r="D20" s="135">
        <f>SUM(D6:D19)</f>
        <v>0</v>
      </c>
      <c r="E20" s="135">
        <f>SUM(E6:E19)</f>
        <v>1277.6399999999999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18680.660000000003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30" t="str">
        <f>AÑO!A21</f>
        <v>Waterloo</v>
      </c>
      <c r="C22" s="419"/>
      <c r="D22" s="419"/>
      <c r="E22" s="419"/>
      <c r="F22" s="419"/>
      <c r="G22" s="420"/>
      <c r="H22" s="1"/>
      <c r="I22" s="418" t="s">
        <v>6</v>
      </c>
      <c r="J22" s="419"/>
      <c r="K22" s="419"/>
      <c r="L22" s="420"/>
      <c r="M22" s="1"/>
      <c r="R22" s="3"/>
    </row>
    <row r="23" spans="1:18" ht="16.149999999999999" customHeight="1" thickBot="1">
      <c r="A23" s="1"/>
      <c r="B23" s="421"/>
      <c r="C23" s="422"/>
      <c r="D23" s="422"/>
      <c r="E23" s="422"/>
      <c r="F23" s="422"/>
      <c r="G23" s="423"/>
      <c r="H23" s="1"/>
      <c r="I23" s="421"/>
      <c r="J23" s="422"/>
      <c r="K23" s="422"/>
      <c r="L23" s="423"/>
      <c r="M23" s="1"/>
      <c r="R23" s="3"/>
    </row>
    <row r="24" spans="1:18" ht="15.75">
      <c r="A24" s="1"/>
      <c r="B24" s="431" t="s">
        <v>8</v>
      </c>
      <c r="C24" s="432"/>
      <c r="D24" s="433" t="s">
        <v>9</v>
      </c>
      <c r="E24" s="433"/>
      <c r="F24" s="433"/>
      <c r="G24" s="432"/>
      <c r="H24" s="1"/>
      <c r="I24" s="40" t="s">
        <v>31</v>
      </c>
      <c r="J24" s="403" t="s">
        <v>87</v>
      </c>
      <c r="K24" s="404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05" t="str">
        <f>AÑO!A8</f>
        <v>Manolo Salario</v>
      </c>
      <c r="J25" s="408" t="s">
        <v>402</v>
      </c>
      <c r="K25" s="409"/>
      <c r="L25" s="198">
        <v>2526.87</v>
      </c>
      <c r="M25" s="1"/>
      <c r="R25" s="3"/>
    </row>
    <row r="26" spans="1:18" ht="15.75">
      <c r="A26" s="112">
        <f>'02'!A26+(B26-SUM(D26:F26))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06"/>
      <c r="J26" s="410"/>
      <c r="K26" s="411"/>
      <c r="L26" s="199"/>
      <c r="M26" s="1"/>
      <c r="R26" s="3"/>
    </row>
    <row r="27" spans="1:18" ht="15.75">
      <c r="A27" s="112">
        <f>'02'!A27+(B27-SUM(D27:F27))</f>
        <v>18</v>
      </c>
      <c r="B27" s="134">
        <f>407.28+170</f>
        <v>577.28</v>
      </c>
      <c r="C27" s="27" t="s">
        <v>40</v>
      </c>
      <c r="D27" s="137">
        <v>577.28</v>
      </c>
      <c r="E27" s="138"/>
      <c r="F27" s="138"/>
      <c r="G27" s="16" t="s">
        <v>40</v>
      </c>
      <c r="H27" s="1"/>
      <c r="I27" s="406"/>
      <c r="J27" s="410"/>
      <c r="K27" s="411"/>
      <c r="L27" s="199"/>
      <c r="M27" s="1"/>
      <c r="R27" s="3"/>
    </row>
    <row r="28" spans="1:18" ht="15.75">
      <c r="A28" s="112">
        <f>'02'!A28+(B28-SUM(D28:F28))</f>
        <v>166.12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06"/>
      <c r="J28" s="410"/>
      <c r="K28" s="411"/>
      <c r="L28" s="199"/>
      <c r="M28" s="1"/>
      <c r="R28" s="3"/>
    </row>
    <row r="29" spans="1:18" ht="15.75">
      <c r="A29" s="112">
        <f>'02'!A29+(B29-SUM(D29:F29))</f>
        <v>1.3300000000000018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14"/>
      <c r="J29" s="415"/>
      <c r="K29" s="416"/>
      <c r="L29" s="201"/>
      <c r="M29" s="1"/>
      <c r="R29" s="3"/>
    </row>
    <row r="30" spans="1:18" ht="15.75" customHeight="1">
      <c r="A30" s="112">
        <f>'02'!A30+(B30-SUM(D30:F30))</f>
        <v>186.27999999999997</v>
      </c>
      <c r="B30" s="134">
        <v>-407.28</v>
      </c>
      <c r="C30" s="27" t="s">
        <v>42</v>
      </c>
      <c r="D30" s="137"/>
      <c r="E30" s="138"/>
      <c r="F30" s="138"/>
      <c r="G30" s="16"/>
      <c r="H30" s="1"/>
      <c r="I30" s="405" t="str">
        <f>AÑO!A9</f>
        <v>Rocío Salario</v>
      </c>
      <c r="J30" s="408" t="s">
        <v>363</v>
      </c>
      <c r="K30" s="409"/>
      <c r="L30" s="198">
        <v>40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6"/>
      <c r="J31" s="410" t="s">
        <v>238</v>
      </c>
      <c r="K31" s="411"/>
      <c r="L31" s="199">
        <v>315.7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6"/>
      <c r="J32" s="410" t="s">
        <v>328</v>
      </c>
      <c r="K32" s="411"/>
      <c r="L32" s="199">
        <v>160.74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6"/>
      <c r="J33" s="410"/>
      <c r="K33" s="411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4"/>
      <c r="J34" s="415"/>
      <c r="K34" s="416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5" t="s">
        <v>218</v>
      </c>
      <c r="J35" s="408"/>
      <c r="K35" s="409"/>
      <c r="L35" s="198">
        <v>91.73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6"/>
      <c r="J36" s="410"/>
      <c r="K36" s="411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6"/>
      <c r="J37" s="410"/>
      <c r="K37" s="411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6"/>
      <c r="J38" s="410"/>
      <c r="K38" s="411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4"/>
      <c r="J39" s="415"/>
      <c r="K39" s="416"/>
      <c r="L39" s="201"/>
      <c r="M39" s="1"/>
      <c r="R39" s="3"/>
    </row>
    <row r="40" spans="1:18" ht="16.5" thickBot="1">
      <c r="A40" s="112">
        <f>SUM(A26:A35)</f>
        <v>371.73</v>
      </c>
      <c r="B40" s="135">
        <f>SUM(B26:B39)</f>
        <v>1128</v>
      </c>
      <c r="C40" s="17" t="s">
        <v>53</v>
      </c>
      <c r="D40" s="135">
        <f>SUM(D26:D39)</f>
        <v>1495.23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05" t="str">
        <f>AÑO!A11</f>
        <v>Finanazas</v>
      </c>
      <c r="J40" s="408"/>
      <c r="K40" s="409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6"/>
      <c r="J41" s="410"/>
      <c r="K41" s="411"/>
      <c r="L41" s="199"/>
      <c r="M41" s="1"/>
      <c r="R41" s="3"/>
    </row>
    <row r="42" spans="1:18" ht="15.6" customHeight="1">
      <c r="A42" s="1"/>
      <c r="B42" s="430" t="str">
        <f>AÑO!A22</f>
        <v>Comida+Limpieza</v>
      </c>
      <c r="C42" s="419"/>
      <c r="D42" s="419"/>
      <c r="E42" s="419"/>
      <c r="F42" s="419"/>
      <c r="G42" s="420"/>
      <c r="H42" s="1"/>
      <c r="I42" s="406"/>
      <c r="J42" s="410"/>
      <c r="K42" s="411"/>
      <c r="L42" s="199"/>
      <c r="M42" s="1"/>
      <c r="R42" s="3"/>
    </row>
    <row r="43" spans="1:18" ht="16.149999999999999" customHeight="1" thickBot="1">
      <c r="A43" s="1"/>
      <c r="B43" s="421"/>
      <c r="C43" s="422"/>
      <c r="D43" s="422"/>
      <c r="E43" s="422"/>
      <c r="F43" s="422"/>
      <c r="G43" s="423"/>
      <c r="H43" s="1"/>
      <c r="I43" s="406"/>
      <c r="J43" s="410"/>
      <c r="K43" s="411"/>
      <c r="L43" s="199"/>
      <c r="M43" s="1"/>
      <c r="R43" s="3"/>
    </row>
    <row r="44" spans="1:18" ht="15.75">
      <c r="A44" s="1"/>
      <c r="B44" s="431" t="s">
        <v>8</v>
      </c>
      <c r="C44" s="432"/>
      <c r="D44" s="433" t="s">
        <v>9</v>
      </c>
      <c r="E44" s="433"/>
      <c r="F44" s="433"/>
      <c r="G44" s="432"/>
      <c r="H44" s="1"/>
      <c r="I44" s="414"/>
      <c r="J44" s="415"/>
      <c r="K44" s="416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05" t="str">
        <f>AÑO!A12</f>
        <v>Regalos</v>
      </c>
      <c r="J45" s="408" t="s">
        <v>380</v>
      </c>
      <c r="K45" s="409"/>
      <c r="L45" s="198">
        <v>100</v>
      </c>
      <c r="M45" s="1"/>
      <c r="R45" s="3"/>
    </row>
    <row r="46" spans="1:18" ht="15.75">
      <c r="A46" s="1"/>
      <c r="B46" s="133">
        <v>409.65</v>
      </c>
      <c r="C46" s="19"/>
      <c r="D46" s="137">
        <v>94.81</v>
      </c>
      <c r="E46" s="138"/>
      <c r="F46" s="138"/>
      <c r="G46" s="30" t="s">
        <v>364</v>
      </c>
      <c r="H46" s="1"/>
      <c r="I46" s="406"/>
      <c r="J46" s="410" t="s">
        <v>160</v>
      </c>
      <c r="K46" s="411"/>
      <c r="L46" s="199">
        <v>280</v>
      </c>
      <c r="M46" s="112">
        <f>600.04-L46</f>
        <v>320.03999999999996</v>
      </c>
      <c r="R46" s="3"/>
    </row>
    <row r="47" spans="1:18" ht="15.75">
      <c r="A47" s="1"/>
      <c r="B47" s="134">
        <v>30.35</v>
      </c>
      <c r="C47" s="16" t="s">
        <v>78</v>
      </c>
      <c r="D47" s="137">
        <v>70.08</v>
      </c>
      <c r="E47" s="138"/>
      <c r="F47" s="138"/>
      <c r="G47" s="16" t="s">
        <v>365</v>
      </c>
      <c r="H47" s="1"/>
      <c r="I47" s="406"/>
      <c r="J47" s="410"/>
      <c r="K47" s="411"/>
      <c r="L47" s="199"/>
      <c r="M47" s="1"/>
      <c r="R47" s="3"/>
    </row>
    <row r="48" spans="1:18" ht="15.75">
      <c r="A48" s="1"/>
      <c r="B48" s="134"/>
      <c r="C48" s="16"/>
      <c r="D48" s="137">
        <v>14.98</v>
      </c>
      <c r="E48" s="138"/>
      <c r="F48" s="138"/>
      <c r="G48" s="16" t="s">
        <v>372</v>
      </c>
      <c r="H48" s="1"/>
      <c r="I48" s="406"/>
      <c r="J48" s="410"/>
      <c r="K48" s="411"/>
      <c r="L48" s="199"/>
      <c r="M48" s="1"/>
      <c r="R48" s="3"/>
    </row>
    <row r="49" spans="1:18" ht="15.75">
      <c r="A49" s="1"/>
      <c r="B49" s="134"/>
      <c r="C49" s="16"/>
      <c r="D49" s="137">
        <f>43.52+7.87-D67</f>
        <v>26.39</v>
      </c>
      <c r="E49" s="138"/>
      <c r="F49" s="138"/>
      <c r="G49" s="16" t="s">
        <v>376</v>
      </c>
      <c r="H49" s="1"/>
      <c r="I49" s="414"/>
      <c r="J49" s="415"/>
      <c r="K49" s="416"/>
      <c r="L49" s="201"/>
      <c r="M49" s="1"/>
      <c r="R49" s="3"/>
    </row>
    <row r="50" spans="1:18" ht="15.75" customHeight="1">
      <c r="A50" s="1"/>
      <c r="B50" s="134"/>
      <c r="C50" s="16"/>
      <c r="D50" s="137">
        <v>26.06</v>
      </c>
      <c r="E50" s="138"/>
      <c r="F50" s="138"/>
      <c r="G50" s="16" t="s">
        <v>375</v>
      </c>
      <c r="H50" s="1"/>
      <c r="I50" s="405" t="str">
        <f>AÑO!A13</f>
        <v>Gubernamental</v>
      </c>
      <c r="J50" s="408" t="s">
        <v>259</v>
      </c>
      <c r="K50" s="409"/>
      <c r="L50" s="198">
        <v>95.8</v>
      </c>
      <c r="M50" s="1"/>
      <c r="R50" s="3"/>
    </row>
    <row r="51" spans="1:18" ht="15.75">
      <c r="A51" s="1"/>
      <c r="B51" s="134"/>
      <c r="C51" s="16"/>
      <c r="D51" s="137">
        <f>50.78-D247</f>
        <v>36.78</v>
      </c>
      <c r="E51" s="138"/>
      <c r="F51" s="138"/>
      <c r="G51" s="16" t="s">
        <v>382</v>
      </c>
      <c r="H51" s="1"/>
      <c r="I51" s="406"/>
      <c r="J51" s="410" t="s">
        <v>418</v>
      </c>
      <c r="K51" s="411"/>
      <c r="L51" s="199">
        <v>4421.9399999999996</v>
      </c>
      <c r="M51" s="1"/>
      <c r="R51" s="3"/>
    </row>
    <row r="52" spans="1:18" ht="15.75">
      <c r="A52" s="1"/>
      <c r="B52" s="134"/>
      <c r="C52" s="16"/>
      <c r="D52" s="137">
        <f>53.36-D147</f>
        <v>23.36</v>
      </c>
      <c r="E52" s="138"/>
      <c r="F52" s="138"/>
      <c r="G52" s="16" t="s">
        <v>387</v>
      </c>
      <c r="H52" s="1"/>
      <c r="I52" s="406"/>
      <c r="J52" s="410"/>
      <c r="K52" s="411"/>
      <c r="L52" s="199"/>
      <c r="M52" s="1"/>
      <c r="R52" s="3"/>
    </row>
    <row r="53" spans="1:18" ht="15.75">
      <c r="A53" s="1"/>
      <c r="B53" s="134"/>
      <c r="C53" s="16"/>
      <c r="D53" s="137">
        <f>10.5+3.1</f>
        <v>13.6</v>
      </c>
      <c r="E53" s="138"/>
      <c r="F53" s="138"/>
      <c r="G53" s="16" t="s">
        <v>388</v>
      </c>
      <c r="H53" s="1"/>
      <c r="I53" s="406"/>
      <c r="J53" s="410"/>
      <c r="K53" s="411"/>
      <c r="L53" s="199"/>
      <c r="M53" s="1"/>
      <c r="R53" s="3"/>
    </row>
    <row r="54" spans="1:18" ht="15.75">
      <c r="A54" s="1"/>
      <c r="B54" s="134"/>
      <c r="C54" s="16"/>
      <c r="D54" s="137">
        <v>9.9499999999999993</v>
      </c>
      <c r="E54" s="138"/>
      <c r="F54" s="138"/>
      <c r="G54" s="16" t="s">
        <v>408</v>
      </c>
      <c r="H54" s="1"/>
      <c r="I54" s="414"/>
      <c r="J54" s="415"/>
      <c r="K54" s="416"/>
      <c r="L54" s="201"/>
      <c r="M54" s="1"/>
      <c r="R54" s="3"/>
    </row>
    <row r="55" spans="1:18" ht="15.75" customHeight="1">
      <c r="A55" s="1"/>
      <c r="B55" s="134"/>
      <c r="C55" s="16"/>
      <c r="D55" s="137">
        <v>29.87</v>
      </c>
      <c r="E55" s="138"/>
      <c r="F55" s="138"/>
      <c r="G55" s="16" t="s">
        <v>422</v>
      </c>
      <c r="H55" s="1"/>
      <c r="I55" s="405" t="str">
        <f>AÑO!A14</f>
        <v>Mutualite/DKV</v>
      </c>
      <c r="J55" s="441" t="str">
        <f>G306</f>
        <v>12/03 Chirec</v>
      </c>
      <c r="K55" s="409"/>
      <c r="L55" s="198">
        <v>9.44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6"/>
      <c r="J56" s="410"/>
      <c r="K56" s="411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6"/>
      <c r="J57" s="410"/>
      <c r="K57" s="411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6"/>
      <c r="J58" s="410"/>
      <c r="K58" s="411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4"/>
      <c r="J59" s="415"/>
      <c r="K59" s="416"/>
      <c r="L59" s="201"/>
      <c r="M59" s="1"/>
      <c r="R59" s="3"/>
    </row>
    <row r="60" spans="1:18" ht="16.5" customHeight="1" thickBot="1">
      <c r="A60" s="1"/>
      <c r="B60" s="135">
        <f>SUM(B46:B59)</f>
        <v>440</v>
      </c>
      <c r="C60" s="17" t="s">
        <v>53</v>
      </c>
      <c r="D60" s="135">
        <f>SUM(D46:D59)</f>
        <v>345.88000000000005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05" t="str">
        <f>AÑO!A15</f>
        <v>Alquiler Cartama</v>
      </c>
      <c r="J60" s="408" t="s">
        <v>367</v>
      </c>
      <c r="K60" s="409"/>
      <c r="L60" s="198">
        <v>682.39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6"/>
      <c r="J61" s="410"/>
      <c r="K61" s="411"/>
      <c r="L61" s="199"/>
      <c r="M61" s="1"/>
      <c r="R61" s="3"/>
    </row>
    <row r="62" spans="1:18" ht="15.6" customHeight="1">
      <c r="A62" s="1"/>
      <c r="B62" s="430" t="str">
        <f>AÑO!A23</f>
        <v>Ocio</v>
      </c>
      <c r="C62" s="419"/>
      <c r="D62" s="419"/>
      <c r="E62" s="419"/>
      <c r="F62" s="419"/>
      <c r="G62" s="420"/>
      <c r="H62" s="1"/>
      <c r="I62" s="406"/>
      <c r="J62" s="410"/>
      <c r="K62" s="411"/>
      <c r="L62" s="199"/>
      <c r="M62" s="1"/>
      <c r="R62" s="3"/>
    </row>
    <row r="63" spans="1:18" ht="16.149999999999999" customHeight="1" thickBot="1">
      <c r="A63" s="1"/>
      <c r="B63" s="421"/>
      <c r="C63" s="422"/>
      <c r="D63" s="422"/>
      <c r="E63" s="422"/>
      <c r="F63" s="422"/>
      <c r="G63" s="423"/>
      <c r="H63" s="1"/>
      <c r="I63" s="406"/>
      <c r="J63" s="410"/>
      <c r="K63" s="411"/>
      <c r="L63" s="199"/>
      <c r="M63" s="1"/>
      <c r="R63" s="3"/>
    </row>
    <row r="64" spans="1:18" ht="15.75">
      <c r="A64" s="1"/>
      <c r="B64" s="431" t="s">
        <v>8</v>
      </c>
      <c r="C64" s="432"/>
      <c r="D64" s="433" t="s">
        <v>9</v>
      </c>
      <c r="E64" s="433"/>
      <c r="F64" s="433"/>
      <c r="G64" s="432"/>
      <c r="H64" s="1"/>
      <c r="I64" s="414"/>
      <c r="J64" s="415"/>
      <c r="K64" s="416"/>
      <c r="L64" s="201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05" t="str">
        <f>AÑO!A16</f>
        <v>Otros</v>
      </c>
      <c r="J65" s="408"/>
      <c r="K65" s="409"/>
      <c r="L65" s="198"/>
      <c r="M65" s="1"/>
      <c r="R65" s="3"/>
    </row>
    <row r="66" spans="1:18" ht="15.75">
      <c r="A66" s="112">
        <f>'02'!A66+(B66-SUM(D66:F77))</f>
        <v>3.1800000000000139</v>
      </c>
      <c r="B66" s="133">
        <v>160</v>
      </c>
      <c r="C66" s="19" t="s">
        <v>33</v>
      </c>
      <c r="D66" s="137"/>
      <c r="E66" s="138"/>
      <c r="F66" s="138">
        <v>31</v>
      </c>
      <c r="G66" s="19" t="s">
        <v>366</v>
      </c>
      <c r="H66" s="1"/>
      <c r="I66" s="406"/>
      <c r="J66" s="410"/>
      <c r="K66" s="411"/>
      <c r="L66" s="199"/>
      <c r="M66" s="1"/>
      <c r="R66" s="3"/>
    </row>
    <row r="67" spans="1:18" ht="15.75">
      <c r="A67" s="1"/>
      <c r="B67" s="134">
        <v>10</v>
      </c>
      <c r="C67" s="16"/>
      <c r="D67" s="137">
        <f>25</f>
        <v>25</v>
      </c>
      <c r="E67" s="138"/>
      <c r="F67" s="138"/>
      <c r="G67" s="31" t="s">
        <v>374</v>
      </c>
      <c r="H67" s="1"/>
      <c r="I67" s="406"/>
      <c r="J67" s="410"/>
      <c r="K67" s="411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>
        <f>17</f>
        <v>17</v>
      </c>
      <c r="G68" s="16" t="s">
        <v>378</v>
      </c>
      <c r="H68" s="1"/>
      <c r="I68" s="406"/>
      <c r="J68" s="410"/>
      <c r="K68" s="411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>
        <v>21</v>
      </c>
      <c r="G69" s="16" t="s">
        <v>389</v>
      </c>
      <c r="H69" s="1"/>
      <c r="I69" s="407"/>
      <c r="J69" s="412"/>
      <c r="K69" s="413"/>
      <c r="L69" s="200"/>
      <c r="M69" s="1"/>
      <c r="R69" s="3"/>
    </row>
    <row r="70" spans="1:18" ht="15.75">
      <c r="A70" s="1"/>
      <c r="B70" s="134"/>
      <c r="C70" s="16"/>
      <c r="D70" s="137">
        <v>27.57</v>
      </c>
      <c r="E70" s="138"/>
      <c r="F70" s="138"/>
      <c r="G70" s="16" t="s">
        <v>391</v>
      </c>
      <c r="H70" s="1"/>
      <c r="M70" s="1"/>
      <c r="R70" s="3"/>
    </row>
    <row r="71" spans="1:18" ht="15.75">
      <c r="A71" s="1"/>
      <c r="B71" s="134"/>
      <c r="C71" s="16"/>
      <c r="D71" s="137">
        <v>17.45</v>
      </c>
      <c r="E71" s="138"/>
      <c r="F71" s="138"/>
      <c r="G71" s="16" t="s">
        <v>421</v>
      </c>
      <c r="H71" s="1"/>
      <c r="M71" s="1"/>
      <c r="R71" s="3"/>
    </row>
    <row r="72" spans="1:18" ht="15.75">
      <c r="A72" s="1"/>
      <c r="B72" s="134"/>
      <c r="C72" s="16"/>
      <c r="D72" s="137">
        <v>17.5</v>
      </c>
      <c r="E72" s="138"/>
      <c r="F72" s="138"/>
      <c r="G72" s="16" t="s">
        <v>423</v>
      </c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12">
        <f>'02'!A78+(B78-SUM(D78:F78))</f>
        <v>0</v>
      </c>
      <c r="B78" s="134">
        <v>100</v>
      </c>
      <c r="C78" s="16" t="s">
        <v>160</v>
      </c>
      <c r="D78" s="137"/>
      <c r="E78" s="138"/>
      <c r="F78" s="138">
        <v>100</v>
      </c>
      <c r="G78" s="16" t="s">
        <v>368</v>
      </c>
      <c r="H78" s="1" t="s">
        <v>160</v>
      </c>
      <c r="M78" s="1"/>
      <c r="R78" s="3"/>
    </row>
    <row r="79" spans="1:18" ht="16.5" thickBot="1">
      <c r="A79" s="112">
        <f>'02'!A79+(B79-SUM(D79:F79))</f>
        <v>50</v>
      </c>
      <c r="B79" s="233">
        <v>10</v>
      </c>
      <c r="C79" s="17" t="s">
        <v>237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53.180000000000014</v>
      </c>
      <c r="B80" s="233">
        <f>SUM(B66:B79)</f>
        <v>280</v>
      </c>
      <c r="C80" s="17" t="s">
        <v>53</v>
      </c>
      <c r="D80" s="135">
        <f>SUM(D66:D79)</f>
        <v>87.52</v>
      </c>
      <c r="E80" s="135">
        <f>SUM(E66:E79)</f>
        <v>0</v>
      </c>
      <c r="F80" s="135">
        <f>SUM(F66:F79)</f>
        <v>169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30" t="str">
        <f>AÑO!A24</f>
        <v>Transportes</v>
      </c>
      <c r="C82" s="419"/>
      <c r="D82" s="419"/>
      <c r="E82" s="419"/>
      <c r="F82" s="419"/>
      <c r="G82" s="420"/>
      <c r="H82" s="1"/>
      <c r="M82" s="1"/>
      <c r="R82" s="3"/>
    </row>
    <row r="83" spans="1:18" ht="16.149999999999999" customHeight="1" thickBot="1">
      <c r="A83" s="1"/>
      <c r="B83" s="421"/>
      <c r="C83" s="422"/>
      <c r="D83" s="422"/>
      <c r="E83" s="422"/>
      <c r="F83" s="422"/>
      <c r="G83" s="423"/>
      <c r="H83" s="1"/>
      <c r="M83" s="1"/>
      <c r="R83" s="3"/>
    </row>
    <row r="84" spans="1:18" ht="15.75">
      <c r="A84" s="1"/>
      <c r="B84" s="431" t="s">
        <v>8</v>
      </c>
      <c r="C84" s="432"/>
      <c r="D84" s="433" t="s">
        <v>9</v>
      </c>
      <c r="E84" s="433"/>
      <c r="F84" s="433"/>
      <c r="G84" s="432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202</v>
      </c>
      <c r="D86" s="137">
        <v>49.03</v>
      </c>
      <c r="E86" s="138"/>
      <c r="F86" s="138"/>
      <c r="G86" s="16" t="s">
        <v>393</v>
      </c>
      <c r="H86" s="1"/>
      <c r="M86" s="1"/>
      <c r="R86" s="3"/>
    </row>
    <row r="87" spans="1:18" ht="15.75">
      <c r="A87" s="1"/>
      <c r="B87" s="134">
        <v>10</v>
      </c>
      <c r="C87" s="16"/>
      <c r="D87" s="137">
        <v>50.06</v>
      </c>
      <c r="E87" s="138"/>
      <c r="F87" s="138"/>
      <c r="G87" s="16" t="s">
        <v>394</v>
      </c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>
        <v>2</v>
      </c>
      <c r="G88" s="16" t="s">
        <v>395</v>
      </c>
      <c r="H88" s="1"/>
      <c r="M88" s="1"/>
      <c r="R88" s="3"/>
    </row>
    <row r="89" spans="1:18" ht="15.75">
      <c r="A89" s="1"/>
      <c r="B89" s="134"/>
      <c r="C89" s="16"/>
      <c r="D89" s="137">
        <v>5</v>
      </c>
      <c r="E89" s="138"/>
      <c r="F89" s="138"/>
      <c r="G89" s="16" t="s">
        <v>399</v>
      </c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170</v>
      </c>
      <c r="C100" s="17" t="s">
        <v>53</v>
      </c>
      <c r="D100" s="135">
        <f>SUM(D86:D99)</f>
        <v>104.09</v>
      </c>
      <c r="E100" s="135">
        <f>SUM(E86:E99)</f>
        <v>0</v>
      </c>
      <c r="F100" s="135">
        <f>SUM(F86:F99)</f>
        <v>2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30" t="str">
        <f>AÑO!A25</f>
        <v>Coche</v>
      </c>
      <c r="C102" s="419"/>
      <c r="D102" s="419"/>
      <c r="E102" s="419"/>
      <c r="F102" s="419"/>
      <c r="G102" s="420"/>
      <c r="H102" s="1"/>
      <c r="M102" s="1"/>
      <c r="R102" s="3"/>
    </row>
    <row r="103" spans="1:18" ht="16.149999999999999" customHeight="1" thickBot="1">
      <c r="A103" s="1"/>
      <c r="B103" s="421"/>
      <c r="C103" s="422"/>
      <c r="D103" s="422"/>
      <c r="E103" s="422"/>
      <c r="F103" s="422"/>
      <c r="G103" s="423"/>
      <c r="H103" s="1"/>
      <c r="M103" s="1"/>
      <c r="R103" s="3"/>
    </row>
    <row r="104" spans="1:18" ht="15.75">
      <c r="A104" s="1"/>
      <c r="B104" s="431" t="s">
        <v>8</v>
      </c>
      <c r="C104" s="432"/>
      <c r="D104" s="433" t="s">
        <v>9</v>
      </c>
      <c r="E104" s="433"/>
      <c r="F104" s="433"/>
      <c r="G104" s="432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'02'!A106+(B106-SUM(D106:F106))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'02'!A107+(B107-SUM(D107:F107))</f>
        <v>1.660000000000025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'02'!A108+(B108-SUM(D108:F108))</f>
        <v>347.09999999999991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'02'!A109+(B109-SUM(D109:F109))</f>
        <v>1776.6500000000008</v>
      </c>
      <c r="B109" s="134">
        <f>37.53-1370+80+10</f>
        <v>-1242.47</v>
      </c>
      <c r="C109" s="18" t="s">
        <v>415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348.75999999999993</v>
      </c>
      <c r="B120" s="135">
        <f>SUM(B106:B119)</f>
        <v>-865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30" t="str">
        <f>AÑO!A26</f>
        <v>Teléfono</v>
      </c>
      <c r="C122" s="419"/>
      <c r="D122" s="419"/>
      <c r="E122" s="419"/>
      <c r="F122" s="419"/>
      <c r="G122" s="420"/>
      <c r="H122" s="1"/>
      <c r="M122" s="1"/>
      <c r="R122" s="3"/>
    </row>
    <row r="123" spans="1:18" ht="16.149999999999999" customHeight="1" thickBot="1">
      <c r="A123" s="1"/>
      <c r="B123" s="421"/>
      <c r="C123" s="422"/>
      <c r="D123" s="422"/>
      <c r="E123" s="422"/>
      <c r="F123" s="422"/>
      <c r="G123" s="423"/>
      <c r="H123" s="1"/>
      <c r="M123" s="1"/>
      <c r="R123" s="3"/>
    </row>
    <row r="124" spans="1:18" ht="15.75">
      <c r="A124" s="1"/>
      <c r="B124" s="431" t="s">
        <v>8</v>
      </c>
      <c r="C124" s="432"/>
      <c r="D124" s="433" t="s">
        <v>9</v>
      </c>
      <c r="E124" s="433"/>
      <c r="F124" s="433"/>
      <c r="G124" s="432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>
        <v>0</v>
      </c>
      <c r="B126" s="133">
        <f>27.5+5</f>
        <v>32.5</v>
      </c>
      <c r="C126" s="19" t="s">
        <v>46</v>
      </c>
      <c r="D126" s="137">
        <f>27.5</f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">
        <v>2.5</v>
      </c>
      <c r="B127" s="134">
        <f>12.5+5</f>
        <v>17.5</v>
      </c>
      <c r="C127" s="16" t="s">
        <v>47</v>
      </c>
      <c r="D127" s="137">
        <v>15</v>
      </c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>
        <v>8</v>
      </c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58</v>
      </c>
      <c r="C140" s="17" t="s">
        <v>53</v>
      </c>
      <c r="D140" s="135">
        <f>SUM(D126:D139)</f>
        <v>42.5</v>
      </c>
      <c r="E140" s="135">
        <f>SUM(E126:E139)</f>
        <v>8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30" t="str">
        <f>AÑO!A27</f>
        <v>Gatos</v>
      </c>
      <c r="C142" s="419"/>
      <c r="D142" s="419"/>
      <c r="E142" s="419"/>
      <c r="F142" s="419"/>
      <c r="G142" s="420"/>
      <c r="H142" s="1"/>
      <c r="M142" s="1"/>
      <c r="R142" s="3"/>
    </row>
    <row r="143" spans="1:18" ht="16.149999999999999" customHeight="1" thickBot="1">
      <c r="A143" s="1"/>
      <c r="B143" s="421"/>
      <c r="C143" s="422"/>
      <c r="D143" s="422"/>
      <c r="E143" s="422"/>
      <c r="F143" s="422"/>
      <c r="G143" s="423"/>
      <c r="H143" s="1"/>
      <c r="M143" s="1"/>
      <c r="R143" s="3"/>
    </row>
    <row r="144" spans="1:18" ht="15.75">
      <c r="A144" s="1"/>
      <c r="B144" s="431" t="s">
        <v>8</v>
      </c>
      <c r="C144" s="432"/>
      <c r="D144" s="433" t="s">
        <v>9</v>
      </c>
      <c r="E144" s="433"/>
      <c r="F144" s="433"/>
      <c r="G144" s="432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>
        <v>73.66</v>
      </c>
      <c r="E146" s="138"/>
      <c r="F146" s="138"/>
      <c r="G146" s="16" t="s">
        <v>373</v>
      </c>
      <c r="H146" s="1"/>
      <c r="M146" s="1"/>
      <c r="R146" s="3"/>
    </row>
    <row r="147" spans="1:22" ht="15.75">
      <c r="A147" s="1"/>
      <c r="B147" s="134"/>
      <c r="C147" s="16"/>
      <c r="D147" s="137">
        <v>30</v>
      </c>
      <c r="E147" s="138"/>
      <c r="F147" s="138"/>
      <c r="G147" s="16" t="s">
        <v>387</v>
      </c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103.66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30" t="str">
        <f>AÑO!A28</f>
        <v>Vacaciones</v>
      </c>
      <c r="C162" s="419"/>
      <c r="D162" s="419"/>
      <c r="E162" s="419"/>
      <c r="F162" s="419"/>
      <c r="G162" s="420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21"/>
      <c r="C163" s="422"/>
      <c r="D163" s="422"/>
      <c r="E163" s="422"/>
      <c r="F163" s="422"/>
      <c r="G163" s="423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31" t="s">
        <v>8</v>
      </c>
      <c r="C164" s="432"/>
      <c r="D164" s="433" t="s">
        <v>9</v>
      </c>
      <c r="E164" s="433"/>
      <c r="F164" s="433"/>
      <c r="G164" s="432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89" t="s">
        <v>184</v>
      </c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12">
        <f>'02'!A166+(B166-SUM(D166:F172))</f>
        <v>827.65000000000009</v>
      </c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12"/>
      <c r="B167" s="134">
        <v>10</v>
      </c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12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12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12">
        <f>'02'!A173+(B173-SUM(D173:F179))</f>
        <v>99.490000000000009</v>
      </c>
      <c r="B173" s="134">
        <v>180</v>
      </c>
      <c r="C173" s="16"/>
      <c r="D173" s="137"/>
      <c r="E173" s="138"/>
      <c r="F173" s="138"/>
      <c r="G173" s="16"/>
      <c r="H173" s="1" t="s">
        <v>160</v>
      </c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13">
        <f>SUM(A166:A168)</f>
        <v>827.65000000000009</v>
      </c>
      <c r="B180" s="135">
        <f>SUM(B166:B179)</f>
        <v>390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30" t="str">
        <f>AÑO!A29</f>
        <v>Ropa</v>
      </c>
      <c r="C182" s="419"/>
      <c r="D182" s="419"/>
      <c r="E182" s="419"/>
      <c r="F182" s="419"/>
      <c r="G182" s="42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21"/>
      <c r="C183" s="422"/>
      <c r="D183" s="422"/>
      <c r="E183" s="422"/>
      <c r="F183" s="422"/>
      <c r="G183" s="42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31" t="s">
        <v>8</v>
      </c>
      <c r="C184" s="432"/>
      <c r="D184" s="433" t="s">
        <v>9</v>
      </c>
      <c r="E184" s="433"/>
      <c r="F184" s="433"/>
      <c r="G184" s="432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>
        <v>40.5</v>
      </c>
      <c r="E186" s="138"/>
      <c r="F186" s="138"/>
      <c r="G186" s="16" t="s">
        <v>411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10</v>
      </c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80</v>
      </c>
      <c r="C200" s="17" t="s">
        <v>53</v>
      </c>
      <c r="D200" s="135">
        <f>SUM(D186:D199)</f>
        <v>40.5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30" t="str">
        <f>AÑO!A30</f>
        <v>Belleza</v>
      </c>
      <c r="C202" s="419"/>
      <c r="D202" s="419"/>
      <c r="E202" s="419"/>
      <c r="F202" s="419"/>
      <c r="G202" s="420"/>
    </row>
    <row r="203" spans="2:12" ht="15" customHeight="1" thickBot="1">
      <c r="B203" s="421"/>
      <c r="C203" s="422"/>
      <c r="D203" s="422"/>
      <c r="E203" s="422"/>
      <c r="F203" s="422"/>
      <c r="G203" s="423"/>
    </row>
    <row r="204" spans="2:12">
      <c r="B204" s="431" t="s">
        <v>8</v>
      </c>
      <c r="C204" s="432"/>
      <c r="D204" s="433" t="s">
        <v>9</v>
      </c>
      <c r="E204" s="433"/>
      <c r="F204" s="433"/>
      <c r="G204" s="432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>
        <v>10.43</v>
      </c>
      <c r="E206" s="138"/>
      <c r="F206" s="138"/>
      <c r="G206" s="16" t="s">
        <v>385</v>
      </c>
    </row>
    <row r="207" spans="2:12">
      <c r="B207" s="134">
        <v>15</v>
      </c>
      <c r="C207" s="16"/>
      <c r="D207" s="137">
        <v>16.7</v>
      </c>
      <c r="E207" s="138"/>
      <c r="F207" s="138"/>
      <c r="G207" s="16" t="s">
        <v>409</v>
      </c>
    </row>
    <row r="208" spans="2:12">
      <c r="B208" s="134">
        <v>10</v>
      </c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60</v>
      </c>
      <c r="C220" s="17" t="s">
        <v>53</v>
      </c>
      <c r="D220" s="135">
        <f>SUM(D206:D219)</f>
        <v>27.13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30" t="str">
        <f>AÑO!A31</f>
        <v>Deportes</v>
      </c>
      <c r="C222" s="419"/>
      <c r="D222" s="419"/>
      <c r="E222" s="419"/>
      <c r="F222" s="419"/>
      <c r="G222" s="420"/>
    </row>
    <row r="223" spans="2:7" ht="15" customHeight="1" thickBot="1">
      <c r="B223" s="421"/>
      <c r="C223" s="422"/>
      <c r="D223" s="422"/>
      <c r="E223" s="422"/>
      <c r="F223" s="422"/>
      <c r="G223" s="423"/>
    </row>
    <row r="224" spans="2:7">
      <c r="B224" s="431" t="s">
        <v>8</v>
      </c>
      <c r="C224" s="432"/>
      <c r="D224" s="433" t="s">
        <v>9</v>
      </c>
      <c r="E224" s="433"/>
      <c r="F224" s="433"/>
      <c r="G224" s="432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f>20.98+20.98</f>
        <v>41.96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41.96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8" ht="15.75" thickBot="1">
      <c r="B241" s="5"/>
      <c r="C241" s="3"/>
      <c r="D241" s="5"/>
      <c r="E241" s="5"/>
    </row>
    <row r="242" spans="1:8" ht="14.45" customHeight="1">
      <c r="B242" s="430" t="str">
        <f>AÑO!A32</f>
        <v>Hogar</v>
      </c>
      <c r="C242" s="419"/>
      <c r="D242" s="419"/>
      <c r="E242" s="419"/>
      <c r="F242" s="419"/>
      <c r="G242" s="420"/>
    </row>
    <row r="243" spans="1:8" ht="15" customHeight="1" thickBot="1">
      <c r="B243" s="421"/>
      <c r="C243" s="422"/>
      <c r="D243" s="422"/>
      <c r="E243" s="422"/>
      <c r="F243" s="422"/>
      <c r="G243" s="423"/>
    </row>
    <row r="244" spans="1:8" ht="15" customHeight="1">
      <c r="B244" s="431" t="s">
        <v>8</v>
      </c>
      <c r="C244" s="432"/>
      <c r="D244" s="433" t="s">
        <v>9</v>
      </c>
      <c r="E244" s="433"/>
      <c r="F244" s="433"/>
      <c r="G244" s="432"/>
    </row>
    <row r="245" spans="1:8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8" ht="15" customHeight="1">
      <c r="A246" s="112">
        <f>44.72</f>
        <v>44.72</v>
      </c>
      <c r="B246" s="134">
        <v>50</v>
      </c>
      <c r="C246" s="27"/>
      <c r="D246" s="137">
        <v>32.21</v>
      </c>
      <c r="E246" s="138"/>
      <c r="F246" s="138"/>
      <c r="G246" s="16" t="s">
        <v>379</v>
      </c>
    </row>
    <row r="247" spans="1:8" ht="15" customHeight="1">
      <c r="A247" s="112"/>
      <c r="B247" s="134"/>
      <c r="C247" s="16"/>
      <c r="D247" s="137">
        <f>7*2</f>
        <v>14</v>
      </c>
      <c r="E247" s="138"/>
      <c r="F247" s="138"/>
      <c r="G247" s="16" t="s">
        <v>383</v>
      </c>
    </row>
    <row r="248" spans="1:8" ht="15.75">
      <c r="A248" s="112"/>
      <c r="B248" s="134"/>
      <c r="C248" s="16"/>
      <c r="D248" s="137">
        <v>19.07</v>
      </c>
      <c r="E248" s="138"/>
      <c r="F248" s="138"/>
      <c r="G248" s="16" t="s">
        <v>400</v>
      </c>
    </row>
    <row r="249" spans="1:8" ht="15.75">
      <c r="A249" s="112"/>
      <c r="B249" s="134"/>
      <c r="C249" s="16"/>
      <c r="D249" s="137"/>
      <c r="E249" s="138"/>
      <c r="F249" s="138"/>
      <c r="G249" s="16"/>
    </row>
    <row r="250" spans="1:8">
      <c r="B250" s="134"/>
      <c r="C250" s="16"/>
      <c r="D250" s="137"/>
      <c r="E250" s="138"/>
      <c r="F250" s="138"/>
      <c r="G250" s="16"/>
    </row>
    <row r="251" spans="1:8">
      <c r="B251" s="134"/>
      <c r="C251" s="16"/>
      <c r="D251" s="137"/>
      <c r="E251" s="138"/>
      <c r="F251" s="138"/>
      <c r="G251" s="16"/>
    </row>
    <row r="252" spans="1:8">
      <c r="B252" s="134"/>
      <c r="C252" s="16"/>
      <c r="D252" s="137"/>
      <c r="E252" s="138"/>
      <c r="F252" s="138"/>
      <c r="G252" s="16"/>
    </row>
    <row r="253" spans="1:8" ht="15.75">
      <c r="A253" s="112"/>
      <c r="B253" s="134"/>
      <c r="C253" s="16"/>
      <c r="D253" s="137"/>
      <c r="E253" s="138"/>
      <c r="F253" s="138"/>
      <c r="G253" s="16"/>
    </row>
    <row r="254" spans="1:8">
      <c r="B254" s="134"/>
      <c r="C254" s="16"/>
      <c r="D254" s="137"/>
      <c r="E254" s="138"/>
      <c r="F254" s="138"/>
      <c r="G254" s="16"/>
    </row>
    <row r="255" spans="1:8">
      <c r="B255" s="134"/>
      <c r="C255" s="16"/>
      <c r="D255" s="137"/>
      <c r="E255" s="138"/>
      <c r="F255" s="138"/>
      <c r="G255" s="16"/>
    </row>
    <row r="256" spans="1:8" ht="15.75">
      <c r="A256" s="112">
        <f>(B256-SUM(D256:F256))</f>
        <v>10</v>
      </c>
      <c r="B256" s="134">
        <v>10</v>
      </c>
      <c r="C256" s="16" t="s">
        <v>410</v>
      </c>
      <c r="D256" s="137"/>
      <c r="E256" s="138"/>
      <c r="F256" s="138"/>
      <c r="G256" s="16"/>
      <c r="H256" s="113"/>
    </row>
    <row r="257" spans="1:7" ht="15.75">
      <c r="A257" s="112">
        <f t="shared" ref="A257:A259" si="0">(B257-SUM(D257:F257))</f>
        <v>60</v>
      </c>
      <c r="B257" s="134">
        <v>60</v>
      </c>
      <c r="C257" s="16" t="s">
        <v>406</v>
      </c>
      <c r="D257" s="137"/>
      <c r="E257" s="138"/>
      <c r="F257" s="138"/>
      <c r="G257" s="16"/>
    </row>
    <row r="258" spans="1:7" ht="15.75">
      <c r="A258" s="112">
        <f t="shared" si="0"/>
        <v>20</v>
      </c>
      <c r="B258" s="134">
        <v>20</v>
      </c>
      <c r="C258" s="16" t="s">
        <v>404</v>
      </c>
      <c r="D258" s="137"/>
      <c r="E258" s="138"/>
      <c r="F258" s="138"/>
      <c r="G258" s="16"/>
    </row>
    <row r="259" spans="1:7" ht="16.5" thickBot="1">
      <c r="A259" s="112">
        <f t="shared" si="0"/>
        <v>10</v>
      </c>
      <c r="B259" s="135">
        <v>10</v>
      </c>
      <c r="C259" s="17" t="s">
        <v>405</v>
      </c>
      <c r="D259" s="135"/>
      <c r="E259" s="139"/>
      <c r="F259" s="139"/>
      <c r="G259" s="17"/>
    </row>
    <row r="260" spans="1:7" ht="15.75" thickBot="1">
      <c r="A260" s="113"/>
      <c r="B260" s="135">
        <f>SUM(B246:B259)</f>
        <v>150</v>
      </c>
      <c r="C260" s="17" t="s">
        <v>53</v>
      </c>
      <c r="D260" s="135">
        <f>SUM(D246:D259)</f>
        <v>65.28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1:7" ht="15.75" thickBot="1">
      <c r="B261" s="5"/>
      <c r="C261" s="3"/>
      <c r="D261" s="5"/>
      <c r="E261" s="5"/>
    </row>
    <row r="262" spans="1:7" ht="14.45" customHeight="1">
      <c r="B262" s="430" t="str">
        <f>AÑO!A33</f>
        <v>Formación</v>
      </c>
      <c r="C262" s="419"/>
      <c r="D262" s="419"/>
      <c r="E262" s="419"/>
      <c r="F262" s="419"/>
      <c r="G262" s="420"/>
    </row>
    <row r="263" spans="1:7" ht="15" customHeight="1" thickBot="1">
      <c r="B263" s="421"/>
      <c r="C263" s="422"/>
      <c r="D263" s="422"/>
      <c r="E263" s="422"/>
      <c r="F263" s="422"/>
      <c r="G263" s="423"/>
    </row>
    <row r="264" spans="1:7">
      <c r="B264" s="431" t="s">
        <v>8</v>
      </c>
      <c r="C264" s="432"/>
      <c r="D264" s="433" t="s">
        <v>9</v>
      </c>
      <c r="E264" s="433"/>
      <c r="F264" s="433"/>
      <c r="G264" s="432"/>
    </row>
    <row r="265" spans="1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7">
      <c r="B266" s="133">
        <v>50</v>
      </c>
      <c r="C266" s="19"/>
      <c r="D266" s="137">
        <v>3362.6</v>
      </c>
      <c r="E266" s="138"/>
      <c r="F266" s="138"/>
      <c r="G266" s="16" t="s">
        <v>369</v>
      </c>
    </row>
    <row r="267" spans="1:7">
      <c r="B267" s="134">
        <v>4021.94</v>
      </c>
      <c r="C267" s="16" t="s">
        <v>418</v>
      </c>
      <c r="D267" s="137"/>
      <c r="E267" s="138"/>
      <c r="F267" s="138">
        <v>15</v>
      </c>
      <c r="G267" s="16" t="s">
        <v>424</v>
      </c>
    </row>
    <row r="268" spans="1:7">
      <c r="B268" s="134"/>
      <c r="C268" s="16"/>
      <c r="D268" s="137"/>
      <c r="E268" s="138"/>
      <c r="F268" s="138"/>
      <c r="G268" s="16"/>
    </row>
    <row r="269" spans="1:7">
      <c r="B269" s="134"/>
      <c r="C269" s="16"/>
      <c r="D269" s="137"/>
      <c r="E269" s="138"/>
      <c r="F269" s="138"/>
      <c r="G269" s="16"/>
    </row>
    <row r="270" spans="1:7">
      <c r="B270" s="134"/>
      <c r="C270" s="16"/>
      <c r="D270" s="137"/>
      <c r="E270" s="138"/>
      <c r="F270" s="138"/>
      <c r="G270" s="16"/>
    </row>
    <row r="271" spans="1:7">
      <c r="B271" s="134"/>
      <c r="C271" s="16"/>
      <c r="D271" s="137"/>
      <c r="E271" s="138"/>
      <c r="F271" s="138"/>
      <c r="G271" s="16"/>
    </row>
    <row r="272" spans="1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4071.94</v>
      </c>
      <c r="C280" s="17" t="s">
        <v>53</v>
      </c>
      <c r="D280" s="135">
        <f>SUM(D266:D279)</f>
        <v>3362.6</v>
      </c>
      <c r="E280" s="135">
        <f>SUM(E266:E279)</f>
        <v>0</v>
      </c>
      <c r="F280" s="135">
        <f>SUM(F266:F279)</f>
        <v>15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430" t="str">
        <f>AÑO!A34</f>
        <v>Regalos</v>
      </c>
      <c r="C282" s="419"/>
      <c r="D282" s="419"/>
      <c r="E282" s="419"/>
      <c r="F282" s="419"/>
      <c r="G282" s="420"/>
    </row>
    <row r="283" spans="2:8" ht="15" customHeight="1" thickBot="1">
      <c r="B283" s="421"/>
      <c r="C283" s="422"/>
      <c r="D283" s="422"/>
      <c r="E283" s="422"/>
      <c r="F283" s="422"/>
      <c r="G283" s="423"/>
    </row>
    <row r="284" spans="2:8">
      <c r="B284" s="431" t="s">
        <v>8</v>
      </c>
      <c r="C284" s="432"/>
      <c r="D284" s="433" t="s">
        <v>9</v>
      </c>
      <c r="E284" s="433"/>
      <c r="F284" s="433"/>
      <c r="G284" s="432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30" t="str">
        <f>AÑO!A35</f>
        <v>Salud</v>
      </c>
      <c r="C302" s="419"/>
      <c r="D302" s="419"/>
      <c r="E302" s="419"/>
      <c r="F302" s="419"/>
      <c r="G302" s="420"/>
    </row>
    <row r="303" spans="2:8" ht="15" customHeight="1" thickBot="1">
      <c r="B303" s="421"/>
      <c r="C303" s="422"/>
      <c r="D303" s="422"/>
      <c r="E303" s="422"/>
      <c r="F303" s="422"/>
      <c r="G303" s="423"/>
    </row>
    <row r="304" spans="2:8">
      <c r="B304" s="431" t="s">
        <v>8</v>
      </c>
      <c r="C304" s="432"/>
      <c r="D304" s="433" t="s">
        <v>9</v>
      </c>
      <c r="E304" s="433"/>
      <c r="F304" s="433"/>
      <c r="G304" s="432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100</v>
      </c>
      <c r="C306" s="19" t="s">
        <v>172</v>
      </c>
      <c r="D306" s="137">
        <v>45.36</v>
      </c>
      <c r="E306" s="138"/>
      <c r="F306" s="138"/>
      <c r="G306" s="16" t="s">
        <v>381</v>
      </c>
    </row>
    <row r="307" spans="2:7">
      <c r="B307" s="134">
        <v>15</v>
      </c>
      <c r="C307" s="27"/>
      <c r="D307" s="137">
        <v>34.64</v>
      </c>
      <c r="E307" s="138"/>
      <c r="F307" s="138"/>
      <c r="G307" s="16" t="s">
        <v>396</v>
      </c>
    </row>
    <row r="308" spans="2:7">
      <c r="B308" s="134">
        <f>L55</f>
        <v>9.44</v>
      </c>
      <c r="C308" s="27" t="s">
        <v>407</v>
      </c>
      <c r="D308" s="137">
        <v>8.27</v>
      </c>
      <c r="E308" s="138"/>
      <c r="F308" s="138"/>
      <c r="G308" s="16" t="s">
        <v>397</v>
      </c>
    </row>
    <row r="309" spans="2:7">
      <c r="B309" s="134">
        <v>15</v>
      </c>
      <c r="C309" s="16"/>
      <c r="D309" s="137"/>
      <c r="E309" s="138"/>
      <c r="F309" s="138">
        <v>60</v>
      </c>
      <c r="G309" s="16" t="s">
        <v>417</v>
      </c>
    </row>
    <row r="310" spans="2:7">
      <c r="B310" s="134">
        <v>10</v>
      </c>
      <c r="C310" s="16"/>
      <c r="D310" s="137">
        <v>13.15</v>
      </c>
      <c r="E310" s="138"/>
      <c r="F310" s="138"/>
      <c r="G310" s="16" t="s">
        <v>419</v>
      </c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149.44</v>
      </c>
      <c r="C320" s="17" t="s">
        <v>53</v>
      </c>
      <c r="D320" s="135">
        <f>SUM(D306:D319)</f>
        <v>101.42</v>
      </c>
      <c r="E320" s="135">
        <f>SUM(E306:E319)</f>
        <v>0</v>
      </c>
      <c r="F320" s="135">
        <f>SUM(F306:F319)</f>
        <v>60</v>
      </c>
      <c r="G320" s="17" t="s">
        <v>53</v>
      </c>
    </row>
    <row r="321" spans="2:7" ht="15.75" thickBot="1"/>
    <row r="322" spans="2:7" ht="14.45" customHeight="1">
      <c r="B322" s="430" t="str">
        <f>AÑO!A36</f>
        <v>Nenas</v>
      </c>
      <c r="C322" s="419"/>
      <c r="D322" s="419"/>
      <c r="E322" s="419"/>
      <c r="F322" s="419"/>
      <c r="G322" s="420"/>
    </row>
    <row r="323" spans="2:7" ht="15" customHeight="1" thickBot="1">
      <c r="B323" s="421"/>
      <c r="C323" s="422"/>
      <c r="D323" s="422"/>
      <c r="E323" s="422"/>
      <c r="F323" s="422"/>
      <c r="G323" s="423"/>
    </row>
    <row r="324" spans="2:7">
      <c r="B324" s="431" t="s">
        <v>8</v>
      </c>
      <c r="C324" s="432"/>
      <c r="D324" s="433" t="s">
        <v>9</v>
      </c>
      <c r="E324" s="433"/>
      <c r="F324" s="433"/>
      <c r="G324" s="432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>
        <v>9.09</v>
      </c>
      <c r="E326" s="138"/>
      <c r="F326" s="138"/>
      <c r="G326" s="16" t="s">
        <v>392</v>
      </c>
    </row>
    <row r="327" spans="2:7">
      <c r="B327" s="134">
        <v>100</v>
      </c>
      <c r="C327" s="16" t="s">
        <v>380</v>
      </c>
      <c r="D327" s="137"/>
      <c r="E327" s="138"/>
      <c r="F327" s="138"/>
      <c r="G327" s="16"/>
    </row>
    <row r="328" spans="2:7">
      <c r="B328" s="134">
        <v>10</v>
      </c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200</v>
      </c>
      <c r="C340" s="17" t="s">
        <v>53</v>
      </c>
      <c r="D340" s="135">
        <f>SUM(D326:D339)</f>
        <v>9.09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430" t="str">
        <f>AÑO!A37</f>
        <v>Impuestos</v>
      </c>
      <c r="C342" s="419"/>
      <c r="D342" s="419"/>
      <c r="E342" s="419"/>
      <c r="F342" s="419"/>
      <c r="G342" s="420"/>
    </row>
    <row r="343" spans="2:7" ht="15" customHeight="1" thickBot="1">
      <c r="B343" s="421"/>
      <c r="C343" s="422"/>
      <c r="D343" s="422"/>
      <c r="E343" s="422"/>
      <c r="F343" s="422"/>
      <c r="G343" s="423"/>
    </row>
    <row r="344" spans="2:7">
      <c r="B344" s="431" t="s">
        <v>8</v>
      </c>
      <c r="C344" s="432"/>
      <c r="D344" s="433" t="s">
        <v>9</v>
      </c>
      <c r="E344" s="433"/>
      <c r="F344" s="433"/>
      <c r="G344" s="432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199</v>
      </c>
      <c r="D346" s="137">
        <v>16</v>
      </c>
      <c r="E346" s="138"/>
      <c r="F346" s="138"/>
      <c r="G346" s="16" t="s">
        <v>370</v>
      </c>
    </row>
    <row r="347" spans="2:7">
      <c r="B347" s="134">
        <v>10</v>
      </c>
      <c r="C347" s="16"/>
      <c r="D347" s="137">
        <v>10</v>
      </c>
      <c r="E347" s="138"/>
      <c r="F347" s="138"/>
      <c r="G347" s="16" t="s">
        <v>371</v>
      </c>
    </row>
    <row r="348" spans="2:7">
      <c r="B348" s="134"/>
      <c r="C348" s="16"/>
      <c r="D348" s="137">
        <v>16</v>
      </c>
      <c r="E348" s="138"/>
      <c r="F348" s="138"/>
      <c r="G348" s="16" t="s">
        <v>384</v>
      </c>
    </row>
    <row r="349" spans="2:7">
      <c r="B349" s="134"/>
      <c r="C349" s="16"/>
      <c r="D349" s="137">
        <v>10</v>
      </c>
      <c r="E349" s="138"/>
      <c r="F349" s="138"/>
      <c r="G349" s="16" t="s">
        <v>385</v>
      </c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55</v>
      </c>
      <c r="C360" s="17" t="s">
        <v>53</v>
      </c>
      <c r="D360" s="135">
        <f>SUM(D346:D359)</f>
        <v>52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430" t="str">
        <f>AÑO!A38</f>
        <v>Gastos Curros</v>
      </c>
      <c r="C362" s="419"/>
      <c r="D362" s="419"/>
      <c r="E362" s="419"/>
      <c r="F362" s="419"/>
      <c r="G362" s="420"/>
    </row>
    <row r="363" spans="2:7" ht="15" customHeight="1" thickBot="1">
      <c r="B363" s="421"/>
      <c r="C363" s="422"/>
      <c r="D363" s="422"/>
      <c r="E363" s="422"/>
      <c r="F363" s="422"/>
      <c r="G363" s="423"/>
    </row>
    <row r="364" spans="2:7">
      <c r="B364" s="431" t="s">
        <v>8</v>
      </c>
      <c r="C364" s="432"/>
      <c r="D364" s="433" t="s">
        <v>9</v>
      </c>
      <c r="E364" s="433"/>
      <c r="F364" s="433"/>
      <c r="G364" s="432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/>
      <c r="E366" s="138"/>
      <c r="F366" s="138">
        <f>3.5+4.45+8.3+3.4+4.45+4+4.5</f>
        <v>32.599999999999994</v>
      </c>
      <c r="G366" s="31" t="s">
        <v>67</v>
      </c>
    </row>
    <row r="367" spans="2:7">
      <c r="B367" s="134"/>
      <c r="C367" s="16"/>
      <c r="D367" s="137"/>
      <c r="E367" s="138"/>
      <c r="F367" s="138">
        <v>12</v>
      </c>
      <c r="G367" s="31" t="s">
        <v>398</v>
      </c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44.599999999999994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30" t="str">
        <f>AÑO!A39</f>
        <v>Dreamed Holidays</v>
      </c>
      <c r="C382" s="419"/>
      <c r="D382" s="419"/>
      <c r="E382" s="419"/>
      <c r="F382" s="419"/>
      <c r="G382" s="420"/>
    </row>
    <row r="383" spans="2:7" ht="15" customHeight="1" thickBot="1">
      <c r="B383" s="421"/>
      <c r="C383" s="422"/>
      <c r="D383" s="422"/>
      <c r="E383" s="422"/>
      <c r="F383" s="422"/>
      <c r="G383" s="423"/>
    </row>
    <row r="384" spans="2:7">
      <c r="B384" s="431" t="s">
        <v>8</v>
      </c>
      <c r="C384" s="432"/>
      <c r="D384" s="433" t="s">
        <v>9</v>
      </c>
      <c r="E384" s="433"/>
      <c r="F384" s="433"/>
      <c r="G384" s="432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10</v>
      </c>
      <c r="C386" s="19"/>
      <c r="D386" s="137"/>
      <c r="E386" s="138"/>
      <c r="F386" s="138"/>
      <c r="G386" s="16"/>
    </row>
    <row r="387" spans="2:7">
      <c r="B387" s="134">
        <v>-1230</v>
      </c>
      <c r="C387" s="16" t="s">
        <v>413</v>
      </c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-1220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30" t="str">
        <f>AÑO!A40</f>
        <v>Financieros</v>
      </c>
      <c r="C402" s="419"/>
      <c r="D402" s="419"/>
      <c r="E402" s="419"/>
      <c r="F402" s="419"/>
      <c r="G402" s="420"/>
    </row>
    <row r="403" spans="2:7" ht="15" customHeight="1" thickBot="1">
      <c r="B403" s="421"/>
      <c r="C403" s="422"/>
      <c r="D403" s="422"/>
      <c r="E403" s="422"/>
      <c r="F403" s="422"/>
      <c r="G403" s="423"/>
    </row>
    <row r="404" spans="2:7">
      <c r="B404" s="431" t="s">
        <v>8</v>
      </c>
      <c r="C404" s="432"/>
      <c r="D404" s="433" t="s">
        <v>9</v>
      </c>
      <c r="E404" s="433"/>
      <c r="F404" s="433"/>
      <c r="G404" s="432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2.2599999999999998</v>
      </c>
      <c r="E406" s="138"/>
      <c r="F406" s="138"/>
      <c r="G406" s="16" t="s">
        <v>273</v>
      </c>
    </row>
    <row r="407" spans="2:7">
      <c r="B407" s="134">
        <v>-984.2</v>
      </c>
      <c r="C407" s="16" t="s">
        <v>413</v>
      </c>
      <c r="D407" s="137">
        <v>44.93</v>
      </c>
      <c r="E407" s="138"/>
      <c r="F407" s="138"/>
      <c r="G407" s="16" t="s">
        <v>412</v>
      </c>
    </row>
    <row r="408" spans="2:7">
      <c r="B408" s="134">
        <v>45</v>
      </c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-889.2</v>
      </c>
      <c r="C420" s="17" t="s">
        <v>53</v>
      </c>
      <c r="D420" s="135">
        <f>SUM(D406:D419)</f>
        <v>47.19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30" t="str">
        <f>AÑO!A41</f>
        <v>Ahorros Colchón</v>
      </c>
      <c r="C422" s="436"/>
      <c r="D422" s="436"/>
      <c r="E422" s="436"/>
      <c r="F422" s="436"/>
      <c r="G422" s="437"/>
    </row>
    <row r="423" spans="1:7" ht="15" customHeight="1" thickBot="1">
      <c r="B423" s="438"/>
      <c r="C423" s="439"/>
      <c r="D423" s="439"/>
      <c r="E423" s="439"/>
      <c r="F423" s="439"/>
      <c r="G423" s="440"/>
    </row>
    <row r="424" spans="1:7">
      <c r="B424" s="431" t="s">
        <v>8</v>
      </c>
      <c r="C424" s="432"/>
      <c r="D424" s="433" t="s">
        <v>9</v>
      </c>
      <c r="E424" s="433"/>
      <c r="F424" s="433"/>
      <c r="G424" s="432"/>
    </row>
    <row r="425" spans="1:7">
      <c r="A425" s="113">
        <f>AÑO!K17</f>
        <v>8724.6099999999988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-119.16000000000167</v>
      </c>
      <c r="C426" s="19" t="s">
        <v>234</v>
      </c>
      <c r="D426" s="137"/>
      <c r="E426" s="138"/>
      <c r="F426" s="138"/>
      <c r="G426" s="16"/>
    </row>
    <row r="427" spans="1:7">
      <c r="A427" s="113">
        <v>112.11</v>
      </c>
      <c r="B427" s="134"/>
      <c r="C427" s="16"/>
      <c r="D427" s="137"/>
      <c r="E427" s="138"/>
      <c r="F427" s="138"/>
      <c r="G427" s="16"/>
    </row>
    <row r="428" spans="1:7">
      <c r="A428" s="113">
        <v>20.28</v>
      </c>
      <c r="B428" s="134"/>
      <c r="C428" s="16"/>
      <c r="D428" s="137"/>
      <c r="E428" s="138"/>
      <c r="F428" s="138"/>
      <c r="G428" s="16"/>
    </row>
    <row r="429" spans="1:7">
      <c r="A429" s="113">
        <v>100</v>
      </c>
      <c r="B429" s="134"/>
      <c r="C429" s="16"/>
      <c r="D429" s="137"/>
      <c r="E429" s="138"/>
      <c r="F429" s="138"/>
      <c r="G429" s="16"/>
    </row>
    <row r="430" spans="1:7">
      <c r="A430" s="113">
        <v>9.44</v>
      </c>
      <c r="B430" s="134"/>
      <c r="C430" s="16"/>
      <c r="D430" s="137"/>
      <c r="E430" s="138"/>
      <c r="F430" s="138"/>
      <c r="G430" s="16"/>
    </row>
    <row r="431" spans="1:7">
      <c r="A431" s="113">
        <v>280</v>
      </c>
      <c r="B431" s="134"/>
      <c r="C431" s="16"/>
      <c r="D431" s="137"/>
      <c r="E431" s="138"/>
      <c r="F431" s="138"/>
      <c r="G431" s="16"/>
    </row>
    <row r="432" spans="1:7">
      <c r="A432" s="113">
        <v>4421.9399999999996</v>
      </c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-119.16000000000167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30" t="str">
        <f>AÑO!A42</f>
        <v>Dinero Bloqueado</v>
      </c>
      <c r="C442" s="436"/>
      <c r="D442" s="436"/>
      <c r="E442" s="436"/>
      <c r="F442" s="436"/>
      <c r="G442" s="437"/>
    </row>
    <row r="443" spans="2:7" ht="15" customHeight="1" thickBot="1">
      <c r="B443" s="438"/>
      <c r="C443" s="439"/>
      <c r="D443" s="439"/>
      <c r="E443" s="439"/>
      <c r="F443" s="439"/>
      <c r="G443" s="440"/>
    </row>
    <row r="444" spans="2:7">
      <c r="B444" s="431" t="s">
        <v>8</v>
      </c>
      <c r="C444" s="432"/>
      <c r="D444" s="433" t="s">
        <v>9</v>
      </c>
      <c r="E444" s="433"/>
      <c r="F444" s="433"/>
      <c r="G444" s="432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>
        <v>4084.2</v>
      </c>
      <c r="C446" s="19" t="s">
        <v>416</v>
      </c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4084.2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30" t="str">
        <f>AÑO!A43</f>
        <v>Cartama Finanazas</v>
      </c>
      <c r="C462" s="436"/>
      <c r="D462" s="436"/>
      <c r="E462" s="436"/>
      <c r="F462" s="436"/>
      <c r="G462" s="437"/>
    </row>
    <row r="463" spans="2:7" ht="15" customHeight="1" thickBot="1">
      <c r="B463" s="438"/>
      <c r="C463" s="439"/>
      <c r="D463" s="439"/>
      <c r="E463" s="439"/>
      <c r="F463" s="439"/>
      <c r="G463" s="440"/>
    </row>
    <row r="464" spans="2:7">
      <c r="B464" s="431" t="s">
        <v>8</v>
      </c>
      <c r="C464" s="432"/>
      <c r="D464" s="433" t="s">
        <v>9</v>
      </c>
      <c r="E464" s="433"/>
      <c r="F464" s="433"/>
      <c r="G464" s="432"/>
    </row>
    <row r="465" spans="1:9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9" ht="15.75">
      <c r="A466" s="112">
        <f>'02'!A466+(B466-SUM(D466:F466))</f>
        <v>50</v>
      </c>
      <c r="B466" s="134">
        <v>-500</v>
      </c>
      <c r="C466" s="16" t="s">
        <v>414</v>
      </c>
      <c r="D466" s="137"/>
      <c r="E466" s="138"/>
      <c r="F466" s="138"/>
      <c r="G466" s="16"/>
    </row>
    <row r="467" spans="1:9" ht="15.75">
      <c r="A467" s="112">
        <f>'02'!A467+(B467-SUM(D467:F467))</f>
        <v>225.22999999999996</v>
      </c>
      <c r="B467" s="134">
        <f>35+40</f>
        <v>75</v>
      </c>
      <c r="C467" s="16" t="s">
        <v>185</v>
      </c>
      <c r="D467" s="137"/>
      <c r="E467" s="138"/>
      <c r="F467" s="138"/>
      <c r="G467" s="16"/>
    </row>
    <row r="468" spans="1:9" ht="15.75">
      <c r="A468" s="112">
        <f>'02'!A468+(B468-SUM(D468:F468))</f>
        <v>70.210000000000008</v>
      </c>
      <c r="B468" s="134">
        <f>15+5</f>
        <v>20</v>
      </c>
      <c r="C468" s="16" t="s">
        <v>186</v>
      </c>
      <c r="D468" s="137"/>
      <c r="E468" s="138"/>
      <c r="F468" s="138"/>
      <c r="G468" s="16"/>
      <c r="I468" s="113"/>
    </row>
    <row r="469" spans="1:9">
      <c r="B469" s="134"/>
      <c r="C469" s="16"/>
      <c r="D469" s="137"/>
      <c r="E469" s="138"/>
      <c r="F469" s="138"/>
      <c r="G469" s="16"/>
    </row>
    <row r="470" spans="1:9">
      <c r="B470" s="134"/>
      <c r="C470" s="16"/>
      <c r="D470" s="137"/>
      <c r="E470" s="138"/>
      <c r="F470" s="138"/>
      <c r="G470" s="16"/>
    </row>
    <row r="471" spans="1:9">
      <c r="B471" s="134"/>
      <c r="C471" s="16"/>
      <c r="D471" s="137"/>
      <c r="E471" s="138"/>
      <c r="F471" s="138"/>
      <c r="G471" s="16"/>
    </row>
    <row r="472" spans="1:9">
      <c r="B472" s="134"/>
      <c r="C472" s="16"/>
      <c r="D472" s="137"/>
      <c r="E472" s="138"/>
      <c r="F472" s="138"/>
      <c r="G472" s="16"/>
    </row>
    <row r="473" spans="1:9">
      <c r="B473" s="134"/>
      <c r="C473" s="16"/>
      <c r="D473" s="137"/>
      <c r="E473" s="138"/>
      <c r="F473" s="138"/>
      <c r="G473" s="16"/>
    </row>
    <row r="474" spans="1:9">
      <c r="B474" s="134"/>
      <c r="C474" s="16"/>
      <c r="D474" s="137"/>
      <c r="E474" s="138"/>
      <c r="F474" s="138"/>
      <c r="G474" s="16"/>
    </row>
    <row r="475" spans="1:9">
      <c r="B475" s="134"/>
      <c r="C475" s="16"/>
      <c r="D475" s="137"/>
      <c r="E475" s="138"/>
      <c r="F475" s="138"/>
      <c r="G475" s="16"/>
    </row>
    <row r="476" spans="1:9">
      <c r="B476" s="134"/>
      <c r="C476" s="16"/>
      <c r="D476" s="137"/>
      <c r="E476" s="138"/>
      <c r="F476" s="138"/>
      <c r="G476" s="16"/>
    </row>
    <row r="477" spans="1:9">
      <c r="B477" s="134"/>
      <c r="C477" s="16"/>
      <c r="D477" s="137"/>
      <c r="E477" s="138"/>
      <c r="F477" s="138"/>
      <c r="G477" s="16"/>
    </row>
    <row r="478" spans="1:9">
      <c r="B478" s="134"/>
      <c r="C478" s="16"/>
      <c r="D478" s="137"/>
      <c r="E478" s="138"/>
      <c r="F478" s="138"/>
      <c r="G478" s="16"/>
    </row>
    <row r="479" spans="1:9" ht="15.75" thickBot="1">
      <c r="B479" s="135"/>
      <c r="C479" s="17"/>
      <c r="D479" s="135"/>
      <c r="E479" s="139"/>
      <c r="F479" s="139"/>
      <c r="G479" s="17"/>
    </row>
    <row r="480" spans="1:9" ht="15.75" thickBot="1">
      <c r="A480" s="113">
        <f>SUM(A466:A468)</f>
        <v>345.43999999999994</v>
      </c>
      <c r="B480" s="135">
        <f>SUM(B466:B479)</f>
        <v>-405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30" t="str">
        <f>AÑO!A44</f>
        <v>NULO</v>
      </c>
      <c r="C482" s="436"/>
      <c r="D482" s="436"/>
      <c r="E482" s="436"/>
      <c r="F482" s="436"/>
      <c r="G482" s="437"/>
    </row>
    <row r="483" spans="2:7" ht="15" customHeight="1" thickBot="1">
      <c r="B483" s="438"/>
      <c r="C483" s="439"/>
      <c r="D483" s="439"/>
      <c r="E483" s="439"/>
      <c r="F483" s="439"/>
      <c r="G483" s="440"/>
    </row>
    <row r="484" spans="2:7">
      <c r="B484" s="431" t="s">
        <v>8</v>
      </c>
      <c r="C484" s="432"/>
      <c r="D484" s="433" t="s">
        <v>9</v>
      </c>
      <c r="E484" s="433"/>
      <c r="F484" s="433"/>
      <c r="G484" s="432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30" t="str">
        <f>AÑO!A45</f>
        <v>OTROS</v>
      </c>
      <c r="C502" s="436"/>
      <c r="D502" s="436"/>
      <c r="E502" s="436"/>
      <c r="F502" s="436"/>
      <c r="G502" s="437"/>
    </row>
    <row r="503" spans="2:7" ht="15" customHeight="1" thickBot="1">
      <c r="B503" s="438"/>
      <c r="C503" s="439"/>
      <c r="D503" s="439"/>
      <c r="E503" s="439"/>
      <c r="F503" s="439"/>
      <c r="G503" s="440"/>
    </row>
    <row r="504" spans="2:7">
      <c r="B504" s="431" t="s">
        <v>8</v>
      </c>
      <c r="C504" s="432"/>
      <c r="D504" s="433" t="s">
        <v>9</v>
      </c>
      <c r="E504" s="433"/>
      <c r="F504" s="433"/>
      <c r="G504" s="432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>
        <v>25.94</v>
      </c>
      <c r="E506" s="138"/>
      <c r="F506" s="138"/>
      <c r="G506" s="16" t="s">
        <v>420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25.94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2" location="Trimestre!C39:F40" display="TELÉFONO" xr:uid="{EABE2DCC-E2F1-43F7-BC65-8F815CB059BB}"/>
    <hyperlink ref="I22:L23" location="AÑO!K7:N17" display="INGRESOS" xr:uid="{74C44AA2-B6BA-4D49-BB04-D2BF65407F45}"/>
    <hyperlink ref="I2" location="Trimestre!C39:F40" display="TELÉFONO" xr:uid="{424A3431-9008-455F-8C6D-E0C81BE6A1EF}"/>
    <hyperlink ref="I2:L3" location="AÑO!K4:N5" display="SALDO REAL" xr:uid="{ECFF7ECA-4A99-4E6D-B449-E32ABB36F81E}"/>
    <hyperlink ref="B2" location="Trimestre!C25:F26" display="HIPOTECA" xr:uid="{4A3641F9-FB83-4830-9C58-AA3CD1AD13DF}"/>
    <hyperlink ref="B2:G3" location="AÑO!K20:N20" display="AÑO!K20:N20" xr:uid="{E841178C-348A-4C6C-9869-F22FE9310975}"/>
    <hyperlink ref="B22" location="Trimestre!C25:F26" display="HIPOTECA" xr:uid="{8FF52417-1838-480F-A846-6936CBCF2D61}"/>
    <hyperlink ref="B22:G23" location="AÑO!K21:N21" display="AÑO!K21:N21" xr:uid="{C909550A-187B-49CB-B71F-58BC4FCAA0F9}"/>
    <hyperlink ref="B42" location="Trimestre!C25:F26" display="HIPOTECA" xr:uid="{EE3B60B1-D943-43AF-9360-C8B29E6451FD}"/>
    <hyperlink ref="B42:G43" location="AÑO!K22:N22" display="AÑO!K22:N22" xr:uid="{2199382F-8674-45E1-A920-F01FB00A92AB}"/>
    <hyperlink ref="B62" location="Trimestre!C25:F26" display="HIPOTECA" xr:uid="{9B69418A-BEE6-483A-841F-6A157FF38F87}"/>
    <hyperlink ref="B62:G63" location="AÑO!K23:N23" display="AÑO!K23:N23" xr:uid="{7CE99F91-BC0A-42D7-976C-29AE322363CD}"/>
    <hyperlink ref="B82" location="Trimestre!C25:F26" display="HIPOTECA" xr:uid="{96FB49A3-EA5A-4C42-9E58-0E631D550217}"/>
    <hyperlink ref="B82:G83" location="AÑO!K24:N24" display="AÑO!K24:N24" xr:uid="{B8F38972-F3E0-43FD-B59B-A20F07FBE8F4}"/>
    <hyperlink ref="B102" location="Trimestre!C25:F26" display="HIPOTECA" xr:uid="{F6F79270-7416-408D-BE76-62C8CADC5085}"/>
    <hyperlink ref="B102:G103" location="AÑO!K25:N25" display="AÑO!K25:N25" xr:uid="{E660A30B-7DF6-471C-A9BA-F934883A7DE2}"/>
    <hyperlink ref="B122" location="Trimestre!C25:F26" display="HIPOTECA" xr:uid="{B841AAC3-AB8C-421F-AF13-DF38C3F03D04}"/>
    <hyperlink ref="B122:G123" location="AÑO!K26:N26" display="AÑO!K26:N26" xr:uid="{21B01937-298B-42EC-A955-F636286BBB79}"/>
    <hyperlink ref="B142" location="Trimestre!C25:F26" display="HIPOTECA" xr:uid="{29F685AA-F7FB-49B2-81DA-BAE5891B72FF}"/>
    <hyperlink ref="B142:G143" location="AÑO!K27:N27" display="AÑO!K27:N27" xr:uid="{B5277ADB-3638-44F6-AF79-E223DC164C0E}"/>
    <hyperlink ref="B162" location="Trimestre!C25:F26" display="HIPOTECA" xr:uid="{7B12CC86-1C15-4D58-A4AB-21475EA6E0B7}"/>
    <hyperlink ref="B162:G163" location="AÑO!K28:N28" display="AÑO!K28:N28" xr:uid="{FC151930-79EA-4149-8939-D925F9A28698}"/>
    <hyperlink ref="B182" location="Trimestre!C25:F26" display="HIPOTECA" xr:uid="{A79677C3-3B9D-4D2F-B57A-2683A0A1492A}"/>
    <hyperlink ref="B182:G183" location="AÑO!K29:N29" display="AÑO!K29:N29" xr:uid="{70AAD637-8558-47ED-833B-D82D47FCEF14}"/>
    <hyperlink ref="B202" location="Trimestre!C25:F26" display="HIPOTECA" xr:uid="{994CB6A8-772C-4FED-AA32-2C5EFE09E21D}"/>
    <hyperlink ref="B202:G203" location="AÑO!K30:N30" display="AÑO!K30:N30" xr:uid="{BAF2905B-D4FF-4A2B-B8D4-CAA03A8E82D3}"/>
    <hyperlink ref="B222" location="Trimestre!C25:F26" display="HIPOTECA" xr:uid="{3EDF586D-C57C-4226-A6E1-96ADECF937F5}"/>
    <hyperlink ref="B222:G223" location="AÑO!K31:N31" display="AÑO!K31:N31" xr:uid="{5A9A2655-A6DF-4F41-9039-7C3EBAC9DA57}"/>
    <hyperlink ref="B242" location="Trimestre!C25:F26" display="HIPOTECA" xr:uid="{CD4A64C9-166B-4795-9760-F6DC6A2F92A8}"/>
    <hyperlink ref="B242:G243" location="AÑO!K32:N32" display="AÑO!K32:N32" xr:uid="{2A9BE07D-F312-450A-9C33-CAF050022603}"/>
    <hyperlink ref="B262" location="Trimestre!C25:F26" display="HIPOTECA" xr:uid="{C92609DE-EA95-4918-9AAA-2B13AF435A27}"/>
    <hyperlink ref="B262:G263" location="AÑO!K33:N33" display="AÑO!K33:N33" xr:uid="{04B44820-A2D3-4B26-AC70-11DF14A38E52}"/>
    <hyperlink ref="B282" location="Trimestre!C25:F26" display="HIPOTECA" xr:uid="{D93D516D-5EAC-456A-80F8-9166ADD2B7EF}"/>
    <hyperlink ref="B282:G283" location="AÑO!K34:N34" display="AÑO!K34:N34" xr:uid="{D7C59004-01CE-4D07-ABEA-17640BDB720B}"/>
    <hyperlink ref="B302" location="Trimestre!C25:F26" display="HIPOTECA" xr:uid="{359A2BD0-BADB-4DB4-B551-6D1DF591F948}"/>
    <hyperlink ref="B302:G303" location="AÑO!K35:N35" display="AÑO!K35:N35" xr:uid="{7708C53E-3D2D-471E-B299-0D1D0C8E3659}"/>
    <hyperlink ref="B322" location="Trimestre!C25:F26" display="HIPOTECA" xr:uid="{0B04B61F-7D64-4CF1-8AA8-DA8AE54AC1FE}"/>
    <hyperlink ref="B322:G323" location="AÑO!K36:N36" display="AÑO!K36:N36" xr:uid="{3A9A3CD4-D52B-4746-839D-EF7B39B32BB7}"/>
    <hyperlink ref="B342" location="Trimestre!C25:F26" display="HIPOTECA" xr:uid="{1CFC4968-35A9-4111-948A-22F8E01DA5C5}"/>
    <hyperlink ref="B342:G343" location="AÑO!K37:N37" display="AÑO!K37:N37" xr:uid="{6BA86398-0624-4959-B8D7-3555B1907C8B}"/>
    <hyperlink ref="B362" location="Trimestre!C25:F26" display="HIPOTECA" xr:uid="{E36B4A57-47D3-4F06-ACBA-0C02DFF58151}"/>
    <hyperlink ref="B362:G363" location="AÑO!K38:N38" display="AÑO!K38:N38" xr:uid="{EDD1F2DF-888C-457E-8656-1DC1670D20F8}"/>
    <hyperlink ref="B382" location="Trimestre!C25:F26" display="HIPOTECA" xr:uid="{3799C61A-940B-4010-95D0-C6810FE21791}"/>
    <hyperlink ref="B382:G383" location="AÑO!K39:N39" display="AÑO!K39:N39" xr:uid="{B399D106-83AA-4493-91F5-F6D682B84A7B}"/>
    <hyperlink ref="B402" location="Trimestre!C25:F26" display="HIPOTECA" xr:uid="{B272F724-5E37-429C-A931-F2C5E66E2EF5}"/>
    <hyperlink ref="B402:G403" location="AÑO!K40:N40" display="AÑO!K40:N40" xr:uid="{26E9E2F9-8C44-4601-AA09-D6672152E2FB}"/>
    <hyperlink ref="B422" location="Trimestre!C25:F26" display="HIPOTECA" xr:uid="{5EF7E4FB-7BF4-4161-B609-2250B9136AB1}"/>
    <hyperlink ref="B422:G423" location="AÑO!K41:N41" display="AÑO!K41:N41" xr:uid="{C95E3E1C-D8FE-44BF-A1D7-A9642CFCF9FF}"/>
    <hyperlink ref="B442" location="Trimestre!C25:F26" display="HIPOTECA" xr:uid="{9D6DAB7B-06E6-4D42-901F-10767FE43F37}"/>
    <hyperlink ref="B442:G443" location="AÑO!K42:N42" display="AÑO!K42:N42" xr:uid="{7911EB05-41DA-4C33-8B9F-597C3202FB40}"/>
    <hyperlink ref="B462" location="Trimestre!C25:F26" display="HIPOTECA" xr:uid="{DB30C216-B0E7-488C-9DC4-60B8B39975D3}"/>
    <hyperlink ref="B462:G463" location="AÑO!K43:N43" display="AÑO!K43:N43" xr:uid="{63DC0EF6-3DE8-4FE8-B451-57C8DE34D824}"/>
    <hyperlink ref="B482" location="Trimestre!C25:F26" display="HIPOTECA" xr:uid="{2C177AF1-40E4-40A9-AA01-17AD1D5CE9BD}"/>
    <hyperlink ref="B482:G483" location="AÑO!K44:N44" display="AÑO!K44:N44" xr:uid="{F2B0BC4F-9F96-4D1A-B723-7CC149921AC7}"/>
    <hyperlink ref="B502" location="Trimestre!C25:F26" display="HIPOTECA" xr:uid="{2C706A84-148F-4615-AE93-A293B3C41D48}"/>
    <hyperlink ref="B502:G503" location="AÑO!K45:N45" display="AÑO!K45:N45" xr:uid="{7C59D6C4-58B2-4CAE-8CD0-4247E781B93F}"/>
  </hyperlinks>
  <pageMargins left="0.7" right="0.7" top="0.75" bottom="0.75" header="0.3" footer="0.3"/>
  <pageSetup paperSize="9"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520"/>
  <sheetViews>
    <sheetView topLeftCell="A242" workbookViewId="0">
      <selection activeCell="C257" sqref="C257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223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30" t="str">
        <f>AÑO!A20</f>
        <v>Cártama Gastos</v>
      </c>
      <c r="C2" s="419"/>
      <c r="D2" s="419"/>
      <c r="E2" s="419"/>
      <c r="F2" s="419"/>
      <c r="G2" s="420"/>
      <c r="H2" s="222"/>
      <c r="I2" s="418" t="s">
        <v>4</v>
      </c>
      <c r="J2" s="419"/>
      <c r="K2" s="419"/>
      <c r="L2" s="420"/>
      <c r="M2" s="1"/>
      <c r="N2" s="1"/>
      <c r="R2" s="3"/>
    </row>
    <row r="3" spans="1:22" ht="16.5" thickBot="1">
      <c r="A3" s="1"/>
      <c r="B3" s="421"/>
      <c r="C3" s="422"/>
      <c r="D3" s="422"/>
      <c r="E3" s="422"/>
      <c r="F3" s="422"/>
      <c r="G3" s="423"/>
      <c r="H3" s="1"/>
      <c r="I3" s="421"/>
      <c r="J3" s="422"/>
      <c r="K3" s="422"/>
      <c r="L3" s="423"/>
      <c r="M3" s="1"/>
      <c r="N3" s="1"/>
      <c r="R3" s="3"/>
    </row>
    <row r="4" spans="1:22" ht="15.75">
      <c r="A4" s="1"/>
      <c r="B4" s="431" t="s">
        <v>8</v>
      </c>
      <c r="C4" s="432"/>
      <c r="D4" s="431" t="s">
        <v>9</v>
      </c>
      <c r="E4" s="433"/>
      <c r="F4" s="433"/>
      <c r="G4" s="432"/>
      <c r="H4" s="222"/>
      <c r="I4" s="40" t="s">
        <v>57</v>
      </c>
      <c r="J4" s="105" t="s">
        <v>58</v>
      </c>
      <c r="K4" s="424" t="s">
        <v>59</v>
      </c>
      <c r="L4" s="425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26">
        <v>861.84</v>
      </c>
      <c r="L5" s="427"/>
      <c r="M5" s="1"/>
      <c r="N5" s="1"/>
      <c r="R5" s="3"/>
    </row>
    <row r="6" spans="1:22" ht="15.75">
      <c r="A6" s="112">
        <f>'03'!A6+(B6-SUM(D6:F6))</f>
        <v>6</v>
      </c>
      <c r="B6" s="133">
        <v>403.08</v>
      </c>
      <c r="C6" s="19" t="s">
        <v>377</v>
      </c>
      <c r="D6" s="137"/>
      <c r="E6" s="138">
        <v>403.08</v>
      </c>
      <c r="F6" s="138"/>
      <c r="G6" s="16" t="s">
        <v>32</v>
      </c>
      <c r="H6" s="1"/>
      <c r="I6" s="108" t="s">
        <v>60</v>
      </c>
      <c r="J6" s="107" t="s">
        <v>62</v>
      </c>
      <c r="K6" s="428">
        <v>620.08000000000004</v>
      </c>
      <c r="L6" s="429"/>
      <c r="M6" s="1" t="s">
        <v>165</v>
      </c>
      <c r="N6" s="1"/>
      <c r="R6" s="3"/>
    </row>
    <row r="7" spans="1:22" ht="15.75">
      <c r="A7" s="112">
        <f>'03'!A7+(B7-SUM(D7:F7))</f>
        <v>-31.520000000000039</v>
      </c>
      <c r="B7" s="134">
        <v>67.19</v>
      </c>
      <c r="C7" s="16" t="s">
        <v>401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28">
        <v>10075.709999999999</v>
      </c>
      <c r="L7" s="429"/>
      <c r="M7" s="1"/>
      <c r="N7" s="1"/>
      <c r="R7" s="3"/>
    </row>
    <row r="8" spans="1:22" ht="15.75">
      <c r="A8" s="112">
        <f>'03'!A8+(B8-SUM(D8:F8))</f>
        <v>-102.44</v>
      </c>
      <c r="B8" s="134">
        <v>0</v>
      </c>
      <c r="C8" s="16" t="s">
        <v>35</v>
      </c>
      <c r="D8" s="137"/>
      <c r="E8" s="113">
        <v>102.44</v>
      </c>
      <c r="F8" s="138"/>
      <c r="G8" s="16" t="s">
        <v>35</v>
      </c>
      <c r="H8" s="1"/>
      <c r="I8" s="108" t="s">
        <v>63</v>
      </c>
      <c r="J8" s="107" t="s">
        <v>65</v>
      </c>
      <c r="K8" s="428">
        <v>3501.87</v>
      </c>
      <c r="L8" s="429"/>
      <c r="M8" s="1"/>
      <c r="N8" s="1"/>
      <c r="R8" s="3"/>
    </row>
    <row r="9" spans="1:22" ht="15.75">
      <c r="A9" s="112">
        <f>'03'!A9+(B9-SUM(D9:F9))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/>
      <c r="I9" s="108" t="s">
        <v>63</v>
      </c>
      <c r="J9" s="107" t="s">
        <v>157</v>
      </c>
      <c r="K9" s="428">
        <v>35.96</v>
      </c>
      <c r="L9" s="429"/>
      <c r="M9" s="1"/>
      <c r="N9" s="1"/>
      <c r="R9" s="3"/>
    </row>
    <row r="10" spans="1:22" ht="15.75">
      <c r="A10" s="112">
        <f>'03'!A10+(B10-SUM(D10:F10))</f>
        <v>12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28">
        <v>1802.02</v>
      </c>
      <c r="L10" s="429"/>
      <c r="M10" s="1" t="s">
        <v>156</v>
      </c>
      <c r="N10" s="1"/>
      <c r="R10" s="3"/>
    </row>
    <row r="11" spans="1:22" ht="15.75">
      <c r="A11" s="112">
        <f>'03'!A11+(B11-SUM(D11:F11))</f>
        <v>-1.9999999999996021E-2</v>
      </c>
      <c r="B11" s="134">
        <v>30.23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428">
        <v>370</v>
      </c>
      <c r="L11" s="429"/>
      <c r="M11" s="1"/>
      <c r="N11" s="1"/>
      <c r="R11" s="3"/>
    </row>
    <row r="12" spans="1:22" ht="15.75">
      <c r="A12" s="112">
        <f>'03'!A12+(B12-SUM(D12:F12))</f>
        <v>138.04000000000002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28">
        <f>5092.08+4084.2</f>
        <v>9176.2799999999988</v>
      </c>
      <c r="L12" s="429"/>
      <c r="M12" s="92"/>
      <c r="N12" s="1"/>
      <c r="R12" s="3"/>
    </row>
    <row r="13" spans="1:22" ht="15.75">
      <c r="A13" s="112">
        <f>'03'!A13+(B13-SUM(D13:F13))</f>
        <v>11.5</v>
      </c>
      <c r="B13" s="134">
        <v>6.5</v>
      </c>
      <c r="C13" s="16" t="s">
        <v>326</v>
      </c>
      <c r="D13" s="137"/>
      <c r="E13" s="138"/>
      <c r="F13" s="138"/>
      <c r="G13" s="16"/>
      <c r="H13" s="1"/>
      <c r="I13" s="108"/>
      <c r="J13" s="107"/>
      <c r="K13" s="428"/>
      <c r="L13" s="429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8"/>
      <c r="L14" s="429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8"/>
      <c r="L15" s="429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8"/>
      <c r="L16" s="429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8"/>
      <c r="L17" s="429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4"/>
      <c r="L18" s="435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43">
        <f>SUM(K5:K18)</f>
        <v>26443.759999999998</v>
      </c>
      <c r="L19" s="444"/>
      <c r="M19" s="1"/>
      <c r="N19" s="1"/>
      <c r="R19" s="3"/>
    </row>
    <row r="20" spans="1:18" ht="16.5" thickBot="1">
      <c r="A20" s="112">
        <f>SUM(A6:A15)</f>
        <v>33.559999999999988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547.76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15465.46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30" t="str">
        <f>AÑO!A21</f>
        <v>Waterloo</v>
      </c>
      <c r="C22" s="419"/>
      <c r="D22" s="419"/>
      <c r="E22" s="419"/>
      <c r="F22" s="419"/>
      <c r="G22" s="420"/>
      <c r="H22" s="1"/>
      <c r="I22" s="418" t="s">
        <v>6</v>
      </c>
      <c r="J22" s="419"/>
      <c r="K22" s="419"/>
      <c r="L22" s="420"/>
      <c r="M22" s="1"/>
      <c r="R22" s="3"/>
    </row>
    <row r="23" spans="1:18" ht="16.149999999999999" customHeight="1" thickBot="1">
      <c r="A23" s="1"/>
      <c r="B23" s="421"/>
      <c r="C23" s="422"/>
      <c r="D23" s="422"/>
      <c r="E23" s="422"/>
      <c r="F23" s="422"/>
      <c r="G23" s="423"/>
      <c r="H23" s="1"/>
      <c r="I23" s="421"/>
      <c r="J23" s="422"/>
      <c r="K23" s="422"/>
      <c r="L23" s="423"/>
      <c r="M23" s="1"/>
      <c r="R23" s="3"/>
    </row>
    <row r="24" spans="1:18" ht="15.75">
      <c r="A24" s="1"/>
      <c r="B24" s="431" t="s">
        <v>8</v>
      </c>
      <c r="C24" s="432"/>
      <c r="D24" s="431" t="s">
        <v>9</v>
      </c>
      <c r="E24" s="433"/>
      <c r="F24" s="433"/>
      <c r="G24" s="432"/>
      <c r="H24" s="1"/>
      <c r="I24" s="40" t="s">
        <v>31</v>
      </c>
      <c r="J24" s="403" t="s">
        <v>87</v>
      </c>
      <c r="K24" s="404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05" t="str">
        <f>AÑO!A8</f>
        <v>Manolo Salario</v>
      </c>
      <c r="J25" s="408" t="s">
        <v>402</v>
      </c>
      <c r="K25" s="409"/>
      <c r="L25" s="231">
        <v>2570.56</v>
      </c>
      <c r="M25" s="1">
        <f>16*1.09</f>
        <v>17.440000000000001</v>
      </c>
      <c r="R25" s="3"/>
    </row>
    <row r="26" spans="1:18" ht="15.75">
      <c r="A26" s="112">
        <f>'03'!A26+(B26-SUM(D26:F26))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06"/>
      <c r="J26" s="410"/>
      <c r="K26" s="411"/>
      <c r="L26" s="229"/>
      <c r="M26" s="1"/>
      <c r="R26" s="3"/>
    </row>
    <row r="27" spans="1:18" ht="15.75">
      <c r="A27" s="112">
        <f>'03'!A27+(B27-SUM(D27:F27))</f>
        <v>22.009999999999991</v>
      </c>
      <c r="B27" s="134">
        <v>190</v>
      </c>
      <c r="C27" s="27" t="s">
        <v>40</v>
      </c>
      <c r="D27" s="137">
        <v>185.99</v>
      </c>
      <c r="E27" s="138"/>
      <c r="F27" s="138"/>
      <c r="G27" s="16" t="s">
        <v>40</v>
      </c>
      <c r="H27" s="1"/>
      <c r="I27" s="406"/>
      <c r="J27" s="410"/>
      <c r="K27" s="411"/>
      <c r="L27" s="229"/>
      <c r="M27" s="1"/>
      <c r="R27" s="3"/>
    </row>
    <row r="28" spans="1:18" ht="15.75">
      <c r="A28" s="112">
        <f>'03'!A28+(B28-SUM(D28:F28))</f>
        <v>206.12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06"/>
      <c r="J28" s="410"/>
      <c r="K28" s="411"/>
      <c r="L28" s="229"/>
      <c r="M28" s="1"/>
      <c r="R28" s="3"/>
    </row>
    <row r="29" spans="1:18" ht="15.75">
      <c r="A29" s="112">
        <f>'03'!A29+(B29-SUM(D29:F29))</f>
        <v>1.3800000000000026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14"/>
      <c r="J29" s="415"/>
      <c r="K29" s="416"/>
      <c r="L29" s="230"/>
      <c r="M29" s="1"/>
      <c r="R29" s="3"/>
    </row>
    <row r="30" spans="1:18" ht="15.75" customHeight="1">
      <c r="A30" s="112">
        <f>'03'!A30+(B30-SUM(D30:F30))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05" t="str">
        <f>AÑO!A9</f>
        <v>Rocío Salario</v>
      </c>
      <c r="J30" s="408" t="s">
        <v>363</v>
      </c>
      <c r="K30" s="409"/>
      <c r="L30" s="231">
        <v>30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6"/>
      <c r="J31" s="410" t="s">
        <v>431</v>
      </c>
      <c r="K31" s="411"/>
      <c r="L31" s="229">
        <v>286.92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6"/>
      <c r="J32" s="410" t="s">
        <v>328</v>
      </c>
      <c r="K32" s="411"/>
      <c r="L32" s="229">
        <v>190.62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6"/>
      <c r="J33" s="410"/>
      <c r="K33" s="411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4"/>
      <c r="J34" s="415"/>
      <c r="K34" s="416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5" t="s">
        <v>218</v>
      </c>
      <c r="J35" s="408"/>
      <c r="K35" s="409"/>
      <c r="L35" s="231">
        <v>204.23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6"/>
      <c r="J36" s="410"/>
      <c r="K36" s="411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6"/>
      <c r="J37" s="410"/>
      <c r="K37" s="411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6"/>
      <c r="J38" s="410"/>
      <c r="K38" s="411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4"/>
      <c r="J39" s="415"/>
      <c r="K39" s="416"/>
      <c r="L39" s="230"/>
      <c r="M39" s="1"/>
      <c r="R39" s="3"/>
    </row>
    <row r="40" spans="1:18" ht="16.5" thickBot="1">
      <c r="A40" s="112">
        <f>SUM(A26:A35)</f>
        <v>415.78999999999996</v>
      </c>
      <c r="B40" s="135">
        <f>SUM(B26:B39)</f>
        <v>1148</v>
      </c>
      <c r="C40" s="17" t="s">
        <v>53</v>
      </c>
      <c r="D40" s="135">
        <f>SUM(D26:D39)</f>
        <v>1103.94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05" t="str">
        <f>AÑO!A11</f>
        <v>Finanazas</v>
      </c>
      <c r="J40" s="408" t="s">
        <v>425</v>
      </c>
      <c r="K40" s="409"/>
      <c r="L40" s="231">
        <v>3.75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6"/>
      <c r="J41" s="410" t="s">
        <v>445</v>
      </c>
      <c r="K41" s="411"/>
      <c r="L41" s="229">
        <v>352.82</v>
      </c>
      <c r="M41" s="1"/>
      <c r="R41" s="3"/>
    </row>
    <row r="42" spans="1:18" ht="15.6" customHeight="1">
      <c r="A42" s="1"/>
      <c r="B42" s="430" t="str">
        <f>AÑO!A22</f>
        <v>Comida+Limpieza</v>
      </c>
      <c r="C42" s="419"/>
      <c r="D42" s="419"/>
      <c r="E42" s="419"/>
      <c r="F42" s="419"/>
      <c r="G42" s="420"/>
      <c r="H42" s="1"/>
      <c r="I42" s="406"/>
      <c r="J42" s="410" t="s">
        <v>60</v>
      </c>
      <c r="K42" s="411"/>
      <c r="L42" s="229">
        <v>0.02</v>
      </c>
      <c r="M42" s="1"/>
      <c r="R42" s="3"/>
    </row>
    <row r="43" spans="1:18" ht="16.149999999999999" customHeight="1" thickBot="1">
      <c r="A43" s="1"/>
      <c r="B43" s="421"/>
      <c r="C43" s="422"/>
      <c r="D43" s="422"/>
      <c r="E43" s="422"/>
      <c r="F43" s="422"/>
      <c r="G43" s="423"/>
      <c r="H43" s="1"/>
      <c r="I43" s="406"/>
      <c r="J43" s="410"/>
      <c r="K43" s="411"/>
      <c r="L43" s="229"/>
      <c r="M43" s="1"/>
      <c r="R43" s="3"/>
    </row>
    <row r="44" spans="1:18" ht="15.75">
      <c r="A44" s="1"/>
      <c r="B44" s="431" t="s">
        <v>8</v>
      </c>
      <c r="C44" s="432"/>
      <c r="D44" s="431" t="s">
        <v>9</v>
      </c>
      <c r="E44" s="433"/>
      <c r="F44" s="433"/>
      <c r="G44" s="432"/>
      <c r="H44" s="1"/>
      <c r="I44" s="414"/>
      <c r="J44" s="415"/>
      <c r="K44" s="416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05" t="str">
        <f>AÑO!A12</f>
        <v>Regalos</v>
      </c>
      <c r="J45" s="408"/>
      <c r="K45" s="409"/>
      <c r="L45" s="231"/>
      <c r="M45" s="1"/>
      <c r="R45" s="3"/>
    </row>
    <row r="46" spans="1:18" ht="15.75">
      <c r="A46" s="1"/>
      <c r="B46" s="133">
        <v>269.64999999999998</v>
      </c>
      <c r="C46" s="19"/>
      <c r="D46" s="137">
        <v>17.66</v>
      </c>
      <c r="E46" s="138"/>
      <c r="F46" s="138"/>
      <c r="G46" s="30" t="s">
        <v>446</v>
      </c>
      <c r="H46" s="1"/>
      <c r="I46" s="406"/>
      <c r="J46" s="410"/>
      <c r="K46" s="411"/>
      <c r="L46" s="229"/>
      <c r="M46" s="1"/>
      <c r="R46" s="3"/>
    </row>
    <row r="47" spans="1:18" ht="15.75">
      <c r="A47" s="1"/>
      <c r="B47" s="134">
        <v>30.35</v>
      </c>
      <c r="C47" s="16" t="s">
        <v>78</v>
      </c>
      <c r="D47" s="137">
        <v>12.4</v>
      </c>
      <c r="E47" s="138"/>
      <c r="F47" s="138"/>
      <c r="G47" s="16" t="s">
        <v>452</v>
      </c>
      <c r="H47" s="1"/>
      <c r="I47" s="406"/>
      <c r="J47" s="410"/>
      <c r="K47" s="411"/>
      <c r="L47" s="229"/>
      <c r="M47" s="1"/>
      <c r="R47" s="3"/>
    </row>
    <row r="48" spans="1:18" ht="15.75">
      <c r="A48" s="1"/>
      <c r="B48" s="134">
        <v>40</v>
      </c>
      <c r="C48" s="16" t="s">
        <v>430</v>
      </c>
      <c r="D48" s="137">
        <v>5.35</v>
      </c>
      <c r="E48" s="138"/>
      <c r="F48" s="138"/>
      <c r="G48" s="16" t="s">
        <v>457</v>
      </c>
      <c r="H48" s="1"/>
      <c r="I48" s="406"/>
      <c r="J48" s="410"/>
      <c r="K48" s="411"/>
      <c r="L48" s="229"/>
      <c r="M48" s="1"/>
      <c r="R48" s="3"/>
    </row>
    <row r="49" spans="1:18" ht="15.75">
      <c r="A49" s="1"/>
      <c r="B49" s="134"/>
      <c r="C49" s="16" t="s">
        <v>462</v>
      </c>
      <c r="D49" s="137"/>
      <c r="E49" s="138"/>
      <c r="F49" s="138"/>
      <c r="G49" s="16"/>
      <c r="H49" s="1"/>
      <c r="I49" s="414"/>
      <c r="J49" s="415"/>
      <c r="K49" s="416"/>
      <c r="L49" s="230"/>
      <c r="M49" s="1"/>
      <c r="R49" s="3"/>
    </row>
    <row r="50" spans="1:18" ht="15.75" customHeight="1">
      <c r="A50" s="1"/>
      <c r="B50" s="134">
        <v>-146</v>
      </c>
      <c r="C50" s="16" t="s">
        <v>465</v>
      </c>
      <c r="D50" s="137"/>
      <c r="E50" s="138"/>
      <c r="F50" s="138"/>
      <c r="G50" s="16"/>
      <c r="H50" s="1"/>
      <c r="I50" s="405" t="str">
        <f>AÑO!A13</f>
        <v>Gubernamental</v>
      </c>
      <c r="J50" s="408" t="s">
        <v>434</v>
      </c>
      <c r="K50" s="409"/>
      <c r="L50" s="231">
        <v>95.8</v>
      </c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406"/>
      <c r="J51" s="410"/>
      <c r="K51" s="411"/>
      <c r="L51" s="22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06"/>
      <c r="J52" s="410"/>
      <c r="K52" s="411"/>
      <c r="L52" s="22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06"/>
      <c r="J53" s="410"/>
      <c r="K53" s="411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14"/>
      <c r="J54" s="415"/>
      <c r="K54" s="416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05" t="str">
        <f>AÑO!A14</f>
        <v>Mutualite/DKV</v>
      </c>
      <c r="J55" s="441" t="str">
        <f>'03'!G307</f>
        <v>22/03 Chirec</v>
      </c>
      <c r="K55" s="409"/>
      <c r="L55" s="231">
        <v>9.44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6"/>
      <c r="J56" s="442" t="str">
        <f>'03'!G309</f>
        <v>26/03 Ginecologa</v>
      </c>
      <c r="K56" s="411"/>
      <c r="L56" s="229">
        <v>14.27</v>
      </c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6"/>
      <c r="J57" s="410" t="s">
        <v>449</v>
      </c>
      <c r="K57" s="411"/>
      <c r="L57" s="229">
        <v>14.27</v>
      </c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6"/>
      <c r="J58" s="410"/>
      <c r="K58" s="411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4"/>
      <c r="J59" s="415"/>
      <c r="K59" s="416"/>
      <c r="L59" s="230"/>
      <c r="M59" s="1"/>
      <c r="R59" s="3"/>
    </row>
    <row r="60" spans="1:18" ht="16.5" customHeight="1" thickBot="1">
      <c r="A60" s="1"/>
      <c r="B60" s="135">
        <f>SUM(B46:B59)</f>
        <v>194</v>
      </c>
      <c r="C60" s="17" t="s">
        <v>53</v>
      </c>
      <c r="D60" s="135">
        <f>SUM(D46:D59)</f>
        <v>35.410000000000004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05" t="str">
        <f>AÑO!A15</f>
        <v>Alquiler Cartama</v>
      </c>
      <c r="J60" s="408"/>
      <c r="K60" s="409"/>
      <c r="L60" s="231">
        <v>550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6"/>
      <c r="J61" s="410"/>
      <c r="K61" s="411"/>
      <c r="L61" s="229"/>
      <c r="M61" s="1"/>
      <c r="R61" s="3"/>
    </row>
    <row r="62" spans="1:18" ht="15.6" customHeight="1">
      <c r="A62" s="1"/>
      <c r="B62" s="430" t="str">
        <f>AÑO!A23</f>
        <v>Ocio</v>
      </c>
      <c r="C62" s="419"/>
      <c r="D62" s="419"/>
      <c r="E62" s="419"/>
      <c r="F62" s="419"/>
      <c r="G62" s="420"/>
      <c r="H62" s="1"/>
      <c r="I62" s="406"/>
      <c r="J62" s="410"/>
      <c r="K62" s="411"/>
      <c r="L62" s="229"/>
      <c r="M62" s="1"/>
      <c r="R62" s="3"/>
    </row>
    <row r="63" spans="1:18" ht="16.149999999999999" customHeight="1" thickBot="1">
      <c r="A63" s="1"/>
      <c r="B63" s="421"/>
      <c r="C63" s="422"/>
      <c r="D63" s="422"/>
      <c r="E63" s="422"/>
      <c r="F63" s="422"/>
      <c r="G63" s="423"/>
      <c r="H63" s="1"/>
      <c r="I63" s="406"/>
      <c r="J63" s="410"/>
      <c r="K63" s="411"/>
      <c r="L63" s="229"/>
      <c r="M63" s="1"/>
      <c r="R63" s="3"/>
    </row>
    <row r="64" spans="1:18" ht="15.75">
      <c r="A64" s="1"/>
      <c r="B64" s="431" t="s">
        <v>8</v>
      </c>
      <c r="C64" s="432"/>
      <c r="D64" s="431" t="s">
        <v>9</v>
      </c>
      <c r="E64" s="433"/>
      <c r="F64" s="433"/>
      <c r="G64" s="432"/>
      <c r="H64" s="1"/>
      <c r="I64" s="414"/>
      <c r="J64" s="415"/>
      <c r="K64" s="416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05" t="str">
        <f>AÑO!A16</f>
        <v>Otros</v>
      </c>
      <c r="J65" s="408"/>
      <c r="K65" s="409"/>
      <c r="L65" s="231"/>
      <c r="M65" s="1"/>
      <c r="R65" s="3"/>
    </row>
    <row r="66" spans="1:18" ht="15.75">
      <c r="A66" s="112">
        <f>'03'!A66+(B66+B67-SUM(D66:F78))</f>
        <v>62.180000000000014</v>
      </c>
      <c r="B66" s="133">
        <v>160</v>
      </c>
      <c r="C66" s="19" t="s">
        <v>33</v>
      </c>
      <c r="D66" s="137"/>
      <c r="E66" s="138"/>
      <c r="F66" s="138">
        <v>10</v>
      </c>
      <c r="G66" s="19" t="s">
        <v>453</v>
      </c>
      <c r="H66" s="1"/>
      <c r="I66" s="406"/>
      <c r="J66" s="410"/>
      <c r="K66" s="411"/>
      <c r="L66" s="229"/>
      <c r="M66" s="1"/>
      <c r="R66" s="3"/>
    </row>
    <row r="67" spans="1:18" ht="15.75">
      <c r="A67" s="1"/>
      <c r="B67" s="134">
        <v>-50</v>
      </c>
      <c r="C67" s="16" t="s">
        <v>465</v>
      </c>
      <c r="D67" s="137">
        <v>41</v>
      </c>
      <c r="E67" s="138"/>
      <c r="F67" s="138"/>
      <c r="G67" s="31" t="s">
        <v>459</v>
      </c>
      <c r="H67" s="1"/>
      <c r="I67" s="406"/>
      <c r="J67" s="410"/>
      <c r="K67" s="411"/>
      <c r="L67" s="22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406"/>
      <c r="J68" s="410"/>
      <c r="K68" s="411"/>
      <c r="L68" s="22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407"/>
      <c r="J69" s="412"/>
      <c r="K69" s="413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'03'!A79+(B79-SUM(D79:F79))</f>
        <v>60</v>
      </c>
      <c r="B79" s="233">
        <v>10</v>
      </c>
      <c r="C79" s="17" t="s">
        <v>237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122.18</v>
      </c>
      <c r="B80" s="233">
        <f>SUM(B66:B79)</f>
        <v>120</v>
      </c>
      <c r="C80" s="17" t="s">
        <v>53</v>
      </c>
      <c r="D80" s="135">
        <f>SUM(D66:D79)</f>
        <v>41</v>
      </c>
      <c r="E80" s="135">
        <f>SUM(E66:E79)</f>
        <v>0</v>
      </c>
      <c r="F80" s="135">
        <f>SUM(F66:F79)</f>
        <v>10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30" t="str">
        <f>AÑO!A24</f>
        <v>Transportes</v>
      </c>
      <c r="C82" s="419"/>
      <c r="D82" s="419"/>
      <c r="E82" s="419"/>
      <c r="F82" s="419"/>
      <c r="G82" s="420"/>
      <c r="H82" s="1"/>
      <c r="M82" s="1"/>
      <c r="R82" s="3"/>
    </row>
    <row r="83" spans="1:18" ht="16.149999999999999" customHeight="1" thickBot="1">
      <c r="A83" s="1"/>
      <c r="B83" s="421"/>
      <c r="C83" s="422"/>
      <c r="D83" s="422"/>
      <c r="E83" s="422"/>
      <c r="F83" s="422"/>
      <c r="G83" s="423"/>
      <c r="H83" s="1"/>
      <c r="M83" s="1"/>
      <c r="R83" s="3"/>
    </row>
    <row r="84" spans="1:18" ht="15.75">
      <c r="A84" s="1"/>
      <c r="B84" s="431" t="s">
        <v>8</v>
      </c>
      <c r="C84" s="432"/>
      <c r="D84" s="431" t="s">
        <v>9</v>
      </c>
      <c r="E84" s="433"/>
      <c r="F84" s="433"/>
      <c r="G84" s="432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202</v>
      </c>
      <c r="D86" s="137">
        <v>57.56</v>
      </c>
      <c r="E86" s="138"/>
      <c r="F86" s="138"/>
      <c r="G86" s="16" t="s">
        <v>443</v>
      </c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>
        <v>2</v>
      </c>
      <c r="G87" s="16" t="s">
        <v>460</v>
      </c>
      <c r="H87" s="1"/>
      <c r="M87" s="1"/>
      <c r="R87" s="3"/>
    </row>
    <row r="88" spans="1:18" ht="15.75">
      <c r="A88" s="1"/>
      <c r="B88" s="134"/>
      <c r="C88" s="16"/>
      <c r="D88" s="137">
        <v>53.83</v>
      </c>
      <c r="E88" s="138"/>
      <c r="F88" s="138"/>
      <c r="G88" s="16" t="s">
        <v>466</v>
      </c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111.39</v>
      </c>
      <c r="E100" s="135">
        <f>SUM(E86:E99)</f>
        <v>0</v>
      </c>
      <c r="F100" s="135">
        <f>SUM(F86:F99)</f>
        <v>2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30" t="str">
        <f>AÑO!A25</f>
        <v>Coche</v>
      </c>
      <c r="C102" s="419"/>
      <c r="D102" s="419"/>
      <c r="E102" s="419"/>
      <c r="F102" s="419"/>
      <c r="G102" s="420"/>
      <c r="H102" s="1"/>
      <c r="M102" s="1"/>
      <c r="R102" s="3"/>
    </row>
    <row r="103" spans="1:18" ht="16.149999999999999" customHeight="1" thickBot="1">
      <c r="A103" s="1"/>
      <c r="B103" s="421"/>
      <c r="C103" s="422"/>
      <c r="D103" s="422"/>
      <c r="E103" s="422"/>
      <c r="F103" s="422"/>
      <c r="G103" s="423"/>
      <c r="H103" s="1"/>
      <c r="M103" s="1"/>
      <c r="R103" s="3"/>
    </row>
    <row r="104" spans="1:18" ht="15.75">
      <c r="A104" s="1"/>
      <c r="B104" s="431" t="s">
        <v>8</v>
      </c>
      <c r="C104" s="432"/>
      <c r="D104" s="431" t="s">
        <v>9</v>
      </c>
      <c r="E104" s="433"/>
      <c r="F104" s="433"/>
      <c r="G104" s="432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'03'!A106+(B106-SUM(D106:F106))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'03'!A107+(B107-SUM(D107:F107))</f>
        <v>1.7500000000000284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'03'!A108+(B108-SUM(D108:F109))</f>
        <v>333.09999999999991</v>
      </c>
      <c r="B108" s="134">
        <v>50</v>
      </c>
      <c r="C108" s="18" t="s">
        <v>187</v>
      </c>
      <c r="D108" s="137">
        <v>50</v>
      </c>
      <c r="E108" s="138"/>
      <c r="F108" s="138"/>
      <c r="G108" s="34" t="s">
        <v>455</v>
      </c>
      <c r="H108" s="1"/>
      <c r="M108" s="1"/>
      <c r="R108" s="3"/>
    </row>
    <row r="109" spans="1:18" ht="15.75">
      <c r="A109" s="112">
        <f>'03'!A109+(B109+B110+B111-SUM(D110:F119))</f>
        <v>3332.5300000000007</v>
      </c>
      <c r="B109" s="134">
        <v>67.53</v>
      </c>
      <c r="C109" s="18" t="s">
        <v>456</v>
      </c>
      <c r="D109" s="137">
        <v>11</v>
      </c>
      <c r="E109" s="138"/>
      <c r="F109" s="138">
        <v>3</v>
      </c>
      <c r="G109" s="31" t="s">
        <v>461</v>
      </c>
      <c r="H109" s="1"/>
      <c r="M109" s="1"/>
      <c r="R109" s="3"/>
    </row>
    <row r="110" spans="1:18" ht="15.75">
      <c r="B110" s="134">
        <v>1370</v>
      </c>
      <c r="C110" s="18" t="s">
        <v>444</v>
      </c>
      <c r="D110" s="137"/>
      <c r="E110" s="138"/>
      <c r="F110" s="138"/>
      <c r="G110" s="31"/>
      <c r="H110" s="1"/>
      <c r="M110" s="1"/>
      <c r="R110" s="3"/>
    </row>
    <row r="111" spans="1:18" ht="15.75">
      <c r="B111" s="134">
        <v>118.35</v>
      </c>
      <c r="C111" s="27" t="s">
        <v>445</v>
      </c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334.84999999999991</v>
      </c>
      <c r="B120" s="135">
        <f>SUM(B106:B119)</f>
        <v>1933.35</v>
      </c>
      <c r="C120" s="17" t="s">
        <v>53</v>
      </c>
      <c r="D120" s="135">
        <f>SUM(D106:D119)</f>
        <v>388.38</v>
      </c>
      <c r="E120" s="135">
        <f>SUM(E106:E119)</f>
        <v>0</v>
      </c>
      <c r="F120" s="135">
        <f>SUM(F106:F119)</f>
        <v>3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30" t="str">
        <f>AÑO!A26</f>
        <v>Teléfono</v>
      </c>
      <c r="C122" s="419"/>
      <c r="D122" s="419"/>
      <c r="E122" s="419"/>
      <c r="F122" s="419"/>
      <c r="G122" s="420"/>
      <c r="H122" s="1"/>
      <c r="M122" s="1"/>
      <c r="R122" s="3"/>
    </row>
    <row r="123" spans="1:18" ht="16.149999999999999" customHeight="1" thickBot="1">
      <c r="A123" s="1"/>
      <c r="B123" s="421"/>
      <c r="C123" s="422"/>
      <c r="D123" s="422"/>
      <c r="E123" s="422"/>
      <c r="F123" s="422"/>
      <c r="G123" s="423"/>
      <c r="H123" s="1"/>
      <c r="M123" s="1"/>
      <c r="R123" s="3"/>
    </row>
    <row r="124" spans="1:18" ht="15.75">
      <c r="A124" s="1"/>
      <c r="B124" s="431" t="s">
        <v>8</v>
      </c>
      <c r="C124" s="432"/>
      <c r="D124" s="431" t="s">
        <v>9</v>
      </c>
      <c r="E124" s="433"/>
      <c r="F124" s="433"/>
      <c r="G124" s="432"/>
      <c r="H124" s="1"/>
      <c r="M124" s="1"/>
      <c r="R124" s="3"/>
    </row>
    <row r="125" spans="1:18" ht="15.75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12">
        <f>'03'!A126+(B126-SUM(D126:F126))</f>
        <v>2.5</v>
      </c>
      <c r="B126" s="133">
        <v>30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12">
        <f>'03'!A127+(B127-SUM(D127:F128))</f>
        <v>-2.5</v>
      </c>
      <c r="B127" s="134">
        <v>15</v>
      </c>
      <c r="C127" s="16" t="s">
        <v>47</v>
      </c>
      <c r="D127" s="137">
        <v>10</v>
      </c>
      <c r="E127" s="138"/>
      <c r="F127" s="138"/>
      <c r="G127" s="16" t="s">
        <v>151</v>
      </c>
      <c r="H127" s="1"/>
      <c r="M127" s="1"/>
      <c r="R127" s="3"/>
    </row>
    <row r="128" spans="1:18" ht="15.75">
      <c r="A128" s="112"/>
      <c r="B128" s="134"/>
      <c r="C128" s="16"/>
      <c r="D128" s="137">
        <v>10</v>
      </c>
      <c r="E128" s="138"/>
      <c r="F128" s="138"/>
      <c r="G128" s="16" t="s">
        <v>153</v>
      </c>
      <c r="H128" s="1"/>
      <c r="M128" s="1"/>
      <c r="R128" s="3"/>
    </row>
    <row r="129" spans="1:18" ht="15.75">
      <c r="A129" s="112">
        <f>'03'!A129+(B129-SUM(D129:F129))</f>
        <v>9.9999999999997868E-3</v>
      </c>
      <c r="B129" s="134">
        <v>8</v>
      </c>
      <c r="C129" s="16" t="s">
        <v>162</v>
      </c>
      <c r="D129" s="137"/>
      <c r="E129" s="138">
        <v>7.99</v>
      </c>
      <c r="F129" s="138"/>
      <c r="G129" s="16" t="s">
        <v>162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0</v>
      </c>
      <c r="B140" s="135">
        <f>SUM(B126:B139)</f>
        <v>53</v>
      </c>
      <c r="C140" s="17" t="s">
        <v>53</v>
      </c>
      <c r="D140" s="135">
        <f>SUM(D126:D139)</f>
        <v>47.5</v>
      </c>
      <c r="E140" s="135">
        <f>SUM(E126:E139)</f>
        <v>7.99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30" t="str">
        <f>AÑO!A27</f>
        <v>Gatos</v>
      </c>
      <c r="C142" s="419"/>
      <c r="D142" s="419"/>
      <c r="E142" s="419"/>
      <c r="F142" s="419"/>
      <c r="G142" s="420"/>
      <c r="H142" s="1"/>
      <c r="M142" s="1"/>
      <c r="R142" s="3"/>
    </row>
    <row r="143" spans="1:18" ht="16.149999999999999" customHeight="1" thickBot="1">
      <c r="A143" s="1"/>
      <c r="B143" s="421"/>
      <c r="C143" s="422"/>
      <c r="D143" s="422"/>
      <c r="E143" s="422"/>
      <c r="F143" s="422"/>
      <c r="G143" s="423"/>
      <c r="H143" s="1"/>
      <c r="M143" s="1"/>
      <c r="R143" s="3"/>
    </row>
    <row r="144" spans="1:18" ht="15.75">
      <c r="A144" s="1"/>
      <c r="B144" s="431" t="s">
        <v>8</v>
      </c>
      <c r="C144" s="432"/>
      <c r="D144" s="431" t="s">
        <v>9</v>
      </c>
      <c r="E144" s="433"/>
      <c r="F144" s="433"/>
      <c r="G144" s="432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>
        <v>16.579999999999998</v>
      </c>
      <c r="E146" s="138"/>
      <c r="F146" s="138"/>
      <c r="G146" s="16" t="s">
        <v>427</v>
      </c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16.579999999999998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30" t="str">
        <f>AÑO!A28</f>
        <v>Vacaciones</v>
      </c>
      <c r="C162" s="419"/>
      <c r="D162" s="419"/>
      <c r="E162" s="419"/>
      <c r="F162" s="419"/>
      <c r="G162" s="420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21"/>
      <c r="C163" s="422"/>
      <c r="D163" s="422"/>
      <c r="E163" s="422"/>
      <c r="F163" s="422"/>
      <c r="G163" s="423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31" t="s">
        <v>8</v>
      </c>
      <c r="C164" s="432"/>
      <c r="D164" s="431" t="s">
        <v>9</v>
      </c>
      <c r="E164" s="433"/>
      <c r="F164" s="433"/>
      <c r="G164" s="432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>
        <v>87.3</v>
      </c>
      <c r="E166" s="138"/>
      <c r="F166" s="138"/>
      <c r="G166" s="16" t="s">
        <v>435</v>
      </c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>
        <v>40</v>
      </c>
      <c r="C167" s="16"/>
      <c r="D167" s="137">
        <f>8.9</f>
        <v>8.9</v>
      </c>
      <c r="E167" s="138"/>
      <c r="F167" s="138"/>
      <c r="G167" s="16" t="s">
        <v>438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>
        <v>7.5</v>
      </c>
      <c r="F168" s="138"/>
      <c r="G168" s="16" t="s">
        <v>440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>
        <v>230</v>
      </c>
      <c r="G169" s="16" t="s">
        <v>441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>
        <v>492.46</v>
      </c>
      <c r="E170" s="138"/>
      <c r="F170" s="138"/>
      <c r="G170" s="16" t="s">
        <v>447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>
        <v>7.5</v>
      </c>
      <c r="F171" s="138"/>
      <c r="G171" s="16" t="s">
        <v>451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>
        <v>97.2</v>
      </c>
      <c r="F172" s="138"/>
      <c r="G172" s="16" t="s">
        <v>464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240</v>
      </c>
      <c r="C180" s="17" t="s">
        <v>53</v>
      </c>
      <c r="D180" s="135">
        <f>SUM(D166:D179)</f>
        <v>588.66</v>
      </c>
      <c r="E180" s="135">
        <f>SUM(E166:E179)</f>
        <v>112.2</v>
      </c>
      <c r="F180" s="135">
        <f>SUM(F166:F179)</f>
        <v>230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30" t="str">
        <f>AÑO!A29</f>
        <v>Ropa</v>
      </c>
      <c r="C182" s="419"/>
      <c r="D182" s="419"/>
      <c r="E182" s="419"/>
      <c r="F182" s="419"/>
      <c r="G182" s="42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21"/>
      <c r="C183" s="422"/>
      <c r="D183" s="422"/>
      <c r="E183" s="422"/>
      <c r="F183" s="422"/>
      <c r="G183" s="42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31" t="s">
        <v>8</v>
      </c>
      <c r="C184" s="432"/>
      <c r="D184" s="431" t="s">
        <v>9</v>
      </c>
      <c r="E184" s="433"/>
      <c r="F184" s="433"/>
      <c r="G184" s="432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>
        <f>25.99</f>
        <v>25.99</v>
      </c>
      <c r="E186" s="138"/>
      <c r="F186" s="138"/>
      <c r="G186" s="16" t="s">
        <v>437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-40</v>
      </c>
      <c r="C187" s="16" t="s">
        <v>429</v>
      </c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30</v>
      </c>
      <c r="C200" s="17" t="s">
        <v>53</v>
      </c>
      <c r="D200" s="135">
        <f>SUM(D186:D199)</f>
        <v>25.99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30" t="str">
        <f>AÑO!A30</f>
        <v>Belleza</v>
      </c>
      <c r="C202" s="419"/>
      <c r="D202" s="419"/>
      <c r="E202" s="419"/>
      <c r="F202" s="419"/>
      <c r="G202" s="420"/>
    </row>
    <row r="203" spans="2:12" ht="15" customHeight="1" thickBot="1">
      <c r="B203" s="421"/>
      <c r="C203" s="422"/>
      <c r="D203" s="422"/>
      <c r="E203" s="422"/>
      <c r="F203" s="422"/>
      <c r="G203" s="423"/>
    </row>
    <row r="204" spans="2:12">
      <c r="B204" s="431" t="s">
        <v>8</v>
      </c>
      <c r="C204" s="432"/>
      <c r="D204" s="431" t="s">
        <v>9</v>
      </c>
      <c r="E204" s="433"/>
      <c r="F204" s="433"/>
      <c r="G204" s="432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>
        <v>34.33</v>
      </c>
      <c r="E206" s="138"/>
      <c r="F206" s="138"/>
      <c r="G206" s="16" t="s">
        <v>436</v>
      </c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34.33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30" t="str">
        <f>AÑO!A31</f>
        <v>Deportes</v>
      </c>
      <c r="C222" s="419"/>
      <c r="D222" s="419"/>
      <c r="E222" s="419"/>
      <c r="F222" s="419"/>
      <c r="G222" s="420"/>
    </row>
    <row r="223" spans="2:7" ht="15" customHeight="1" thickBot="1">
      <c r="B223" s="421"/>
      <c r="C223" s="422"/>
      <c r="D223" s="422"/>
      <c r="E223" s="422"/>
      <c r="F223" s="422"/>
      <c r="G223" s="423"/>
    </row>
    <row r="224" spans="2:7">
      <c r="B224" s="431" t="s">
        <v>8</v>
      </c>
      <c r="C224" s="432"/>
      <c r="D224" s="431" t="s">
        <v>9</v>
      </c>
      <c r="E224" s="433"/>
      <c r="F224" s="433"/>
      <c r="G224" s="432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.75" thickBot="1">
      <c r="B241" s="5"/>
      <c r="C241" s="3"/>
      <c r="D241" s="5"/>
      <c r="E241" s="5"/>
    </row>
    <row r="242" spans="1:7" ht="14.45" customHeight="1">
      <c r="B242" s="430" t="str">
        <f>AÑO!A32</f>
        <v>Hogar</v>
      </c>
      <c r="C242" s="419"/>
      <c r="D242" s="419"/>
      <c r="E242" s="419"/>
      <c r="F242" s="419"/>
      <c r="G242" s="420"/>
    </row>
    <row r="243" spans="1:7" ht="15" customHeight="1" thickBot="1">
      <c r="B243" s="421"/>
      <c r="C243" s="422"/>
      <c r="D243" s="422"/>
      <c r="E243" s="422"/>
      <c r="F243" s="422"/>
      <c r="G243" s="423"/>
    </row>
    <row r="244" spans="1:7" ht="15" customHeight="1">
      <c r="B244" s="431" t="s">
        <v>8</v>
      </c>
      <c r="C244" s="432"/>
      <c r="D244" s="431" t="s">
        <v>9</v>
      </c>
      <c r="E244" s="433"/>
      <c r="F244" s="433"/>
      <c r="G244" s="432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'03'!A246+(B246-SUM(D246:F255))</f>
        <v>89.72</v>
      </c>
      <c r="B246" s="134">
        <v>45</v>
      </c>
      <c r="C246" s="27" t="s">
        <v>403</v>
      </c>
      <c r="D246" s="137"/>
      <c r="E246" s="138"/>
      <c r="F246" s="138"/>
      <c r="G246" s="16"/>
    </row>
    <row r="247" spans="1:7" ht="15" customHeight="1">
      <c r="A247" s="112"/>
      <c r="B247" s="134"/>
      <c r="C247" s="16"/>
      <c r="D247" s="137"/>
      <c r="E247" s="138"/>
      <c r="F247" s="138"/>
      <c r="G247" s="16"/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'03'!A256+(B256-SUM(D256:F256))</f>
        <v>15</v>
      </c>
      <c r="B256" s="134">
        <v>5</v>
      </c>
      <c r="C256" s="16" t="s">
        <v>410</v>
      </c>
      <c r="D256" s="137"/>
      <c r="E256" s="138"/>
      <c r="F256" s="138"/>
      <c r="G256" s="16"/>
    </row>
    <row r="257" spans="1:7" ht="15.75">
      <c r="A257" s="112">
        <f>'03'!A257+(B257-SUM(D257:F257))</f>
        <v>269.13</v>
      </c>
      <c r="B257" s="134">
        <f>40+169.13</f>
        <v>209.13</v>
      </c>
      <c r="C257" s="16" t="s">
        <v>432</v>
      </c>
      <c r="D257" s="137"/>
      <c r="E257" s="138"/>
      <c r="F257" s="138"/>
      <c r="G257" s="16"/>
    </row>
    <row r="258" spans="1:7" ht="15.75">
      <c r="A258" s="112">
        <f>'03'!A258+(B258-SUM(D258:F258))</f>
        <v>25</v>
      </c>
      <c r="B258" s="134">
        <v>5</v>
      </c>
      <c r="C258" s="16" t="s">
        <v>404</v>
      </c>
      <c r="D258" s="137"/>
      <c r="E258" s="138"/>
      <c r="F258" s="138"/>
      <c r="G258" s="16"/>
    </row>
    <row r="259" spans="1:7" ht="16.5" thickBot="1">
      <c r="A259" s="112">
        <f>'03'!A259+(B259-SUM(D259:F259))</f>
        <v>15</v>
      </c>
      <c r="B259" s="135">
        <v>5</v>
      </c>
      <c r="C259" s="17" t="s">
        <v>405</v>
      </c>
      <c r="D259" s="135"/>
      <c r="E259" s="139"/>
      <c r="F259" s="139"/>
      <c r="G259" s="17"/>
    </row>
    <row r="260" spans="1:7" ht="16.5" thickBot="1">
      <c r="A260" s="112">
        <f>SUM(A246:A259)</f>
        <v>413.85</v>
      </c>
      <c r="B260" s="135">
        <f>SUM(B246:B259)</f>
        <v>269.13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1:7" ht="15.75" thickBot="1">
      <c r="B261" s="5"/>
      <c r="C261" s="3"/>
      <c r="D261" s="5"/>
      <c r="E261" s="5"/>
    </row>
    <row r="262" spans="1:7" ht="14.45" customHeight="1">
      <c r="B262" s="430" t="str">
        <f>AÑO!A33</f>
        <v>Formación</v>
      </c>
      <c r="C262" s="419"/>
      <c r="D262" s="419"/>
      <c r="E262" s="419"/>
      <c r="F262" s="419"/>
      <c r="G262" s="420"/>
    </row>
    <row r="263" spans="1:7" ht="15" customHeight="1" thickBot="1">
      <c r="B263" s="421"/>
      <c r="C263" s="422"/>
      <c r="D263" s="422"/>
      <c r="E263" s="422"/>
      <c r="F263" s="422"/>
      <c r="G263" s="423"/>
    </row>
    <row r="264" spans="1:7">
      <c r="B264" s="431" t="s">
        <v>8</v>
      </c>
      <c r="C264" s="432"/>
      <c r="D264" s="431" t="s">
        <v>9</v>
      </c>
      <c r="E264" s="433"/>
      <c r="F264" s="433"/>
      <c r="G264" s="432"/>
    </row>
    <row r="265" spans="1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7">
      <c r="B266" s="133">
        <v>50</v>
      </c>
      <c r="C266" s="19"/>
      <c r="D266" s="137">
        <v>10.45</v>
      </c>
      <c r="E266" s="138"/>
      <c r="F266" s="138"/>
      <c r="G266" s="16" t="s">
        <v>428</v>
      </c>
    </row>
    <row r="267" spans="1:7">
      <c r="B267" s="134"/>
      <c r="C267" s="16"/>
      <c r="D267" s="137"/>
      <c r="E267" s="138"/>
      <c r="F267" s="138"/>
      <c r="G267" s="16"/>
    </row>
    <row r="268" spans="1:7">
      <c r="B268" s="134"/>
      <c r="C268" s="16"/>
      <c r="D268" s="137"/>
      <c r="E268" s="138"/>
      <c r="F268" s="138"/>
      <c r="G268" s="16"/>
    </row>
    <row r="269" spans="1:7">
      <c r="B269" s="134"/>
      <c r="C269" s="16"/>
      <c r="D269" s="137"/>
      <c r="E269" s="138"/>
      <c r="F269" s="138"/>
      <c r="G269" s="16"/>
    </row>
    <row r="270" spans="1:7">
      <c r="B270" s="134"/>
      <c r="C270" s="16"/>
      <c r="D270" s="137"/>
      <c r="E270" s="138"/>
      <c r="F270" s="138"/>
      <c r="G270" s="16"/>
    </row>
    <row r="271" spans="1:7">
      <c r="B271" s="134"/>
      <c r="C271" s="16"/>
      <c r="D271" s="137"/>
      <c r="E271" s="138"/>
      <c r="F271" s="138"/>
      <c r="G271" s="16"/>
    </row>
    <row r="272" spans="1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10.45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430" t="str">
        <f>AÑO!A34</f>
        <v>Regalos</v>
      </c>
      <c r="C282" s="419"/>
      <c r="D282" s="419"/>
      <c r="E282" s="419"/>
      <c r="F282" s="419"/>
      <c r="G282" s="420"/>
    </row>
    <row r="283" spans="2:8" ht="15" customHeight="1" thickBot="1">
      <c r="B283" s="421"/>
      <c r="C283" s="422"/>
      <c r="D283" s="422"/>
      <c r="E283" s="422"/>
      <c r="F283" s="422"/>
      <c r="G283" s="423"/>
    </row>
    <row r="284" spans="2:8">
      <c r="B284" s="431" t="s">
        <v>8</v>
      </c>
      <c r="C284" s="432"/>
      <c r="D284" s="431" t="s">
        <v>9</v>
      </c>
      <c r="E284" s="433"/>
      <c r="F284" s="433"/>
      <c r="G284" s="432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>
        <v>9.9</v>
      </c>
      <c r="E286" s="138"/>
      <c r="F286" s="138"/>
      <c r="G286" s="16" t="s">
        <v>433</v>
      </c>
    </row>
    <row r="287" spans="2:8">
      <c r="B287" s="134"/>
      <c r="C287" s="16"/>
      <c r="D287" s="137">
        <v>9.65</v>
      </c>
      <c r="E287" s="138"/>
      <c r="F287" s="138"/>
      <c r="G287" s="16" t="s">
        <v>439</v>
      </c>
      <c r="H287" s="92"/>
    </row>
    <row r="288" spans="2:8">
      <c r="B288" s="134"/>
      <c r="C288" s="16"/>
      <c r="D288" s="137">
        <v>24.45</v>
      </c>
      <c r="E288" s="138"/>
      <c r="F288" s="138"/>
      <c r="G288" s="16" t="s">
        <v>448</v>
      </c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44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30" t="str">
        <f>AÑO!A35</f>
        <v>Salud</v>
      </c>
      <c r="C302" s="419"/>
      <c r="D302" s="419"/>
      <c r="E302" s="419"/>
      <c r="F302" s="419"/>
      <c r="G302" s="420"/>
    </row>
    <row r="303" spans="2:8" ht="15" customHeight="1" thickBot="1">
      <c r="B303" s="421"/>
      <c r="C303" s="422"/>
      <c r="D303" s="422"/>
      <c r="E303" s="422"/>
      <c r="F303" s="422"/>
      <c r="G303" s="423"/>
    </row>
    <row r="304" spans="2:8">
      <c r="B304" s="431" t="s">
        <v>8</v>
      </c>
      <c r="C304" s="432"/>
      <c r="D304" s="431" t="s">
        <v>9</v>
      </c>
      <c r="E304" s="433"/>
      <c r="F304" s="433"/>
      <c r="G304" s="432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115</v>
      </c>
      <c r="C306" s="19" t="s">
        <v>233</v>
      </c>
      <c r="D306" s="137">
        <f>37.5+37.5</f>
        <v>75</v>
      </c>
      <c r="E306" s="138"/>
      <c r="F306" s="138"/>
      <c r="G306" s="16" t="s">
        <v>463</v>
      </c>
    </row>
    <row r="307" spans="2:7">
      <c r="B307" s="134">
        <v>15</v>
      </c>
      <c r="C307" s="27"/>
      <c r="D307" s="137">
        <v>6.5</v>
      </c>
      <c r="E307" s="138"/>
      <c r="F307" s="138"/>
      <c r="G307" s="16" t="s">
        <v>442</v>
      </c>
    </row>
    <row r="308" spans="2:7">
      <c r="B308" s="134">
        <f>L55+L56+L57</f>
        <v>37.980000000000004</v>
      </c>
      <c r="C308" s="27" t="s">
        <v>467</v>
      </c>
      <c r="D308" s="137"/>
      <c r="E308" s="138"/>
      <c r="F308" s="138">
        <v>50</v>
      </c>
      <c r="G308" s="16" t="s">
        <v>449</v>
      </c>
    </row>
    <row r="309" spans="2:7">
      <c r="B309" s="134"/>
      <c r="C309" s="16"/>
      <c r="D309" s="137">
        <v>63.9</v>
      </c>
      <c r="E309" s="138"/>
      <c r="F309" s="138"/>
      <c r="G309" s="16" t="s">
        <v>469</v>
      </c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167.98000000000002</v>
      </c>
      <c r="C320" s="17" t="s">
        <v>53</v>
      </c>
      <c r="D320" s="135">
        <f>SUM(D306:D319)</f>
        <v>145.4</v>
      </c>
      <c r="E320" s="135">
        <f>SUM(E306:E319)</f>
        <v>0</v>
      </c>
      <c r="F320" s="135">
        <f>SUM(F306:F319)</f>
        <v>50</v>
      </c>
      <c r="G320" s="17" t="s">
        <v>53</v>
      </c>
    </row>
    <row r="321" spans="2:7" ht="15.75" thickBot="1"/>
    <row r="322" spans="2:7" ht="14.45" customHeight="1">
      <c r="B322" s="430" t="str">
        <f>AÑO!A36</f>
        <v>Nenas</v>
      </c>
      <c r="C322" s="436"/>
      <c r="D322" s="436"/>
      <c r="E322" s="436"/>
      <c r="F322" s="436"/>
      <c r="G322" s="437"/>
    </row>
    <row r="323" spans="2:7" ht="15" customHeight="1" thickBot="1">
      <c r="B323" s="438"/>
      <c r="C323" s="439"/>
      <c r="D323" s="439"/>
      <c r="E323" s="439"/>
      <c r="F323" s="439"/>
      <c r="G323" s="440"/>
    </row>
    <row r="324" spans="2:7">
      <c r="B324" s="431" t="s">
        <v>8</v>
      </c>
      <c r="C324" s="432"/>
      <c r="D324" s="431" t="s">
        <v>9</v>
      </c>
      <c r="E324" s="433"/>
      <c r="F324" s="433"/>
      <c r="G324" s="432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>
        <v>0.02</v>
      </c>
      <c r="C327" s="16" t="s">
        <v>60</v>
      </c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90.02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430" t="str">
        <f>AÑO!A37</f>
        <v>Impuestos</v>
      </c>
      <c r="C342" s="419"/>
      <c r="D342" s="419"/>
      <c r="E342" s="419"/>
      <c r="F342" s="419"/>
      <c r="G342" s="420"/>
    </row>
    <row r="343" spans="2:7" ht="15" customHeight="1" thickBot="1">
      <c r="B343" s="421"/>
      <c r="C343" s="422"/>
      <c r="D343" s="422"/>
      <c r="E343" s="422"/>
      <c r="F343" s="422"/>
      <c r="G343" s="423"/>
    </row>
    <row r="344" spans="2:7">
      <c r="B344" s="431" t="s">
        <v>8</v>
      </c>
      <c r="C344" s="432"/>
      <c r="D344" s="431" t="s">
        <v>9</v>
      </c>
      <c r="E344" s="433"/>
      <c r="F344" s="433"/>
      <c r="G344" s="432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199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430" t="str">
        <f>AÑO!A38</f>
        <v>Gastos Curros</v>
      </c>
      <c r="C362" s="419"/>
      <c r="D362" s="419"/>
      <c r="E362" s="419"/>
      <c r="F362" s="419"/>
      <c r="G362" s="420"/>
    </row>
    <row r="363" spans="2:7" ht="15" customHeight="1" thickBot="1">
      <c r="B363" s="421"/>
      <c r="C363" s="422"/>
      <c r="D363" s="422"/>
      <c r="E363" s="422"/>
      <c r="F363" s="422"/>
      <c r="G363" s="423"/>
    </row>
    <row r="364" spans="2:7">
      <c r="B364" s="431" t="s">
        <v>8</v>
      </c>
      <c r="C364" s="432"/>
      <c r="D364" s="431" t="s">
        <v>9</v>
      </c>
      <c r="E364" s="433"/>
      <c r="F364" s="433"/>
      <c r="G364" s="432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/>
      <c r="E366" s="138"/>
      <c r="F366" s="138">
        <f>3.4+4.45+4.7+2.8+4.45+4.5</f>
        <v>24.3</v>
      </c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24.3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30" t="str">
        <f>AÑO!A39</f>
        <v>Dreamed Holidays</v>
      </c>
      <c r="C382" s="436"/>
      <c r="D382" s="436"/>
      <c r="E382" s="436"/>
      <c r="F382" s="436"/>
      <c r="G382" s="437"/>
    </row>
    <row r="383" spans="2:7" ht="15" customHeight="1" thickBot="1">
      <c r="B383" s="438"/>
      <c r="C383" s="439"/>
      <c r="D383" s="439"/>
      <c r="E383" s="439"/>
      <c r="F383" s="439"/>
      <c r="G383" s="440"/>
    </row>
    <row r="384" spans="2:7">
      <c r="B384" s="431" t="s">
        <v>8</v>
      </c>
      <c r="C384" s="432"/>
      <c r="D384" s="431" t="s">
        <v>9</v>
      </c>
      <c r="E384" s="433"/>
      <c r="F384" s="433"/>
      <c r="G384" s="432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>
        <v>1230</v>
      </c>
      <c r="C387" s="18" t="s">
        <v>444</v>
      </c>
      <c r="D387" s="137"/>
      <c r="E387" s="138"/>
      <c r="F387" s="138"/>
      <c r="G387" s="16"/>
    </row>
    <row r="388" spans="2:7">
      <c r="B388" s="134">
        <v>106.26</v>
      </c>
      <c r="C388" s="27" t="s">
        <v>445</v>
      </c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1351.26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30" t="str">
        <f>AÑO!A40</f>
        <v>Financieros</v>
      </c>
      <c r="C402" s="419"/>
      <c r="D402" s="419"/>
      <c r="E402" s="419"/>
      <c r="F402" s="419"/>
      <c r="G402" s="420"/>
    </row>
    <row r="403" spans="2:7" ht="15" customHeight="1" thickBot="1">
      <c r="B403" s="421"/>
      <c r="C403" s="422"/>
      <c r="D403" s="422"/>
      <c r="E403" s="422"/>
      <c r="F403" s="422"/>
      <c r="G403" s="423"/>
    </row>
    <row r="404" spans="2:7">
      <c r="B404" s="431" t="s">
        <v>8</v>
      </c>
      <c r="C404" s="432"/>
      <c r="D404" s="431" t="s">
        <v>9</v>
      </c>
      <c r="E404" s="433"/>
      <c r="F404" s="433"/>
      <c r="G404" s="432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3.09</v>
      </c>
      <c r="E406" s="138"/>
      <c r="F406" s="138"/>
      <c r="G406" s="16" t="s">
        <v>426</v>
      </c>
    </row>
    <row r="407" spans="2:7">
      <c r="B407" s="134">
        <v>3.75</v>
      </c>
      <c r="C407" s="16" t="s">
        <v>425</v>
      </c>
      <c r="D407" s="137"/>
      <c r="E407" s="138">
        <f>10+10</f>
        <v>20</v>
      </c>
      <c r="F407" s="138"/>
      <c r="G407" s="16" t="s">
        <v>450</v>
      </c>
    </row>
    <row r="408" spans="2:7">
      <c r="B408" s="134">
        <v>984.2</v>
      </c>
      <c r="C408" s="18" t="s">
        <v>444</v>
      </c>
      <c r="D408" s="137"/>
      <c r="E408" s="138"/>
      <c r="F408" s="138"/>
      <c r="G408" s="16"/>
    </row>
    <row r="409" spans="2:7">
      <c r="B409" s="134">
        <v>85.02</v>
      </c>
      <c r="C409" s="27" t="s">
        <v>445</v>
      </c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1122.97</v>
      </c>
      <c r="C420" s="17" t="s">
        <v>53</v>
      </c>
      <c r="D420" s="135">
        <f>SUM(D406:D419)</f>
        <v>3.09</v>
      </c>
      <c r="E420" s="135">
        <f>SUM(E406:E419)</f>
        <v>20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30" t="str">
        <f>AÑO!A41</f>
        <v>Ahorros Colchón</v>
      </c>
      <c r="C422" s="436"/>
      <c r="D422" s="436"/>
      <c r="E422" s="436"/>
      <c r="F422" s="436"/>
      <c r="G422" s="437"/>
    </row>
    <row r="423" spans="1:7" ht="15" customHeight="1" thickBot="1">
      <c r="B423" s="438"/>
      <c r="C423" s="439"/>
      <c r="D423" s="439"/>
      <c r="E423" s="439"/>
      <c r="F423" s="439"/>
      <c r="G423" s="440"/>
    </row>
    <row r="424" spans="1:7">
      <c r="B424" s="431" t="s">
        <v>8</v>
      </c>
      <c r="C424" s="432"/>
      <c r="D424" s="431" t="s">
        <v>9</v>
      </c>
      <c r="E424" s="433"/>
      <c r="F424" s="433"/>
      <c r="G424" s="432"/>
    </row>
    <row r="425" spans="1:7">
      <c r="A425" s="113">
        <f>AÑO!O17</f>
        <v>4322.7000000000007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-176.09999999999854</v>
      </c>
      <c r="C426" s="19" t="s">
        <v>234</v>
      </c>
      <c r="D426" s="137"/>
      <c r="E426" s="138"/>
      <c r="F426" s="138"/>
      <c r="G426" s="16"/>
    </row>
    <row r="427" spans="1:7">
      <c r="A427" s="113">
        <v>3.75</v>
      </c>
      <c r="B427" s="134">
        <v>176.1</v>
      </c>
      <c r="C427" s="16" t="s">
        <v>468</v>
      </c>
      <c r="D427" s="137"/>
      <c r="E427" s="138"/>
      <c r="F427" s="138"/>
      <c r="G427" s="16"/>
    </row>
    <row r="428" spans="1:7">
      <c r="A428" s="113">
        <v>352.82</v>
      </c>
      <c r="B428" s="134"/>
      <c r="C428" s="16"/>
      <c r="D428" s="137"/>
      <c r="E428" s="138"/>
      <c r="F428" s="138"/>
      <c r="G428" s="16"/>
    </row>
    <row r="429" spans="1:7">
      <c r="A429" s="113">
        <v>0.02</v>
      </c>
      <c r="B429" s="134"/>
      <c r="C429" s="16"/>
      <c r="D429" s="137"/>
      <c r="E429" s="138"/>
      <c r="F429" s="138"/>
      <c r="G429" s="16"/>
    </row>
    <row r="430" spans="1:7">
      <c r="A430" s="113">
        <f>B308</f>
        <v>37.980000000000004</v>
      </c>
      <c r="B430" s="134"/>
      <c r="C430" s="16"/>
      <c r="D430" s="137"/>
      <c r="E430" s="138"/>
      <c r="F430" s="138"/>
      <c r="G430" s="16"/>
    </row>
    <row r="431" spans="1:7">
      <c r="A431" s="113">
        <v>204.23</v>
      </c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1.4495071809506044E-12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30" t="str">
        <f>AÑO!A42</f>
        <v>Dinero Bloqueado</v>
      </c>
      <c r="C442" s="436"/>
      <c r="D442" s="436"/>
      <c r="E442" s="436"/>
      <c r="F442" s="436"/>
      <c r="G442" s="437"/>
    </row>
    <row r="443" spans="2:7" ht="15" customHeight="1" thickBot="1">
      <c r="B443" s="438"/>
      <c r="C443" s="439"/>
      <c r="D443" s="439"/>
      <c r="E443" s="439"/>
      <c r="F443" s="439"/>
      <c r="G443" s="440"/>
    </row>
    <row r="444" spans="2:7">
      <c r="B444" s="431" t="s">
        <v>8</v>
      </c>
      <c r="C444" s="432"/>
      <c r="D444" s="433" t="s">
        <v>9</v>
      </c>
      <c r="E444" s="433"/>
      <c r="F444" s="433"/>
      <c r="G444" s="432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>
        <v>-4084.2</v>
      </c>
      <c r="C446" s="19" t="s">
        <v>444</v>
      </c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-4084.2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30" t="str">
        <f>AÑO!A43</f>
        <v>Cartama Finanazas</v>
      </c>
      <c r="C462" s="436"/>
      <c r="D462" s="436"/>
      <c r="E462" s="436"/>
      <c r="F462" s="436"/>
      <c r="G462" s="437"/>
    </row>
    <row r="463" spans="2:7" ht="15" customHeight="1" thickBot="1">
      <c r="B463" s="438"/>
      <c r="C463" s="439"/>
      <c r="D463" s="439"/>
      <c r="E463" s="439"/>
      <c r="F463" s="439"/>
      <c r="G463" s="440"/>
    </row>
    <row r="464" spans="2:7">
      <c r="B464" s="431" t="s">
        <v>8</v>
      </c>
      <c r="C464" s="432"/>
      <c r="D464" s="433" t="s">
        <v>9</v>
      </c>
      <c r="E464" s="433"/>
      <c r="F464" s="433"/>
      <c r="G464" s="432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'03'!A466+(B466+B469-SUM(D466:F466))</f>
        <v>550</v>
      </c>
      <c r="B466" s="134">
        <v>0</v>
      </c>
      <c r="C466" s="16" t="s">
        <v>348</v>
      </c>
      <c r="D466" s="137"/>
      <c r="E466" s="138"/>
      <c r="F466" s="138"/>
      <c r="G466" s="16"/>
    </row>
    <row r="467" spans="1:7" ht="15.75">
      <c r="A467" s="112">
        <f>'03'!A467+(B467-SUM(D467:F467))</f>
        <v>275.22999999999996</v>
      </c>
      <c r="B467" s="134">
        <v>50</v>
      </c>
      <c r="C467" s="16" t="s">
        <v>454</v>
      </c>
      <c r="D467" s="137"/>
      <c r="E467" s="138"/>
      <c r="F467" s="138"/>
      <c r="G467" s="16"/>
    </row>
    <row r="468" spans="1:7" ht="15.75">
      <c r="A468" s="112">
        <f>'03'!A468+(B468+B470-SUM(D468:F468))</f>
        <v>143.4</v>
      </c>
      <c r="B468" s="134">
        <f>15+15</f>
        <v>30</v>
      </c>
      <c r="C468" s="16" t="s">
        <v>186</v>
      </c>
      <c r="D468" s="137"/>
      <c r="E468" s="138"/>
      <c r="F468" s="138"/>
      <c r="G468" s="16"/>
    </row>
    <row r="469" spans="1:7">
      <c r="B469" s="134">
        <v>500</v>
      </c>
      <c r="C469" s="18" t="s">
        <v>444</v>
      </c>
      <c r="D469" s="137"/>
      <c r="E469" s="138"/>
      <c r="F469" s="138"/>
      <c r="G469" s="16"/>
    </row>
    <row r="470" spans="1:7">
      <c r="B470" s="134">
        <v>43.19</v>
      </c>
      <c r="C470" s="27" t="s">
        <v>445</v>
      </c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968.63</v>
      </c>
      <c r="B480" s="135">
        <f>SUM(B466:B479)</f>
        <v>623.19000000000005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30" t="str">
        <f>AÑO!A44</f>
        <v>NULO</v>
      </c>
      <c r="C482" s="436"/>
      <c r="D482" s="436"/>
      <c r="E482" s="436"/>
      <c r="F482" s="436"/>
      <c r="G482" s="437"/>
    </row>
    <row r="483" spans="2:7" ht="15" customHeight="1" thickBot="1">
      <c r="B483" s="438"/>
      <c r="C483" s="439"/>
      <c r="D483" s="439"/>
      <c r="E483" s="439"/>
      <c r="F483" s="439"/>
      <c r="G483" s="440"/>
    </row>
    <row r="484" spans="2:7">
      <c r="B484" s="431" t="s">
        <v>8</v>
      </c>
      <c r="C484" s="432"/>
      <c r="D484" s="433" t="s">
        <v>9</v>
      </c>
      <c r="E484" s="433"/>
      <c r="F484" s="433"/>
      <c r="G484" s="432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30" t="str">
        <f>AÑO!A45</f>
        <v>OTROS</v>
      </c>
      <c r="C502" s="436"/>
      <c r="D502" s="436"/>
      <c r="E502" s="436"/>
      <c r="F502" s="436"/>
      <c r="G502" s="437"/>
    </row>
    <row r="503" spans="2:7" ht="15" customHeight="1" thickBot="1">
      <c r="B503" s="438"/>
      <c r="C503" s="439"/>
      <c r="D503" s="439"/>
      <c r="E503" s="439"/>
      <c r="F503" s="439"/>
      <c r="G503" s="440"/>
    </row>
    <row r="504" spans="2:7">
      <c r="B504" s="431" t="s">
        <v>8</v>
      </c>
      <c r="C504" s="432"/>
      <c r="D504" s="431" t="s">
        <v>9</v>
      </c>
      <c r="E504" s="433"/>
      <c r="F504" s="433"/>
      <c r="G504" s="432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" location="Trimestre!C39:F40" display="TELÉFONO" xr:uid="{44B0EF4E-CDA6-4072-B19D-0D0D50A79FA8}"/>
    <hyperlink ref="I2:L3" location="AÑO!O4:R5" display="SALDO REAL" xr:uid="{FDEBDC15-9A85-4C35-9E51-153769F630A4}"/>
    <hyperlink ref="B2" location="Trimestre!C25:F26" display="HIPOTECA" xr:uid="{D5F80744-3D87-4F3C-8A03-0B734ED81551}"/>
    <hyperlink ref="B2:G3" location="AÑO!O20:R20" display="AÑO!O20:R20" xr:uid="{59D7F244-5CCA-4427-8651-0A1B275F694E}"/>
    <hyperlink ref="I22" location="Trimestre!C39:F40" display="TELÉFONO" xr:uid="{53FAA395-FDDD-4B48-859B-2863C0B4377F}"/>
    <hyperlink ref="I22:L23" location="AÑO!O7:R17" display="INGRESOS" xr:uid="{429CFE6D-6AB3-494E-85F1-33F7BD628F71}"/>
    <hyperlink ref="B22" location="Trimestre!C25:F26" display="HIPOTECA" xr:uid="{5633A202-D7F2-46B7-A489-B7E67F370F58}"/>
    <hyperlink ref="B22:G23" location="AÑO!O21:R21" display="AÑO!O21:R21" xr:uid="{C6C30D59-3DB8-440D-927D-6970D684DF2A}"/>
    <hyperlink ref="B42" location="Trimestre!C25:F26" display="HIPOTECA" xr:uid="{BF3802A4-7C7B-434C-9AB0-4C1188079EA9}"/>
    <hyperlink ref="B42:G43" location="AÑO!O22:R22" display="AÑO!O22:R22" xr:uid="{E90CA672-6360-49C5-86B0-F81B0DA5F4C0}"/>
    <hyperlink ref="B62" location="Trimestre!C25:F26" display="HIPOTECA" xr:uid="{89346B30-B033-448D-BE9D-E76C27541125}"/>
    <hyperlink ref="B62:G63" location="AÑO!O23:R23" display="AÑO!O23:R23" xr:uid="{C871088A-FC6E-4857-97EC-5CD070BEB988}"/>
    <hyperlink ref="B82" location="Trimestre!C25:F26" display="HIPOTECA" xr:uid="{A62F0B3C-65A9-45F0-8509-703AB2A2DECF}"/>
    <hyperlink ref="B82:G83" location="AÑO!O24:R24" display="AÑO!O24:R24" xr:uid="{D0901DC4-4F48-4977-AB13-81C49B227206}"/>
    <hyperlink ref="B102" location="Trimestre!C25:F26" display="HIPOTECA" xr:uid="{EFAC83BF-4F05-4156-919B-B8D5BAEE9DCC}"/>
    <hyperlink ref="B102:G103" location="AÑO!O25:R25" display="AÑO!O25:R25" xr:uid="{37FB124F-B7DB-4F33-9888-A19E144019BF}"/>
    <hyperlink ref="B122" location="Trimestre!C25:F26" display="HIPOTECA" xr:uid="{52CF60A6-A5EF-48B9-A897-7EC51A59F09B}"/>
    <hyperlink ref="B122:G123" location="AÑO!O26:R26" display="AÑO!O26:R26" xr:uid="{000792E3-2BB0-4513-AB03-B04505D00B10}"/>
    <hyperlink ref="B142" location="Trimestre!C25:F26" display="HIPOTECA" xr:uid="{EE14B5AC-71DF-4FDA-A379-27A75A7B810E}"/>
    <hyperlink ref="B142:G143" location="AÑO!O27:R27" display="AÑO!O27:R27" xr:uid="{AF3ED0C3-B136-4C03-94B7-99C4E4341C3D}"/>
    <hyperlink ref="B162" location="Trimestre!C25:F26" display="HIPOTECA" xr:uid="{78A47A88-562B-40EE-9527-3221B700E94F}"/>
    <hyperlink ref="B162:G163" location="AÑO!O28:R28" display="AÑO!O28:R28" xr:uid="{2916D287-5990-4D96-BDF4-D981B95F8DD5}"/>
    <hyperlink ref="B182" location="Trimestre!C25:F26" display="HIPOTECA" xr:uid="{DAE1186B-8E2E-4231-AABF-FF850E554AFF}"/>
    <hyperlink ref="B182:G183" location="AÑO!O29:R29" display="AÑO!O29:R29" xr:uid="{5A7B46C1-27E0-40FA-990E-666E8286DA59}"/>
    <hyperlink ref="B202" location="Trimestre!C25:F26" display="HIPOTECA" xr:uid="{A2611894-DEFE-40BA-BCD1-75564B4BABFF}"/>
    <hyperlink ref="B202:G203" location="AÑO!O30:R30" display="AÑO!O30:R30" xr:uid="{754454E5-B507-4431-893C-4810509E7092}"/>
    <hyperlink ref="B222" location="Trimestre!C25:F26" display="HIPOTECA" xr:uid="{857A253E-2F9E-47E6-95BC-85CDAB223DD4}"/>
    <hyperlink ref="B222:G223" location="AÑO!O31:R31" display="AÑO!O31:R31" xr:uid="{8EBD7753-731F-4EDD-AA22-130B8EBAEBD3}"/>
    <hyperlink ref="B242" location="Trimestre!C25:F26" display="HIPOTECA" xr:uid="{E95226DC-B8FA-4FC5-83A5-366E0353B240}"/>
    <hyperlink ref="B242:G243" location="AÑO!O32:R32" display="AÑO!O32:R32" xr:uid="{FC91C480-4AA8-4FDA-8E46-647118B40834}"/>
    <hyperlink ref="B262" location="Trimestre!C25:F26" display="HIPOTECA" xr:uid="{F27C4A5B-4DBD-48B2-B661-E92B7750F1F3}"/>
    <hyperlink ref="B262:G263" location="AÑO!O33:R33" display="AÑO!O33:R33" xr:uid="{C90D6F52-C45D-4670-8ACD-1298EA741B5A}"/>
    <hyperlink ref="B282" location="Trimestre!C25:F26" display="HIPOTECA" xr:uid="{E6485DD3-805A-4123-A9D9-B44B23612A49}"/>
    <hyperlink ref="B282:G283" location="AÑO!O34:R34" display="AÑO!O34:R34" xr:uid="{3ACC60EA-3C6F-4B5B-822F-A88EBA74AA0A}"/>
    <hyperlink ref="B302" location="Trimestre!C25:F26" display="HIPOTECA" xr:uid="{993262DE-7874-40FB-B7F8-FB370217818E}"/>
    <hyperlink ref="B302:G303" location="AÑO!O35:R35" display="AÑO!O35:R35" xr:uid="{972C0BFB-EF59-4B29-BCBC-7CAB9C48A629}"/>
    <hyperlink ref="B322" location="Trimestre!C25:F26" display="HIPOTECA" xr:uid="{19097D5F-F82A-4256-B7D9-C7B659A49769}"/>
    <hyperlink ref="B322:G323" location="AÑO!O36:R36" display="AÑO!O36:R36" xr:uid="{6CD31B9B-DE52-4694-B662-0B3701AD146C}"/>
    <hyperlink ref="B342" location="Trimestre!C25:F26" display="HIPOTECA" xr:uid="{92C2B37B-6935-4D4A-A43C-BA06AAFB6641}"/>
    <hyperlink ref="B342:G343" location="AÑO!O37:R37" display="AÑO!O37:R37" xr:uid="{EAC8DD4B-8083-4118-B835-A2C90EB33208}"/>
    <hyperlink ref="B362" location="Trimestre!C25:F26" display="HIPOTECA" xr:uid="{B71CD5E6-4518-4622-97D3-F8A92814B046}"/>
    <hyperlink ref="B362:G363" location="AÑO!O38:R38" display="AÑO!O38:R38" xr:uid="{61EC5322-7F64-45F5-978D-732DB1F83943}"/>
    <hyperlink ref="B382" location="Trimestre!C25:F26" display="HIPOTECA" xr:uid="{1056737B-6061-46B1-A2D1-F5CECF51EAF8}"/>
    <hyperlink ref="B382:G383" location="AÑO!O39:R39" display="AÑO!O39:R39" xr:uid="{35522922-BCAA-4597-8299-A4841F9CC5E4}"/>
    <hyperlink ref="B402" location="Trimestre!C25:F26" display="HIPOTECA" xr:uid="{EE0677DB-5491-49C4-B97E-CC206E73A013}"/>
    <hyperlink ref="B402:G403" location="AÑO!O40:R40" display="AÑO!O40:R40" xr:uid="{F93EC8BC-59D2-4B2C-88B8-A748790BA545}"/>
    <hyperlink ref="B422" location="Trimestre!C25:F26" display="HIPOTECA" xr:uid="{6FC0283C-2EC6-4BA0-8C86-74F7322E0238}"/>
    <hyperlink ref="B422:G423" location="AÑO!O41:R41" display="AÑO!O41:R41" xr:uid="{687E759A-B34D-4B5A-B709-96F1BBF032C8}"/>
    <hyperlink ref="B442" location="Trimestre!C25:F26" display="HIPOTECA" xr:uid="{B7CC8684-2024-4A71-A683-48C63410212E}"/>
    <hyperlink ref="B442:G443" location="AÑO!O42:R42" display="AÑO!O42:R42" xr:uid="{91F5E2E1-C1CB-4063-A23E-E5E6FBE0FA9C}"/>
    <hyperlink ref="B462" location="Trimestre!C25:F26" display="HIPOTECA" xr:uid="{8BC14257-4E93-4266-8A6F-9C9AD94A268B}"/>
    <hyperlink ref="B462:G463" location="AÑO!O43:R43" display="AÑO!O43:R43" xr:uid="{9A9F106A-F1F5-499D-BB1E-05038086B253}"/>
    <hyperlink ref="B482" location="Trimestre!C25:F26" display="HIPOTECA" xr:uid="{0238B1D4-DF20-4009-92C3-B93E035B865C}"/>
    <hyperlink ref="B482:G483" location="AÑO!O44:R44" display="AÑO!O44:R44" xr:uid="{87A30D55-8252-4329-9F9F-0CFAA3B8E831}"/>
    <hyperlink ref="B502" location="Trimestre!C25:F26" display="HIPOTECA" xr:uid="{2311723A-4B09-40AE-85DC-A7780DA35239}"/>
    <hyperlink ref="B502:G503" location="AÑO!O45:R45" display="AÑO!O45:R45" xr:uid="{22B382B5-862E-4BCC-B47D-ADD75900A821}"/>
  </hyperlink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520"/>
  <sheetViews>
    <sheetView topLeftCell="A242" workbookViewId="0">
      <selection activeCell="B242" sqref="B242:G243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224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30" t="str">
        <f>AÑO!A20</f>
        <v>Cártama Gastos</v>
      </c>
      <c r="C2" s="419"/>
      <c r="D2" s="419"/>
      <c r="E2" s="419"/>
      <c r="F2" s="419"/>
      <c r="G2" s="420"/>
      <c r="H2" s="222"/>
      <c r="I2" s="418" t="s">
        <v>4</v>
      </c>
      <c r="J2" s="419"/>
      <c r="K2" s="419"/>
      <c r="L2" s="420"/>
      <c r="M2" s="1"/>
      <c r="N2" s="1"/>
      <c r="R2" s="3"/>
    </row>
    <row r="3" spans="1:22" ht="16.5" thickBot="1">
      <c r="A3" s="1"/>
      <c r="B3" s="421"/>
      <c r="C3" s="422"/>
      <c r="D3" s="422"/>
      <c r="E3" s="422"/>
      <c r="F3" s="422"/>
      <c r="G3" s="423"/>
      <c r="H3" s="1"/>
      <c r="I3" s="421"/>
      <c r="J3" s="422"/>
      <c r="K3" s="422"/>
      <c r="L3" s="423"/>
      <c r="M3" s="1"/>
      <c r="N3" s="1"/>
      <c r="R3" s="3"/>
    </row>
    <row r="4" spans="1:22" ht="15.75">
      <c r="A4" s="1"/>
      <c r="B4" s="431" t="s">
        <v>8</v>
      </c>
      <c r="C4" s="432"/>
      <c r="D4" s="431" t="s">
        <v>9</v>
      </c>
      <c r="E4" s="433"/>
      <c r="F4" s="433"/>
      <c r="G4" s="432"/>
      <c r="H4" s="222"/>
      <c r="I4" s="40" t="s">
        <v>57</v>
      </c>
      <c r="J4" s="105" t="s">
        <v>58</v>
      </c>
      <c r="K4" s="424" t="s">
        <v>59</v>
      </c>
      <c r="L4" s="425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26">
        <v>1773.93</v>
      </c>
      <c r="L5" s="427"/>
      <c r="M5" s="1"/>
      <c r="N5" s="1"/>
      <c r="R5" s="3"/>
    </row>
    <row r="6" spans="1:22" ht="15.75">
      <c r="A6" s="112">
        <f>'04'!A6+(B6-SUM(D6:F6))</f>
        <v>6</v>
      </c>
      <c r="B6" s="133">
        <v>403.08</v>
      </c>
      <c r="C6" s="19" t="s">
        <v>377</v>
      </c>
      <c r="D6" s="137"/>
      <c r="E6" s="138">
        <v>403.08</v>
      </c>
      <c r="F6" s="138"/>
      <c r="G6" s="16" t="s">
        <v>32</v>
      </c>
      <c r="H6" s="1"/>
      <c r="I6" s="108" t="s">
        <v>60</v>
      </c>
      <c r="J6" s="107" t="s">
        <v>62</v>
      </c>
      <c r="K6" s="428">
        <v>620.1</v>
      </c>
      <c r="L6" s="429"/>
      <c r="M6" s="1" t="s">
        <v>165</v>
      </c>
      <c r="N6" s="1"/>
      <c r="R6" s="3"/>
    </row>
    <row r="7" spans="1:22" ht="15.75">
      <c r="A7" s="112">
        <f>'04'!A7+(B7-SUM(D7:F7))</f>
        <v>35.669999999999959</v>
      </c>
      <c r="B7" s="134">
        <v>67.19</v>
      </c>
      <c r="C7" s="16" t="s">
        <v>401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28">
        <v>7144.52</v>
      </c>
      <c r="L7" s="429"/>
      <c r="M7" s="1"/>
      <c r="N7" s="1"/>
      <c r="R7" s="3"/>
    </row>
    <row r="8" spans="1:22" ht="15.75">
      <c r="A8" s="112">
        <f>'04'!A8+(B8-SUM(D8:F8))</f>
        <v>0</v>
      </c>
      <c r="B8" s="134">
        <v>102.44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28">
        <v>10005.620000000001</v>
      </c>
      <c r="L8" s="429"/>
      <c r="M8" s="1"/>
      <c r="N8" s="1"/>
      <c r="R8" s="3"/>
    </row>
    <row r="9" spans="1:22" ht="15.75">
      <c r="A9" s="112">
        <f>'04'!A9+(B9-SUM(D9:F9))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/>
      <c r="I9" s="108" t="s">
        <v>63</v>
      </c>
      <c r="J9" s="107" t="s">
        <v>157</v>
      </c>
      <c r="K9" s="428">
        <v>514.82000000000005</v>
      </c>
      <c r="L9" s="429"/>
      <c r="M9" s="1"/>
      <c r="N9" s="1"/>
      <c r="R9" s="3"/>
    </row>
    <row r="10" spans="1:22" ht="15.75">
      <c r="A10" s="112">
        <f>'04'!A10+(B10-SUM(D10:F10))</f>
        <v>12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28">
        <v>1802.02</v>
      </c>
      <c r="L10" s="429"/>
      <c r="M10" s="1" t="s">
        <v>156</v>
      </c>
      <c r="N10" s="1"/>
      <c r="R10" s="3"/>
    </row>
    <row r="11" spans="1:22" ht="15.75">
      <c r="A11" s="112">
        <f>'04'!A11+(B11-SUM(D11:F11))</f>
        <v>-2.9999999999994031E-2</v>
      </c>
      <c r="B11" s="134">
        <v>30.23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428">
        <f>210</f>
        <v>210</v>
      </c>
      <c r="L11" s="429"/>
      <c r="M11" s="1"/>
      <c r="N11" s="1"/>
      <c r="R11" s="3"/>
    </row>
    <row r="12" spans="1:22" ht="15.75">
      <c r="A12" s="112">
        <f>'04'!A12+(B12-SUM(D12:F12))</f>
        <v>163.04000000000002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28">
        <v>5092.08</v>
      </c>
      <c r="L12" s="429"/>
      <c r="M12" s="92"/>
      <c r="N12" s="1"/>
      <c r="R12" s="3"/>
    </row>
    <row r="13" spans="1:22" ht="15.75">
      <c r="A13" s="112">
        <f>'04'!A13+(B13-SUM(D13:F13))</f>
        <v>18</v>
      </c>
      <c r="B13" s="134">
        <v>6.5</v>
      </c>
      <c r="C13" s="16" t="s">
        <v>326</v>
      </c>
      <c r="D13" s="137"/>
      <c r="E13" s="138"/>
      <c r="F13" s="138"/>
      <c r="G13" s="16"/>
      <c r="H13" s="1"/>
      <c r="I13" s="108"/>
      <c r="J13" s="107"/>
      <c r="K13" s="428"/>
      <c r="L13" s="429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8"/>
      <c r="L14" s="429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8"/>
      <c r="L15" s="429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8"/>
      <c r="L16" s="429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8"/>
      <c r="L17" s="429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4"/>
      <c r="L18" s="435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43">
        <f>SUM(K5:K18)</f>
        <v>27163.090000000004</v>
      </c>
      <c r="L19" s="444"/>
      <c r="M19" s="1"/>
      <c r="N19" s="1"/>
      <c r="R19" s="3"/>
    </row>
    <row r="20" spans="1:18" ht="16.5" thickBot="1">
      <c r="A20" s="112">
        <f>SUM(A6:A15)</f>
        <v>234.67999999999998</v>
      </c>
      <c r="B20" s="135">
        <f>SUM(B6:B19)</f>
        <v>646.44000000000005</v>
      </c>
      <c r="C20" s="17" t="s">
        <v>53</v>
      </c>
      <c r="D20" s="135">
        <f>SUM(D6:D19)</f>
        <v>0</v>
      </c>
      <c r="E20" s="135">
        <f>SUM(E6:E19)</f>
        <v>445.32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20268.990000000005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30" t="str">
        <f>AÑO!A21</f>
        <v>Waterloo</v>
      </c>
      <c r="C22" s="419"/>
      <c r="D22" s="419"/>
      <c r="E22" s="419"/>
      <c r="F22" s="419"/>
      <c r="G22" s="420"/>
      <c r="H22" s="1"/>
      <c r="I22" s="418" t="s">
        <v>6</v>
      </c>
      <c r="J22" s="419"/>
      <c r="K22" s="419"/>
      <c r="L22" s="420"/>
      <c r="M22" s="1"/>
      <c r="R22" s="3"/>
    </row>
    <row r="23" spans="1:18" ht="16.149999999999999" customHeight="1" thickBot="1">
      <c r="A23" s="1"/>
      <c r="B23" s="421"/>
      <c r="C23" s="422"/>
      <c r="D23" s="422"/>
      <c r="E23" s="422"/>
      <c r="F23" s="422"/>
      <c r="G23" s="423"/>
      <c r="H23" s="1"/>
      <c r="I23" s="421"/>
      <c r="J23" s="422"/>
      <c r="K23" s="422"/>
      <c r="L23" s="423"/>
      <c r="M23" s="1"/>
      <c r="R23" s="3"/>
    </row>
    <row r="24" spans="1:18" ht="15.75">
      <c r="A24" s="1"/>
      <c r="B24" s="431" t="s">
        <v>8</v>
      </c>
      <c r="C24" s="432"/>
      <c r="D24" s="431" t="s">
        <v>9</v>
      </c>
      <c r="E24" s="433"/>
      <c r="F24" s="433"/>
      <c r="G24" s="432"/>
      <c r="H24" s="1"/>
      <c r="I24" s="40" t="s">
        <v>31</v>
      </c>
      <c r="J24" s="403" t="s">
        <v>87</v>
      </c>
      <c r="K24" s="404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05" t="str">
        <f>AÑO!A8</f>
        <v>Manolo Salario</v>
      </c>
      <c r="J25" s="408" t="s">
        <v>402</v>
      </c>
      <c r="K25" s="409"/>
      <c r="L25" s="231">
        <v>4448.8500000000004</v>
      </c>
      <c r="M25" s="1"/>
      <c r="R25" s="3"/>
    </row>
    <row r="26" spans="1:18" ht="15.75">
      <c r="A26" s="112">
        <f>'04'!A26+(B26-SUM(D26:F26))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06"/>
      <c r="J26" s="410"/>
      <c r="K26" s="411"/>
      <c r="L26" s="229"/>
      <c r="M26" s="1"/>
      <c r="R26" s="3"/>
    </row>
    <row r="27" spans="1:18" ht="15.75">
      <c r="A27" s="112">
        <f>'04'!A27+(B27-SUM(D27:F27))</f>
        <v>26.019999999999982</v>
      </c>
      <c r="B27" s="134">
        <v>190</v>
      </c>
      <c r="C27" s="27" t="s">
        <v>40</v>
      </c>
      <c r="D27" s="137">
        <v>185.99</v>
      </c>
      <c r="E27" s="138"/>
      <c r="F27" s="138"/>
      <c r="G27" s="16" t="s">
        <v>40</v>
      </c>
      <c r="H27" s="1"/>
      <c r="I27" s="406"/>
      <c r="J27" s="410"/>
      <c r="K27" s="411"/>
      <c r="L27" s="229"/>
      <c r="M27" s="1"/>
      <c r="R27" s="3"/>
    </row>
    <row r="28" spans="1:18" ht="15.75">
      <c r="A28" s="112">
        <f>'04'!A28+(B28-SUM(D28:F28))</f>
        <v>78.300000000000011</v>
      </c>
      <c r="B28" s="134">
        <v>40</v>
      </c>
      <c r="C28" s="27" t="s">
        <v>41</v>
      </c>
      <c r="D28" s="137">
        <v>167.82</v>
      </c>
      <c r="E28" s="138"/>
      <c r="F28" s="138"/>
      <c r="G28" s="16" t="s">
        <v>41</v>
      </c>
      <c r="H28" s="1"/>
      <c r="I28" s="406"/>
      <c r="J28" s="410"/>
      <c r="K28" s="411"/>
      <c r="L28" s="229"/>
      <c r="M28" s="1"/>
      <c r="R28" s="3"/>
    </row>
    <row r="29" spans="1:18" ht="15.75">
      <c r="A29" s="112">
        <f>'04'!A29+(B29-SUM(D29:F29))</f>
        <v>1.4300000000000033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14"/>
      <c r="J29" s="415"/>
      <c r="K29" s="416"/>
      <c r="L29" s="230"/>
      <c r="M29" s="1"/>
      <c r="R29" s="3"/>
    </row>
    <row r="30" spans="1:18" ht="15.75" customHeight="1">
      <c r="A30" s="112">
        <f>'04'!A30+(B30-SUM(D30:F30))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05" t="str">
        <f>AÑO!A9</f>
        <v>Rocío Salario</v>
      </c>
      <c r="J30" s="408" t="s">
        <v>431</v>
      </c>
      <c r="K30" s="409"/>
      <c r="L30" s="231">
        <v>358.14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6"/>
      <c r="J31" s="410" t="s">
        <v>363</v>
      </c>
      <c r="K31" s="411"/>
      <c r="L31" s="229">
        <v>40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6"/>
      <c r="J32" s="410" t="s">
        <v>328</v>
      </c>
      <c r="K32" s="411"/>
      <c r="L32" s="229">
        <v>180.03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6"/>
      <c r="J33" s="410"/>
      <c r="K33" s="411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4"/>
      <c r="J34" s="415"/>
      <c r="K34" s="416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5" t="s">
        <v>218</v>
      </c>
      <c r="J35" s="408"/>
      <c r="K35" s="409"/>
      <c r="L35" s="231">
        <v>119.85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6"/>
      <c r="J36" s="410"/>
      <c r="K36" s="411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6"/>
      <c r="J37" s="410"/>
      <c r="K37" s="411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6"/>
      <c r="J38" s="410"/>
      <c r="K38" s="411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4"/>
      <c r="J39" s="415"/>
      <c r="K39" s="416"/>
      <c r="L39" s="230"/>
      <c r="M39" s="1"/>
      <c r="R39" s="3"/>
    </row>
    <row r="40" spans="1:18" ht="16.5" thickBot="1">
      <c r="A40" s="112">
        <f>SUM(A26:A35)</f>
        <v>292.02999999999997</v>
      </c>
      <c r="B40" s="135">
        <f>SUM(B26:B39)</f>
        <v>1148</v>
      </c>
      <c r="C40" s="17" t="s">
        <v>53</v>
      </c>
      <c r="D40" s="135">
        <f>SUM(D26:D39)</f>
        <v>1271.76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05" t="str">
        <f>AÑO!A11</f>
        <v>Finanazas</v>
      </c>
      <c r="J40" s="408" t="s">
        <v>473</v>
      </c>
      <c r="K40" s="409"/>
      <c r="L40" s="231">
        <v>45.86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6"/>
      <c r="J41" s="410"/>
      <c r="K41" s="411"/>
      <c r="L41" s="229"/>
      <c r="M41" s="1"/>
      <c r="R41" s="3"/>
    </row>
    <row r="42" spans="1:18" ht="15.6" customHeight="1">
      <c r="A42" s="1"/>
      <c r="B42" s="430" t="str">
        <f>AÑO!A22</f>
        <v>Comida+Limpieza</v>
      </c>
      <c r="C42" s="419"/>
      <c r="D42" s="419"/>
      <c r="E42" s="419"/>
      <c r="F42" s="419"/>
      <c r="G42" s="420"/>
      <c r="H42" s="1"/>
      <c r="I42" s="406"/>
      <c r="J42" s="410"/>
      <c r="K42" s="411"/>
      <c r="L42" s="229"/>
      <c r="M42" s="1"/>
      <c r="R42" s="3"/>
    </row>
    <row r="43" spans="1:18" ht="16.149999999999999" customHeight="1" thickBot="1">
      <c r="A43" s="1"/>
      <c r="B43" s="421"/>
      <c r="C43" s="422"/>
      <c r="D43" s="422"/>
      <c r="E43" s="422"/>
      <c r="F43" s="422"/>
      <c r="G43" s="423"/>
      <c r="H43" s="1"/>
      <c r="I43" s="406"/>
      <c r="J43" s="410"/>
      <c r="K43" s="411"/>
      <c r="L43" s="229"/>
      <c r="M43" s="1"/>
      <c r="R43" s="3"/>
    </row>
    <row r="44" spans="1:18" ht="15.75">
      <c r="A44" s="1"/>
      <c r="B44" s="431" t="s">
        <v>8</v>
      </c>
      <c r="C44" s="432"/>
      <c r="D44" s="431" t="s">
        <v>9</v>
      </c>
      <c r="E44" s="433"/>
      <c r="F44" s="433"/>
      <c r="G44" s="432"/>
      <c r="H44" s="1"/>
      <c r="I44" s="414"/>
      <c r="J44" s="415"/>
      <c r="K44" s="416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05" t="str">
        <f>AÑO!A12</f>
        <v>Regalos</v>
      </c>
      <c r="J45" s="408"/>
      <c r="K45" s="409"/>
      <c r="L45" s="231"/>
      <c r="M45" s="1"/>
      <c r="R45" s="3"/>
    </row>
    <row r="46" spans="1:18" ht="15.75">
      <c r="A46" s="112"/>
      <c r="B46" s="133">
        <v>293.2</v>
      </c>
      <c r="C46" s="19"/>
      <c r="D46" s="137">
        <v>11.89</v>
      </c>
      <c r="E46" s="138"/>
      <c r="F46" s="138"/>
      <c r="G46" s="30" t="s">
        <v>472</v>
      </c>
      <c r="H46" s="1"/>
      <c r="I46" s="406"/>
      <c r="J46" s="410"/>
      <c r="K46" s="411"/>
      <c r="L46" s="229"/>
      <c r="M46" s="1"/>
      <c r="R46" s="3"/>
    </row>
    <row r="47" spans="1:18" ht="15.75">
      <c r="A47" s="1"/>
      <c r="B47" s="134">
        <v>6.8</v>
      </c>
      <c r="C47" s="16" t="s">
        <v>78</v>
      </c>
      <c r="D47" s="137">
        <f>70.78-D146</f>
        <v>11.780000000000001</v>
      </c>
      <c r="E47" s="138"/>
      <c r="F47" s="138"/>
      <c r="G47" s="16" t="s">
        <v>475</v>
      </c>
      <c r="H47" s="1"/>
      <c r="I47" s="406"/>
      <c r="J47" s="410"/>
      <c r="K47" s="411"/>
      <c r="L47" s="229"/>
      <c r="M47" s="1"/>
      <c r="R47" s="3"/>
    </row>
    <row r="48" spans="1:18" ht="15.75">
      <c r="A48" s="1"/>
      <c r="B48" s="134"/>
      <c r="C48" s="16" t="s">
        <v>458</v>
      </c>
      <c r="D48" s="137">
        <v>27.34</v>
      </c>
      <c r="E48" s="138"/>
      <c r="F48" s="138"/>
      <c r="G48" s="16" t="s">
        <v>482</v>
      </c>
      <c r="H48" s="1"/>
      <c r="I48" s="406"/>
      <c r="J48" s="410"/>
      <c r="K48" s="411"/>
      <c r="L48" s="229"/>
      <c r="M48" s="1"/>
      <c r="R48" s="3"/>
    </row>
    <row r="49" spans="1:18" ht="15.75">
      <c r="A49" s="1"/>
      <c r="B49" s="134"/>
      <c r="C49" s="16"/>
      <c r="D49" s="137">
        <v>33.07</v>
      </c>
      <c r="E49" s="138"/>
      <c r="F49" s="138"/>
      <c r="G49" s="16" t="s">
        <v>483</v>
      </c>
      <c r="H49" s="1"/>
      <c r="I49" s="414"/>
      <c r="J49" s="415"/>
      <c r="K49" s="416"/>
      <c r="L49" s="230"/>
      <c r="M49" s="1"/>
      <c r="R49" s="3"/>
    </row>
    <row r="50" spans="1:18" ht="15.75" customHeight="1">
      <c r="A50" s="1"/>
      <c r="B50" s="134"/>
      <c r="C50" s="16"/>
      <c r="D50" s="137">
        <v>32.35</v>
      </c>
      <c r="E50" s="138"/>
      <c r="F50" s="138"/>
      <c r="G50" s="16" t="s">
        <v>490</v>
      </c>
      <c r="H50" s="1"/>
      <c r="I50" s="405" t="str">
        <f>AÑO!A13</f>
        <v>Gubernamental</v>
      </c>
      <c r="J50" s="408" t="s">
        <v>484</v>
      </c>
      <c r="K50" s="409"/>
      <c r="L50" s="231">
        <v>95.8</v>
      </c>
      <c r="M50" s="1"/>
      <c r="R50" s="3"/>
    </row>
    <row r="51" spans="1:18" ht="15.75">
      <c r="A51" s="1"/>
      <c r="B51" s="134"/>
      <c r="C51" s="16"/>
      <c r="D51" s="137">
        <f>83.74-D246</f>
        <v>68.739999999999995</v>
      </c>
      <c r="E51" s="138"/>
      <c r="F51" s="138"/>
      <c r="G51" s="16" t="s">
        <v>491</v>
      </c>
      <c r="H51" s="1"/>
      <c r="I51" s="406"/>
      <c r="J51" s="410"/>
      <c r="K51" s="411"/>
      <c r="L51" s="229"/>
      <c r="M51" s="1"/>
      <c r="R51" s="3"/>
    </row>
    <row r="52" spans="1:18" ht="15.75">
      <c r="A52" s="1"/>
      <c r="B52" s="134"/>
      <c r="C52" s="16"/>
      <c r="D52" s="137">
        <v>17.45</v>
      </c>
      <c r="E52" s="138"/>
      <c r="F52" s="138"/>
      <c r="G52" s="16" t="s">
        <v>495</v>
      </c>
      <c r="H52" s="1"/>
      <c r="I52" s="406"/>
      <c r="J52" s="410"/>
      <c r="K52" s="411"/>
      <c r="L52" s="229"/>
      <c r="M52" s="1"/>
      <c r="R52" s="3"/>
    </row>
    <row r="53" spans="1:18" ht="15.75">
      <c r="A53" s="1"/>
      <c r="B53" s="134"/>
      <c r="C53" s="16"/>
      <c r="D53" s="137">
        <v>68.010000000000005</v>
      </c>
      <c r="E53" s="138"/>
      <c r="F53" s="138"/>
      <c r="G53" s="16" t="s">
        <v>498</v>
      </c>
      <c r="H53" s="1"/>
      <c r="I53" s="406"/>
      <c r="J53" s="410"/>
      <c r="K53" s="411"/>
      <c r="L53" s="229"/>
      <c r="M53" s="1"/>
      <c r="R53" s="3"/>
    </row>
    <row r="54" spans="1:18" ht="15.75">
      <c r="A54" s="1"/>
      <c r="B54" s="134"/>
      <c r="C54" s="16"/>
      <c r="D54" s="137">
        <v>57.23</v>
      </c>
      <c r="E54" s="138"/>
      <c r="F54" s="138"/>
      <c r="G54" s="16" t="s">
        <v>607</v>
      </c>
      <c r="H54" s="1"/>
      <c r="I54" s="414"/>
      <c r="J54" s="415"/>
      <c r="K54" s="416"/>
      <c r="L54" s="230"/>
      <c r="M54" s="1"/>
      <c r="R54" s="3"/>
    </row>
    <row r="55" spans="1:18" ht="15.75" customHeight="1">
      <c r="A55" s="1"/>
      <c r="B55" s="134"/>
      <c r="C55" s="16"/>
      <c r="D55" s="137">
        <v>3.4</v>
      </c>
      <c r="E55" s="138"/>
      <c r="F55" s="138"/>
      <c r="G55" s="16" t="s">
        <v>608</v>
      </c>
      <c r="H55" s="1"/>
      <c r="I55" s="405" t="str">
        <f>AÑO!A14</f>
        <v>Mutualite/DKV</v>
      </c>
      <c r="J55" s="408" t="s">
        <v>478</v>
      </c>
      <c r="K55" s="409"/>
      <c r="L55" s="231">
        <v>17.350000000000001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6"/>
      <c r="J56" s="410"/>
      <c r="K56" s="411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6"/>
      <c r="J57" s="410"/>
      <c r="K57" s="411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6"/>
      <c r="J58" s="410"/>
      <c r="K58" s="411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4"/>
      <c r="J59" s="415"/>
      <c r="K59" s="416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53</v>
      </c>
      <c r="D60" s="135">
        <f>SUM(D46:D59)</f>
        <v>331.26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05" t="str">
        <f>AÑO!A15</f>
        <v>Alquiler Cartama</v>
      </c>
      <c r="J60" s="408"/>
      <c r="K60" s="409"/>
      <c r="L60" s="231">
        <v>652.44000000000005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6"/>
      <c r="J61" s="410"/>
      <c r="K61" s="411"/>
      <c r="L61" s="229"/>
      <c r="M61" s="1"/>
      <c r="R61" s="3"/>
    </row>
    <row r="62" spans="1:18" ht="15.6" customHeight="1">
      <c r="A62" s="1"/>
      <c r="B62" s="430" t="str">
        <f>AÑO!A23</f>
        <v>Ocio</v>
      </c>
      <c r="C62" s="419"/>
      <c r="D62" s="419"/>
      <c r="E62" s="419"/>
      <c r="F62" s="419"/>
      <c r="G62" s="420"/>
      <c r="H62" s="1"/>
      <c r="I62" s="406"/>
      <c r="J62" s="410"/>
      <c r="K62" s="411"/>
      <c r="L62" s="229"/>
      <c r="M62" s="1"/>
      <c r="R62" s="3"/>
    </row>
    <row r="63" spans="1:18" ht="16.149999999999999" customHeight="1" thickBot="1">
      <c r="A63" s="1"/>
      <c r="B63" s="421"/>
      <c r="C63" s="422"/>
      <c r="D63" s="422"/>
      <c r="E63" s="422"/>
      <c r="F63" s="422"/>
      <c r="G63" s="423"/>
      <c r="H63" s="1"/>
      <c r="I63" s="406"/>
      <c r="J63" s="410"/>
      <c r="K63" s="411"/>
      <c r="L63" s="229"/>
      <c r="M63" s="1"/>
      <c r="R63" s="3"/>
    </row>
    <row r="64" spans="1:18" ht="15.75">
      <c r="A64" s="1"/>
      <c r="B64" s="431" t="s">
        <v>8</v>
      </c>
      <c r="C64" s="432"/>
      <c r="D64" s="431" t="s">
        <v>9</v>
      </c>
      <c r="E64" s="433"/>
      <c r="F64" s="433"/>
      <c r="G64" s="432"/>
      <c r="H64" s="1"/>
      <c r="I64" s="414"/>
      <c r="J64" s="415"/>
      <c r="K64" s="416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05" t="str">
        <f>AÑO!A16</f>
        <v>Otros</v>
      </c>
      <c r="J65" s="408"/>
      <c r="K65" s="409"/>
      <c r="L65" s="231"/>
      <c r="M65" s="1"/>
      <c r="R65" s="3"/>
    </row>
    <row r="66" spans="1:18" ht="15.75">
      <c r="A66" s="112">
        <f>'04'!A66+(B66-SUM(D66:F78))</f>
        <v>9.3300000000000196</v>
      </c>
      <c r="B66" s="133">
        <v>160</v>
      </c>
      <c r="C66" s="19" t="s">
        <v>33</v>
      </c>
      <c r="D66" s="137">
        <v>32.799999999999997</v>
      </c>
      <c r="E66" s="138"/>
      <c r="F66" s="138"/>
      <c r="G66" s="19" t="s">
        <v>471</v>
      </c>
      <c r="H66" s="1"/>
      <c r="I66" s="406"/>
      <c r="J66" s="410"/>
      <c r="K66" s="411"/>
      <c r="L66" s="229"/>
      <c r="M66" s="1"/>
      <c r="R66" s="3"/>
    </row>
    <row r="67" spans="1:18" ht="15.75">
      <c r="A67" s="1"/>
      <c r="B67" s="134"/>
      <c r="C67" s="16"/>
      <c r="D67" s="137">
        <v>17.2</v>
      </c>
      <c r="E67" s="138"/>
      <c r="F67" s="138"/>
      <c r="G67" s="31" t="s">
        <v>480</v>
      </c>
      <c r="H67" s="1"/>
      <c r="I67" s="406"/>
      <c r="J67" s="410"/>
      <c r="K67" s="411"/>
      <c r="L67" s="229"/>
      <c r="M67" s="1"/>
      <c r="R67" s="3"/>
    </row>
    <row r="68" spans="1:18" ht="15.75">
      <c r="A68" s="1"/>
      <c r="B68" s="134"/>
      <c r="C68" s="16"/>
      <c r="D68" s="137">
        <v>42.3</v>
      </c>
      <c r="E68" s="138"/>
      <c r="F68" s="138"/>
      <c r="G68" s="16" t="s">
        <v>481</v>
      </c>
      <c r="H68" s="1"/>
      <c r="I68" s="406"/>
      <c r="J68" s="410"/>
      <c r="K68" s="411"/>
      <c r="L68" s="229"/>
      <c r="M68" s="1"/>
      <c r="R68" s="3"/>
    </row>
    <row r="69" spans="1:18" ht="16.5" thickBot="1">
      <c r="A69" s="1"/>
      <c r="B69" s="134"/>
      <c r="C69" s="16"/>
      <c r="D69" s="137">
        <v>16</v>
      </c>
      <c r="E69" s="138"/>
      <c r="F69" s="138"/>
      <c r="G69" s="16" t="s">
        <v>488</v>
      </c>
      <c r="H69" s="1"/>
      <c r="I69" s="407"/>
      <c r="J69" s="412"/>
      <c r="K69" s="413"/>
      <c r="L69" s="232"/>
      <c r="M69" s="1"/>
      <c r="R69" s="3"/>
    </row>
    <row r="70" spans="1:18" ht="15.75">
      <c r="A70" s="1"/>
      <c r="B70" s="134"/>
      <c r="C70" s="16"/>
      <c r="D70" s="137">
        <v>48.8</v>
      </c>
      <c r="E70" s="138"/>
      <c r="F70" s="138"/>
      <c r="G70" s="16" t="s">
        <v>489</v>
      </c>
      <c r="H70" s="1"/>
      <c r="M70" s="1"/>
      <c r="R70" s="3"/>
    </row>
    <row r="71" spans="1:18" ht="15.75">
      <c r="A71" s="1"/>
      <c r="B71" s="134"/>
      <c r="C71" s="16"/>
      <c r="D71" s="137">
        <v>33.75</v>
      </c>
      <c r="E71" s="138"/>
      <c r="F71" s="138"/>
      <c r="G71" s="16" t="s">
        <v>496</v>
      </c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>
        <v>22</v>
      </c>
      <c r="G72" s="16" t="s">
        <v>609</v>
      </c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'04'!A79+(B79-SUM(D79:F79))</f>
        <v>70</v>
      </c>
      <c r="B79" s="233">
        <v>10</v>
      </c>
      <c r="C79" s="17" t="s">
        <v>237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79.330000000000013</v>
      </c>
      <c r="B80" s="233">
        <f>SUM(B66:B79)</f>
        <v>170</v>
      </c>
      <c r="C80" s="17" t="s">
        <v>53</v>
      </c>
      <c r="D80" s="135">
        <f>SUM(D66:D79)</f>
        <v>190.85</v>
      </c>
      <c r="E80" s="135">
        <f>SUM(E66:E79)</f>
        <v>0</v>
      </c>
      <c r="F80" s="135">
        <f>SUM(F66:F79)</f>
        <v>22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30" t="str">
        <f>AÑO!A24</f>
        <v>Transportes</v>
      </c>
      <c r="C82" s="419"/>
      <c r="D82" s="419"/>
      <c r="E82" s="419"/>
      <c r="F82" s="419"/>
      <c r="G82" s="420"/>
      <c r="H82" s="1"/>
      <c r="M82" s="1"/>
      <c r="R82" s="3"/>
    </row>
    <row r="83" spans="1:18" ht="16.149999999999999" customHeight="1" thickBot="1">
      <c r="A83" s="1"/>
      <c r="B83" s="421"/>
      <c r="C83" s="422"/>
      <c r="D83" s="422"/>
      <c r="E83" s="422"/>
      <c r="F83" s="422"/>
      <c r="G83" s="423"/>
      <c r="H83" s="1"/>
      <c r="M83" s="1"/>
      <c r="R83" s="3"/>
    </row>
    <row r="84" spans="1:18" ht="15.75">
      <c r="A84" s="1"/>
      <c r="B84" s="431" t="s">
        <v>8</v>
      </c>
      <c r="C84" s="432"/>
      <c r="D84" s="431" t="s">
        <v>9</v>
      </c>
      <c r="E84" s="433"/>
      <c r="F84" s="433"/>
      <c r="G84" s="432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202</v>
      </c>
      <c r="D86" s="137">
        <v>55.61</v>
      </c>
      <c r="E86" s="138"/>
      <c r="F86" s="138"/>
      <c r="G86" s="16" t="s">
        <v>476</v>
      </c>
      <c r="H86" s="1"/>
      <c r="M86" s="1"/>
      <c r="R86" s="3"/>
    </row>
    <row r="87" spans="1:18" ht="15.75">
      <c r="A87" s="1"/>
      <c r="B87" s="134"/>
      <c r="C87" s="16"/>
      <c r="D87" s="137">
        <v>53.64</v>
      </c>
      <c r="E87" s="138"/>
      <c r="F87" s="138"/>
      <c r="G87" s="16" t="s">
        <v>492</v>
      </c>
      <c r="H87" s="1"/>
      <c r="M87" s="1"/>
      <c r="R87" s="3"/>
    </row>
    <row r="88" spans="1:18" ht="15.75">
      <c r="A88" s="1"/>
      <c r="B88" s="134"/>
      <c r="C88" s="16"/>
      <c r="D88" s="137">
        <v>7.6</v>
      </c>
      <c r="E88" s="138"/>
      <c r="F88" s="138"/>
      <c r="G88" s="16" t="s">
        <v>501</v>
      </c>
      <c r="H88" s="1"/>
      <c r="M88" s="1"/>
      <c r="R88" s="3"/>
    </row>
    <row r="89" spans="1:18" ht="15.75">
      <c r="A89" s="1"/>
      <c r="B89" s="134"/>
      <c r="C89" s="16"/>
      <c r="D89" s="137">
        <v>58.63</v>
      </c>
      <c r="E89" s="138"/>
      <c r="F89" s="138"/>
      <c r="G89" s="16" t="s">
        <v>610</v>
      </c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175.48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30" t="str">
        <f>AÑO!A25</f>
        <v>Coche</v>
      </c>
      <c r="C102" s="419"/>
      <c r="D102" s="419"/>
      <c r="E102" s="419"/>
      <c r="F102" s="419"/>
      <c r="G102" s="420"/>
      <c r="H102" s="1"/>
      <c r="M102" s="1"/>
      <c r="R102" s="3"/>
    </row>
    <row r="103" spans="1:18" ht="16.149999999999999" customHeight="1" thickBot="1">
      <c r="A103" s="1"/>
      <c r="B103" s="421"/>
      <c r="C103" s="422"/>
      <c r="D103" s="422"/>
      <c r="E103" s="422"/>
      <c r="F103" s="422"/>
      <c r="G103" s="423"/>
      <c r="H103" s="1"/>
      <c r="M103" s="1"/>
      <c r="R103" s="3"/>
    </row>
    <row r="104" spans="1:18" ht="15.75">
      <c r="A104" s="1"/>
      <c r="B104" s="431" t="s">
        <v>8</v>
      </c>
      <c r="C104" s="432"/>
      <c r="D104" s="431" t="s">
        <v>9</v>
      </c>
      <c r="E104" s="433"/>
      <c r="F104" s="433"/>
      <c r="G104" s="432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'04'!A106+(B106-SUM(D106:F106))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'04'!A107+(B107-SUM(D107:F107))</f>
        <v>1.8400000000000318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'04'!A108+(B108-SUM(D108:F108))</f>
        <v>383.09999999999991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'04'!A109+(B109+B110-SUM(D109:F109))</f>
        <v>2470.0600000000004</v>
      </c>
      <c r="B109" s="134">
        <f>67.53+120</f>
        <v>187.53</v>
      </c>
      <c r="C109" s="18" t="s">
        <v>615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>
        <v>-1050</v>
      </c>
      <c r="C110" s="18" t="s">
        <v>413</v>
      </c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384.93999999999994</v>
      </c>
      <c r="B120" s="135">
        <f>SUM(B106:B119)</f>
        <v>-485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30" t="str">
        <f>AÑO!A26</f>
        <v>Teléfono</v>
      </c>
      <c r="C122" s="419"/>
      <c r="D122" s="419"/>
      <c r="E122" s="419"/>
      <c r="F122" s="419"/>
      <c r="G122" s="420"/>
      <c r="H122" s="1"/>
      <c r="M122" s="1"/>
      <c r="R122" s="3"/>
    </row>
    <row r="123" spans="1:18" ht="16.149999999999999" customHeight="1" thickBot="1">
      <c r="A123" s="1"/>
      <c r="B123" s="421"/>
      <c r="C123" s="422"/>
      <c r="D123" s="422"/>
      <c r="E123" s="422"/>
      <c r="F123" s="422"/>
      <c r="G123" s="423"/>
      <c r="H123" s="1"/>
      <c r="M123" s="1"/>
      <c r="R123" s="3"/>
    </row>
    <row r="124" spans="1:18" ht="15.75">
      <c r="A124" s="1"/>
      <c r="B124" s="431" t="s">
        <v>8</v>
      </c>
      <c r="C124" s="432"/>
      <c r="D124" s="431" t="s">
        <v>9</v>
      </c>
      <c r="E124" s="433"/>
      <c r="F124" s="433"/>
      <c r="G124" s="432"/>
      <c r="H124" s="1"/>
      <c r="M124" s="1"/>
      <c r="R124" s="3"/>
    </row>
    <row r="125" spans="1:18" ht="15.75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12">
        <f>'04'!A126+(B126-SUM(D126:F126))</f>
        <v>5</v>
      </c>
      <c r="B126" s="133">
        <v>30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12">
        <f>'04'!A127+(B127-SUM(D127:F128))</f>
        <v>12.5</v>
      </c>
      <c r="B127" s="134">
        <v>15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12">
        <f>'04'!A129+(B129-SUM(D129:F129))</f>
        <v>1.9999999999999574E-2</v>
      </c>
      <c r="B129" s="134">
        <v>8</v>
      </c>
      <c r="C129" s="16" t="s">
        <v>162</v>
      </c>
      <c r="D129" s="137"/>
      <c r="E129" s="138">
        <v>7.99</v>
      </c>
      <c r="F129" s="138"/>
      <c r="G129" s="16" t="s">
        <v>162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17.5</v>
      </c>
      <c r="B140" s="135">
        <f>SUM(B126:B139)</f>
        <v>53</v>
      </c>
      <c r="C140" s="17" t="s">
        <v>53</v>
      </c>
      <c r="D140" s="135">
        <f>SUM(D126:D139)</f>
        <v>27.5</v>
      </c>
      <c r="E140" s="135">
        <f>SUM(E126:E139)</f>
        <v>7.99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30" t="str">
        <f>AÑO!A27</f>
        <v>Gatos</v>
      </c>
      <c r="C142" s="419"/>
      <c r="D142" s="419"/>
      <c r="E142" s="419"/>
      <c r="F142" s="419"/>
      <c r="G142" s="420"/>
      <c r="H142" s="1"/>
      <c r="M142" s="1"/>
      <c r="R142" s="3"/>
    </row>
    <row r="143" spans="1:18" ht="16.149999999999999" customHeight="1" thickBot="1">
      <c r="A143" s="1"/>
      <c r="B143" s="421"/>
      <c r="C143" s="422"/>
      <c r="D143" s="422"/>
      <c r="E143" s="422"/>
      <c r="F143" s="422"/>
      <c r="G143" s="423"/>
      <c r="H143" s="1"/>
      <c r="M143" s="1"/>
      <c r="R143" s="3"/>
    </row>
    <row r="144" spans="1:18" ht="15.75">
      <c r="A144" s="1"/>
      <c r="B144" s="431" t="s">
        <v>8</v>
      </c>
      <c r="C144" s="432"/>
      <c r="D144" s="431" t="s">
        <v>9</v>
      </c>
      <c r="E144" s="433"/>
      <c r="F144" s="433"/>
      <c r="G144" s="432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>
        <f>59</f>
        <v>59</v>
      </c>
      <c r="E146" s="138"/>
      <c r="F146" s="138"/>
      <c r="G146" s="16" t="s">
        <v>475</v>
      </c>
      <c r="H146" s="1"/>
      <c r="M146" s="1"/>
      <c r="R146" s="3"/>
    </row>
    <row r="147" spans="1:22" ht="15.75">
      <c r="A147" s="1"/>
      <c r="B147" s="134"/>
      <c r="C147" s="16"/>
      <c r="D147" s="137">
        <v>24.87</v>
      </c>
      <c r="E147" s="138"/>
      <c r="F147" s="138"/>
      <c r="G147" s="16" t="s">
        <v>494</v>
      </c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83.87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30" t="str">
        <f>AÑO!A28</f>
        <v>Vacaciones</v>
      </c>
      <c r="C162" s="419"/>
      <c r="D162" s="419"/>
      <c r="E162" s="419"/>
      <c r="F162" s="419"/>
      <c r="G162" s="420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21"/>
      <c r="C163" s="422"/>
      <c r="D163" s="422"/>
      <c r="E163" s="422"/>
      <c r="F163" s="422"/>
      <c r="G163" s="423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31" t="s">
        <v>8</v>
      </c>
      <c r="C164" s="432"/>
      <c r="D164" s="431" t="s">
        <v>9</v>
      </c>
      <c r="E164" s="433"/>
      <c r="F164" s="433"/>
      <c r="G164" s="432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>
        <v>850</v>
      </c>
      <c r="C167" s="16" t="s">
        <v>568</v>
      </c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1050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30" t="str">
        <f>AÑO!A29</f>
        <v>Ropa</v>
      </c>
      <c r="C182" s="419"/>
      <c r="D182" s="419"/>
      <c r="E182" s="419"/>
      <c r="F182" s="419"/>
      <c r="G182" s="42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21"/>
      <c r="C183" s="422"/>
      <c r="D183" s="422"/>
      <c r="E183" s="422"/>
      <c r="F183" s="422"/>
      <c r="G183" s="42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31" t="s">
        <v>8</v>
      </c>
      <c r="C184" s="432"/>
      <c r="D184" s="431" t="s">
        <v>9</v>
      </c>
      <c r="E184" s="433"/>
      <c r="F184" s="433"/>
      <c r="G184" s="432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>
        <v>47.63</v>
      </c>
      <c r="E186" s="138"/>
      <c r="F186" s="138"/>
      <c r="G186" s="16" t="s">
        <v>497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4</v>
      </c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74</v>
      </c>
      <c r="C200" s="17" t="s">
        <v>53</v>
      </c>
      <c r="D200" s="135">
        <f>SUM(D186:D199)</f>
        <v>47.63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30" t="str">
        <f>AÑO!A30</f>
        <v>Belleza</v>
      </c>
      <c r="C202" s="419"/>
      <c r="D202" s="419"/>
      <c r="E202" s="419"/>
      <c r="F202" s="419"/>
      <c r="G202" s="420"/>
    </row>
    <row r="203" spans="2:12" ht="15" customHeight="1" thickBot="1">
      <c r="B203" s="421"/>
      <c r="C203" s="422"/>
      <c r="D203" s="422"/>
      <c r="E203" s="422"/>
      <c r="F203" s="422"/>
      <c r="G203" s="423"/>
    </row>
    <row r="204" spans="2:12">
      <c r="B204" s="431" t="s">
        <v>8</v>
      </c>
      <c r="C204" s="432"/>
      <c r="D204" s="431" t="s">
        <v>9</v>
      </c>
      <c r="E204" s="433"/>
      <c r="F204" s="433"/>
      <c r="G204" s="432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>
        <v>27.56</v>
      </c>
      <c r="E206" s="138"/>
      <c r="F206" s="138"/>
      <c r="G206" s="16" t="s">
        <v>493</v>
      </c>
    </row>
    <row r="207" spans="2:12">
      <c r="B207" s="134">
        <v>15</v>
      </c>
      <c r="C207" s="16" t="s">
        <v>568</v>
      </c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50</v>
      </c>
      <c r="C220" s="17" t="s">
        <v>53</v>
      </c>
      <c r="D220" s="135">
        <f>SUM(D206:D219)</f>
        <v>27.56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30" t="str">
        <f>AÑO!A31</f>
        <v>Deportes</v>
      </c>
      <c r="C222" s="419"/>
      <c r="D222" s="419"/>
      <c r="E222" s="419"/>
      <c r="F222" s="419"/>
      <c r="G222" s="420"/>
    </row>
    <row r="223" spans="2:7" ht="15" customHeight="1" thickBot="1">
      <c r="B223" s="421"/>
      <c r="C223" s="422"/>
      <c r="D223" s="422"/>
      <c r="E223" s="422"/>
      <c r="F223" s="422"/>
      <c r="G223" s="423"/>
    </row>
    <row r="224" spans="2:7">
      <c r="B224" s="431" t="s">
        <v>8</v>
      </c>
      <c r="C224" s="432"/>
      <c r="D224" s="431" t="s">
        <v>9</v>
      </c>
      <c r="E224" s="433"/>
      <c r="F224" s="433"/>
      <c r="G224" s="432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f>20.98+20.98</f>
        <v>41.96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41.96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.75" thickBot="1">
      <c r="B241" s="5"/>
      <c r="C241" s="3"/>
      <c r="D241" s="5"/>
      <c r="E241" s="5"/>
    </row>
    <row r="242" spans="1:7" ht="14.45" customHeight="1">
      <c r="B242" s="430" t="str">
        <f>AÑO!A32</f>
        <v>Hogar</v>
      </c>
      <c r="C242" s="419"/>
      <c r="D242" s="419"/>
      <c r="E242" s="419"/>
      <c r="F242" s="419"/>
      <c r="G242" s="420"/>
    </row>
    <row r="243" spans="1:7" ht="15" customHeight="1" thickBot="1">
      <c r="B243" s="421"/>
      <c r="C243" s="422"/>
      <c r="D243" s="422"/>
      <c r="E243" s="422"/>
      <c r="F243" s="422"/>
      <c r="G243" s="423"/>
    </row>
    <row r="244" spans="1:7" ht="15" customHeight="1">
      <c r="B244" s="431" t="s">
        <v>8</v>
      </c>
      <c r="C244" s="432"/>
      <c r="D244" s="431" t="s">
        <v>9</v>
      </c>
      <c r="E244" s="433"/>
      <c r="F244" s="433"/>
      <c r="G244" s="432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'04'!A246+(B246-SUM(D246:F255))</f>
        <v>76.150000000000006</v>
      </c>
      <c r="B246" s="134">
        <v>45</v>
      </c>
      <c r="C246" s="27" t="s">
        <v>403</v>
      </c>
      <c r="D246" s="137">
        <v>15</v>
      </c>
      <c r="E246" s="138"/>
      <c r="F246" s="138"/>
      <c r="G246" s="16" t="s">
        <v>491</v>
      </c>
    </row>
    <row r="247" spans="1:7" ht="15" customHeight="1">
      <c r="A247" s="112"/>
      <c r="B247" s="134"/>
      <c r="C247" s="16"/>
      <c r="D247" s="137">
        <v>43.57</v>
      </c>
      <c r="E247" s="138"/>
      <c r="F247" s="138"/>
      <c r="G247" s="16" t="s">
        <v>499</v>
      </c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'04'!A256+(B256-SUM(D256:F256))</f>
        <v>20</v>
      </c>
      <c r="B256" s="134">
        <v>5</v>
      </c>
      <c r="C256" s="16" t="s">
        <v>410</v>
      </c>
      <c r="D256" s="137"/>
      <c r="E256" s="138"/>
      <c r="F256" s="138"/>
      <c r="G256" s="16"/>
    </row>
    <row r="257" spans="1:8" ht="15.75">
      <c r="A257" s="112">
        <f>'04'!A257+(B257-SUM(D257:F257))</f>
        <v>707.46</v>
      </c>
      <c r="B257" s="134">
        <f>40+499</f>
        <v>539</v>
      </c>
      <c r="C257" s="16" t="s">
        <v>432</v>
      </c>
      <c r="D257" s="137"/>
      <c r="E257" s="138">
        <f>100.67</f>
        <v>100.67</v>
      </c>
      <c r="F257" s="138"/>
      <c r="G257" s="16" t="s">
        <v>613</v>
      </c>
      <c r="H257" s="113"/>
    </row>
    <row r="258" spans="1:8" ht="15.75">
      <c r="A258" s="112">
        <f>'04'!A258+(B258-SUM(D258:F258))</f>
        <v>95</v>
      </c>
      <c r="B258" s="134">
        <v>70</v>
      </c>
      <c r="C258" s="16" t="s">
        <v>404</v>
      </c>
      <c r="D258" s="137"/>
      <c r="E258" s="138"/>
      <c r="F258" s="138"/>
      <c r="G258" s="16"/>
      <c r="H258" s="113"/>
    </row>
    <row r="259" spans="1:8" ht="16.5" thickBot="1">
      <c r="A259" s="112">
        <f>'04'!A259+(B259-SUM(D259:F259))</f>
        <v>20</v>
      </c>
      <c r="B259" s="135">
        <v>5</v>
      </c>
      <c r="C259" s="17"/>
      <c r="D259" s="135"/>
      <c r="E259" s="139"/>
      <c r="F259" s="139"/>
      <c r="G259" s="17"/>
    </row>
    <row r="260" spans="1:8" ht="16.5" thickBot="1">
      <c r="A260" s="112">
        <f>SUM(A246:A259)</f>
        <v>918.61</v>
      </c>
      <c r="B260" s="135">
        <f>SUM(B246:B259)</f>
        <v>664</v>
      </c>
      <c r="C260" s="17" t="s">
        <v>53</v>
      </c>
      <c r="D260" s="135">
        <f>SUM(D246:D259)</f>
        <v>58.57</v>
      </c>
      <c r="E260" s="135">
        <f>SUM(E246:E259)</f>
        <v>100.67</v>
      </c>
      <c r="F260" s="135">
        <f>SUM(F246:F259)</f>
        <v>0</v>
      </c>
      <c r="G260" s="17" t="s">
        <v>53</v>
      </c>
    </row>
    <row r="261" spans="1:8" ht="15.75" thickBot="1">
      <c r="B261" s="5"/>
      <c r="C261" s="3"/>
      <c r="D261" s="5"/>
      <c r="E261" s="5"/>
      <c r="F261" s="237"/>
      <c r="G261" s="238"/>
    </row>
    <row r="262" spans="1:8" ht="14.45" customHeight="1">
      <c r="B262" s="430" t="str">
        <f>AÑO!A33</f>
        <v>Formación</v>
      </c>
      <c r="C262" s="419"/>
      <c r="D262" s="419"/>
      <c r="E262" s="419"/>
      <c r="F262" s="419"/>
      <c r="G262" s="420"/>
    </row>
    <row r="263" spans="1:8" ht="15" customHeight="1" thickBot="1">
      <c r="B263" s="421"/>
      <c r="C263" s="422"/>
      <c r="D263" s="422"/>
      <c r="E263" s="422"/>
      <c r="F263" s="422"/>
      <c r="G263" s="423"/>
    </row>
    <row r="264" spans="1:8">
      <c r="B264" s="431" t="s">
        <v>8</v>
      </c>
      <c r="C264" s="432"/>
      <c r="D264" s="431" t="s">
        <v>9</v>
      </c>
      <c r="E264" s="433"/>
      <c r="F264" s="433"/>
      <c r="G264" s="432"/>
    </row>
    <row r="265" spans="1:8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8">
      <c r="B266" s="133">
        <v>50</v>
      </c>
      <c r="C266" s="19"/>
      <c r="D266" s="137">
        <v>92.89</v>
      </c>
      <c r="E266" s="138"/>
      <c r="F266" s="138"/>
      <c r="G266" s="16" t="s">
        <v>479</v>
      </c>
    </row>
    <row r="267" spans="1:8">
      <c r="B267" s="134"/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92.89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  <c r="F281" s="237"/>
      <c r="G281" s="238"/>
    </row>
    <row r="282" spans="2:8" ht="14.45" customHeight="1">
      <c r="B282" s="430" t="str">
        <f>AÑO!A34</f>
        <v>Regalos</v>
      </c>
      <c r="C282" s="419"/>
      <c r="D282" s="419"/>
      <c r="E282" s="419"/>
      <c r="F282" s="419"/>
      <c r="G282" s="420"/>
    </row>
    <row r="283" spans="2:8" ht="15" customHeight="1" thickBot="1">
      <c r="B283" s="421"/>
      <c r="C283" s="422"/>
      <c r="D283" s="422"/>
      <c r="E283" s="422"/>
      <c r="F283" s="422"/>
      <c r="G283" s="423"/>
    </row>
    <row r="284" spans="2:8">
      <c r="B284" s="431" t="s">
        <v>8</v>
      </c>
      <c r="C284" s="432"/>
      <c r="D284" s="431" t="s">
        <v>9</v>
      </c>
      <c r="E284" s="433"/>
      <c r="F284" s="433"/>
      <c r="G284" s="432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/>
      <c r="E286" s="138">
        <v>137.85</v>
      </c>
      <c r="F286" s="138"/>
      <c r="G286" s="16" t="s">
        <v>486</v>
      </c>
    </row>
    <row r="287" spans="2:8">
      <c r="B287" s="134">
        <v>35</v>
      </c>
      <c r="C287" s="16" t="s">
        <v>614</v>
      </c>
      <c r="D287" s="137">
        <v>54.8</v>
      </c>
      <c r="E287" s="138"/>
      <c r="F287" s="138"/>
      <c r="G287" s="16" t="s">
        <v>616</v>
      </c>
      <c r="H287" s="92"/>
    </row>
    <row r="288" spans="2:8">
      <c r="B288" s="134"/>
      <c r="C288" s="16"/>
      <c r="D288" s="137"/>
      <c r="E288" s="138">
        <v>167.99</v>
      </c>
      <c r="F288" s="138"/>
      <c r="G288" s="16" t="s">
        <v>634</v>
      </c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125</v>
      </c>
      <c r="C300" s="17" t="s">
        <v>53</v>
      </c>
      <c r="D300" s="135">
        <f>SUM(D286:D299)</f>
        <v>54.8</v>
      </c>
      <c r="E300" s="135">
        <f>SUM(E286:E299)</f>
        <v>305.84000000000003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  <c r="F301" s="237"/>
      <c r="G301" s="238"/>
    </row>
    <row r="302" spans="2:8" ht="14.45" customHeight="1">
      <c r="B302" s="430" t="str">
        <f>AÑO!A35</f>
        <v>Salud</v>
      </c>
      <c r="C302" s="419"/>
      <c r="D302" s="419"/>
      <c r="E302" s="419"/>
      <c r="F302" s="419"/>
      <c r="G302" s="420"/>
    </row>
    <row r="303" spans="2:8" ht="15" customHeight="1" thickBot="1">
      <c r="B303" s="421"/>
      <c r="C303" s="422"/>
      <c r="D303" s="422"/>
      <c r="E303" s="422"/>
      <c r="F303" s="422"/>
      <c r="G303" s="423"/>
    </row>
    <row r="304" spans="2:8">
      <c r="B304" s="431" t="s">
        <v>8</v>
      </c>
      <c r="C304" s="432"/>
      <c r="D304" s="431" t="s">
        <v>9</v>
      </c>
      <c r="E304" s="433"/>
      <c r="F304" s="433"/>
      <c r="G304" s="432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115</v>
      </c>
      <c r="C306" s="19" t="s">
        <v>233</v>
      </c>
      <c r="D306" s="137">
        <v>4.4000000000000004</v>
      </c>
      <c r="E306" s="138"/>
      <c r="F306" s="138"/>
      <c r="G306" s="16" t="s">
        <v>470</v>
      </c>
    </row>
    <row r="307" spans="2:7">
      <c r="B307" s="134">
        <v>15</v>
      </c>
      <c r="C307" s="27"/>
      <c r="D307" s="137"/>
      <c r="E307" s="138"/>
      <c r="F307" s="138">
        <v>90</v>
      </c>
      <c r="G307" s="16" t="s">
        <v>478</v>
      </c>
    </row>
    <row r="308" spans="2:7">
      <c r="B308" s="134">
        <v>17.45</v>
      </c>
      <c r="C308" s="27" t="s">
        <v>487</v>
      </c>
      <c r="D308" s="137">
        <f>51.89+44.67</f>
        <v>96.56</v>
      </c>
      <c r="E308" s="138"/>
      <c r="F308" s="138"/>
      <c r="G308" s="16" t="s">
        <v>606</v>
      </c>
    </row>
    <row r="309" spans="2:7">
      <c r="B309" s="134">
        <v>170</v>
      </c>
      <c r="C309" s="16" t="s">
        <v>568</v>
      </c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317.45</v>
      </c>
      <c r="C320" s="17" t="s">
        <v>53</v>
      </c>
      <c r="D320" s="135">
        <f>SUM(D306:D319)</f>
        <v>100.96000000000001</v>
      </c>
      <c r="E320" s="135">
        <f>SUM(E306:E319)</f>
        <v>0</v>
      </c>
      <c r="F320" s="135">
        <f>SUM(F306:F319)</f>
        <v>90</v>
      </c>
      <c r="G320" s="17" t="s">
        <v>53</v>
      </c>
    </row>
    <row r="321" spans="2:7" ht="15.75" thickBot="1">
      <c r="B321" s="237"/>
      <c r="C321" s="238"/>
      <c r="D321" s="237"/>
      <c r="E321" s="237"/>
      <c r="F321" s="237"/>
      <c r="G321" s="238"/>
    </row>
    <row r="322" spans="2:7" ht="14.45" customHeight="1">
      <c r="B322" s="430" t="str">
        <f>AÑO!A36</f>
        <v>Nenas</v>
      </c>
      <c r="C322" s="436"/>
      <c r="D322" s="436"/>
      <c r="E322" s="436"/>
      <c r="F322" s="436"/>
      <c r="G322" s="437"/>
    </row>
    <row r="323" spans="2:7" ht="15" customHeight="1" thickBot="1">
      <c r="B323" s="438"/>
      <c r="C323" s="439"/>
      <c r="D323" s="439"/>
      <c r="E323" s="439"/>
      <c r="F323" s="439"/>
      <c r="G323" s="440"/>
    </row>
    <row r="324" spans="2:7">
      <c r="B324" s="431" t="s">
        <v>8</v>
      </c>
      <c r="C324" s="432"/>
      <c r="D324" s="431" t="s">
        <v>9</v>
      </c>
      <c r="E324" s="433"/>
      <c r="F324" s="433"/>
      <c r="G324" s="432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>
        <v>174</v>
      </c>
      <c r="E326" s="138"/>
      <c r="F326" s="138"/>
      <c r="G326" s="16" t="s">
        <v>485</v>
      </c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174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  <c r="F341" s="237"/>
      <c r="G341" s="238"/>
    </row>
    <row r="342" spans="2:7" ht="14.45" customHeight="1">
      <c r="B342" s="430" t="str">
        <f>AÑO!A37</f>
        <v>Impuestos</v>
      </c>
      <c r="C342" s="419"/>
      <c r="D342" s="419"/>
      <c r="E342" s="419"/>
      <c r="F342" s="419"/>
      <c r="G342" s="420"/>
    </row>
    <row r="343" spans="2:7" ht="15" customHeight="1" thickBot="1">
      <c r="B343" s="421"/>
      <c r="C343" s="422"/>
      <c r="D343" s="422"/>
      <c r="E343" s="422"/>
      <c r="F343" s="422"/>
      <c r="G343" s="423"/>
    </row>
    <row r="344" spans="2:7">
      <c r="B344" s="431" t="s">
        <v>8</v>
      </c>
      <c r="C344" s="432"/>
      <c r="D344" s="431" t="s">
        <v>9</v>
      </c>
      <c r="E344" s="433"/>
      <c r="F344" s="433"/>
      <c r="G344" s="432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199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  <c r="F361" s="237"/>
      <c r="G361" s="238"/>
    </row>
    <row r="362" spans="2:7" ht="14.45" customHeight="1">
      <c r="B362" s="430" t="str">
        <f>AÑO!A38</f>
        <v>Gastos Curros</v>
      </c>
      <c r="C362" s="419"/>
      <c r="D362" s="419"/>
      <c r="E362" s="419"/>
      <c r="F362" s="419"/>
      <c r="G362" s="420"/>
    </row>
    <row r="363" spans="2:7" ht="15" customHeight="1" thickBot="1">
      <c r="B363" s="421"/>
      <c r="C363" s="422"/>
      <c r="D363" s="422"/>
      <c r="E363" s="422"/>
      <c r="F363" s="422"/>
      <c r="G363" s="423"/>
    </row>
    <row r="364" spans="2:7">
      <c r="B364" s="431" t="s">
        <v>8</v>
      </c>
      <c r="C364" s="432"/>
      <c r="D364" s="431" t="s">
        <v>9</v>
      </c>
      <c r="E364" s="433"/>
      <c r="F364" s="433"/>
      <c r="G364" s="432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/>
      <c r="E366" s="138">
        <f>4.45+4.6</f>
        <v>9.0500000000000007</v>
      </c>
      <c r="F366" s="138">
        <f>3.4+4.45+3.4+4.45+3.4+3.5+3.5+4.45+3.4</f>
        <v>33.949999999999996</v>
      </c>
      <c r="G366" s="31" t="s">
        <v>67</v>
      </c>
    </row>
    <row r="367" spans="2:7">
      <c r="B367" s="134"/>
      <c r="C367" s="16"/>
      <c r="D367" s="137">
        <v>39.29</v>
      </c>
      <c r="E367" s="138"/>
      <c r="F367" s="138"/>
      <c r="G367" s="31" t="s">
        <v>635</v>
      </c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39.29</v>
      </c>
      <c r="E380" s="135">
        <f>SUM(E366:E379)</f>
        <v>9.0500000000000007</v>
      </c>
      <c r="F380" s="135">
        <f>SUM(F366:F379)</f>
        <v>33.949999999999996</v>
      </c>
      <c r="G380" s="17" t="s">
        <v>53</v>
      </c>
    </row>
    <row r="381" spans="2:7" ht="15.75" thickBot="1">
      <c r="B381" s="5"/>
      <c r="C381" s="3"/>
      <c r="D381" s="5"/>
      <c r="E381" s="5"/>
      <c r="F381" s="237"/>
      <c r="G381" s="238"/>
    </row>
    <row r="382" spans="2:7" ht="14.45" customHeight="1">
      <c r="B382" s="430" t="str">
        <f>AÑO!A39</f>
        <v>Dreamed Holidays</v>
      </c>
      <c r="C382" s="436"/>
      <c r="D382" s="436"/>
      <c r="E382" s="436"/>
      <c r="F382" s="436"/>
      <c r="G382" s="437"/>
    </row>
    <row r="383" spans="2:7" ht="15" customHeight="1" thickBot="1">
      <c r="B383" s="438"/>
      <c r="C383" s="439"/>
      <c r="D383" s="439"/>
      <c r="E383" s="439"/>
      <c r="F383" s="439"/>
      <c r="G383" s="440"/>
    </row>
    <row r="384" spans="2:7">
      <c r="B384" s="431" t="s">
        <v>8</v>
      </c>
      <c r="C384" s="432"/>
      <c r="D384" s="431" t="s">
        <v>9</v>
      </c>
      <c r="E384" s="433"/>
      <c r="F384" s="433"/>
      <c r="G384" s="432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>
        <v>-1350</v>
      </c>
      <c r="C387" s="16" t="s">
        <v>413</v>
      </c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-1335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  <c r="F401" s="237"/>
      <c r="G401" s="238"/>
    </row>
    <row r="402" spans="2:7" ht="14.45" customHeight="1">
      <c r="B402" s="430" t="str">
        <f>AÑO!A40</f>
        <v>Financieros</v>
      </c>
      <c r="C402" s="419"/>
      <c r="D402" s="419"/>
      <c r="E402" s="419"/>
      <c r="F402" s="419"/>
      <c r="G402" s="420"/>
    </row>
    <row r="403" spans="2:7" ht="15" customHeight="1" thickBot="1">
      <c r="B403" s="421"/>
      <c r="C403" s="422"/>
      <c r="D403" s="422"/>
      <c r="E403" s="422"/>
      <c r="F403" s="422"/>
      <c r="G403" s="423"/>
    </row>
    <row r="404" spans="2:7">
      <c r="B404" s="431" t="s">
        <v>8</v>
      </c>
      <c r="C404" s="432"/>
      <c r="D404" s="431" t="s">
        <v>9</v>
      </c>
      <c r="E404" s="433"/>
      <c r="F404" s="433"/>
      <c r="G404" s="432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2.27</v>
      </c>
      <c r="E406" s="138"/>
      <c r="F406" s="138"/>
      <c r="G406" s="16" t="s">
        <v>474</v>
      </c>
    </row>
    <row r="407" spans="2:7">
      <c r="B407" s="134">
        <v>45.86</v>
      </c>
      <c r="C407" s="16" t="s">
        <v>473</v>
      </c>
      <c r="D407" s="137"/>
      <c r="E407" s="138"/>
      <c r="F407" s="138"/>
      <c r="G407" s="16"/>
    </row>
    <row r="408" spans="2:7">
      <c r="B408" s="134">
        <v>-1094.26</v>
      </c>
      <c r="C408" s="16" t="s">
        <v>413</v>
      </c>
      <c r="D408" s="137">
        <v>44.48</v>
      </c>
      <c r="E408" s="138"/>
      <c r="F408" s="138"/>
      <c r="G408" s="16" t="s">
        <v>500</v>
      </c>
    </row>
    <row r="409" spans="2:7">
      <c r="B409" s="134">
        <f>29.29+20</f>
        <v>49.29</v>
      </c>
      <c r="C409" s="16" t="s">
        <v>568</v>
      </c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8">
      <c r="B417" s="134"/>
      <c r="C417" s="16"/>
      <c r="D417" s="137"/>
      <c r="E417" s="138"/>
      <c r="F417" s="138"/>
      <c r="G417" s="16"/>
    </row>
    <row r="418" spans="1:8">
      <c r="B418" s="134"/>
      <c r="C418" s="16"/>
      <c r="D418" s="137"/>
      <c r="E418" s="138"/>
      <c r="F418" s="138"/>
      <c r="G418" s="16"/>
    </row>
    <row r="419" spans="1:8" ht="15.75" thickBot="1">
      <c r="B419" s="135"/>
      <c r="C419" s="17"/>
      <c r="D419" s="135"/>
      <c r="E419" s="139"/>
      <c r="F419" s="139"/>
      <c r="G419" s="17"/>
    </row>
    <row r="420" spans="1:8" ht="15.75" thickBot="1">
      <c r="B420" s="135">
        <f>SUM(B406:B419)</f>
        <v>-949.11</v>
      </c>
      <c r="C420" s="17" t="s">
        <v>53</v>
      </c>
      <c r="D420" s="135">
        <f>SUM(D406:D419)</f>
        <v>46.75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8" ht="15.75" thickBot="1">
      <c r="B421" s="5"/>
      <c r="C421" s="3"/>
      <c r="D421" s="5"/>
      <c r="E421" s="5"/>
      <c r="F421" s="237"/>
      <c r="G421" s="238"/>
    </row>
    <row r="422" spans="1:8" ht="14.45" customHeight="1">
      <c r="B422" s="430" t="str">
        <f>AÑO!A41</f>
        <v>Ahorros Colchón</v>
      </c>
      <c r="C422" s="436"/>
      <c r="D422" s="436"/>
      <c r="E422" s="436"/>
      <c r="F422" s="436"/>
      <c r="G422" s="437"/>
    </row>
    <row r="423" spans="1:8" ht="15" customHeight="1" thickBot="1">
      <c r="B423" s="438"/>
      <c r="C423" s="439"/>
      <c r="D423" s="439"/>
      <c r="E423" s="439"/>
      <c r="F423" s="439"/>
      <c r="G423" s="440"/>
    </row>
    <row r="424" spans="1:8">
      <c r="B424" s="431" t="s">
        <v>8</v>
      </c>
      <c r="C424" s="432"/>
      <c r="D424" s="431" t="s">
        <v>9</v>
      </c>
      <c r="E424" s="433"/>
      <c r="F424" s="433"/>
      <c r="G424" s="432"/>
    </row>
    <row r="425" spans="1:8">
      <c r="A425" s="113">
        <f>AÑO!S17</f>
        <v>5958.3200000000015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8" ht="15.75">
      <c r="A426" s="112">
        <f>3900</f>
        <v>3900</v>
      </c>
      <c r="B426" s="134">
        <f>A425-SUM(A426:A439)</f>
        <v>0.28000000000156433</v>
      </c>
      <c r="C426" s="19" t="s">
        <v>234</v>
      </c>
      <c r="D426" s="137"/>
      <c r="E426" s="138"/>
      <c r="F426" s="138"/>
      <c r="G426" s="16"/>
    </row>
    <row r="427" spans="1:8">
      <c r="A427" s="113">
        <v>45.86</v>
      </c>
      <c r="B427" s="134"/>
      <c r="C427" s="16"/>
      <c r="D427" s="137"/>
      <c r="E427" s="138"/>
      <c r="F427" s="138"/>
      <c r="G427" s="16"/>
    </row>
    <row r="428" spans="1:8">
      <c r="A428" s="113">
        <v>102.44</v>
      </c>
      <c r="B428" s="134"/>
      <c r="C428" s="16"/>
      <c r="D428" s="137"/>
      <c r="E428" s="138"/>
      <c r="F428" s="138"/>
      <c r="G428" s="16"/>
    </row>
    <row r="429" spans="1:8">
      <c r="A429" s="113">
        <f>17.45</f>
        <v>17.45</v>
      </c>
      <c r="B429" s="134"/>
      <c r="C429" s="16"/>
      <c r="D429" s="137"/>
      <c r="E429" s="138"/>
      <c r="F429" s="138"/>
      <c r="G429" s="16"/>
    </row>
    <row r="430" spans="1:8">
      <c r="A430" s="113">
        <f>500+50+35+120+544+29.29+100+500</f>
        <v>1878.29</v>
      </c>
      <c r="B430" s="134"/>
      <c r="C430" s="16"/>
      <c r="D430" s="137"/>
      <c r="E430" s="138"/>
      <c r="F430" s="138"/>
      <c r="G430" s="16"/>
      <c r="H430" s="113">
        <v>1878.29</v>
      </c>
    </row>
    <row r="431" spans="1:8">
      <c r="A431" s="89">
        <v>14</v>
      </c>
      <c r="B431" s="134"/>
      <c r="C431" s="16"/>
      <c r="D431" s="137"/>
      <c r="E431" s="138"/>
      <c r="F431" s="138"/>
      <c r="G431" s="16"/>
      <c r="H431" s="113">
        <f>H430-A430</f>
        <v>0</v>
      </c>
    </row>
    <row r="432" spans="1:8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0.28000000000156433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30" t="str">
        <f>AÑO!A42</f>
        <v>Dinero Bloqueado</v>
      </c>
      <c r="C442" s="436"/>
      <c r="D442" s="436"/>
      <c r="E442" s="436"/>
      <c r="F442" s="436"/>
      <c r="G442" s="437"/>
    </row>
    <row r="443" spans="2:7" ht="15" customHeight="1" thickBot="1">
      <c r="B443" s="438"/>
      <c r="C443" s="439"/>
      <c r="D443" s="439"/>
      <c r="E443" s="439"/>
      <c r="F443" s="439"/>
      <c r="G443" s="440"/>
    </row>
    <row r="444" spans="2:7">
      <c r="B444" s="431" t="s">
        <v>8</v>
      </c>
      <c r="C444" s="432"/>
      <c r="D444" s="433" t="s">
        <v>9</v>
      </c>
      <c r="E444" s="433"/>
      <c r="F444" s="433"/>
      <c r="G444" s="432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>
        <v>4044.26</v>
      </c>
      <c r="C446" s="19" t="s">
        <v>413</v>
      </c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4044.26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30" t="str">
        <f>AÑO!A43</f>
        <v>Cartama Finanazas</v>
      </c>
      <c r="C462" s="436"/>
      <c r="D462" s="436"/>
      <c r="E462" s="436"/>
      <c r="F462" s="436"/>
      <c r="G462" s="437"/>
    </row>
    <row r="463" spans="2:7" ht="15" customHeight="1" thickBot="1">
      <c r="B463" s="438"/>
      <c r="C463" s="439"/>
      <c r="D463" s="439"/>
      <c r="E463" s="439"/>
      <c r="F463" s="439"/>
      <c r="G463" s="440"/>
    </row>
    <row r="464" spans="2:7">
      <c r="B464" s="431" t="s">
        <v>8</v>
      </c>
      <c r="C464" s="432"/>
      <c r="D464" s="433" t="s">
        <v>9</v>
      </c>
      <c r="E464" s="433"/>
      <c r="F464" s="433"/>
      <c r="G464" s="432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'04'!A466+(B466-SUM(D466:F466))</f>
        <v>0</v>
      </c>
      <c r="B466" s="134">
        <v>-550</v>
      </c>
      <c r="C466" s="16" t="s">
        <v>414</v>
      </c>
      <c r="D466" s="137"/>
      <c r="E466" s="138"/>
      <c r="F466" s="138"/>
      <c r="G466" s="16"/>
    </row>
    <row r="467" spans="1:7" ht="15.75">
      <c r="A467" s="112">
        <f>'04'!A467+(B467-SUM(D467:F467))</f>
        <v>375.22999999999996</v>
      </c>
      <c r="B467" s="134">
        <f>50+50</f>
        <v>100</v>
      </c>
      <c r="C467" s="16" t="s">
        <v>454</v>
      </c>
      <c r="D467" s="137"/>
      <c r="E467" s="138"/>
      <c r="F467" s="138"/>
      <c r="G467" s="16"/>
    </row>
    <row r="468" spans="1:7" ht="15.75">
      <c r="A468" s="112">
        <f>'04'!A468+(B468-SUM(D468:F468))</f>
        <v>193.4</v>
      </c>
      <c r="B468" s="134">
        <f>15+35</f>
        <v>50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568.63</v>
      </c>
      <c r="B480" s="135">
        <f>SUM(B466:B479)</f>
        <v>-400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30" t="str">
        <f>AÑO!A44</f>
        <v>NULO</v>
      </c>
      <c r="C482" s="436"/>
      <c r="D482" s="436"/>
      <c r="E482" s="436"/>
      <c r="F482" s="436"/>
      <c r="G482" s="437"/>
    </row>
    <row r="483" spans="2:7" ht="15" customHeight="1" thickBot="1">
      <c r="B483" s="438"/>
      <c r="C483" s="439"/>
      <c r="D483" s="439"/>
      <c r="E483" s="439"/>
      <c r="F483" s="439"/>
      <c r="G483" s="440"/>
    </row>
    <row r="484" spans="2:7">
      <c r="B484" s="431" t="s">
        <v>8</v>
      </c>
      <c r="C484" s="432"/>
      <c r="D484" s="433" t="s">
        <v>9</v>
      </c>
      <c r="E484" s="433"/>
      <c r="F484" s="433"/>
      <c r="G484" s="432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30" t="str">
        <f>AÑO!A45</f>
        <v>OTROS</v>
      </c>
      <c r="C502" s="436"/>
      <c r="D502" s="436"/>
      <c r="E502" s="436"/>
      <c r="F502" s="436"/>
      <c r="G502" s="437"/>
    </row>
    <row r="503" spans="2:7" ht="15" customHeight="1" thickBot="1">
      <c r="B503" s="438"/>
      <c r="C503" s="439"/>
      <c r="D503" s="439"/>
      <c r="E503" s="439"/>
      <c r="F503" s="439"/>
      <c r="G503" s="440"/>
    </row>
    <row r="504" spans="2:7">
      <c r="B504" s="431" t="s">
        <v>8</v>
      </c>
      <c r="C504" s="432"/>
      <c r="D504" s="431" t="s">
        <v>9</v>
      </c>
      <c r="E504" s="433"/>
      <c r="F504" s="433"/>
      <c r="G504" s="432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" location="Trimestre!C39:F40" display="TELÉFONO" xr:uid="{A5A9C1AE-FA77-4B03-91A5-3C7C451F6652}"/>
    <hyperlink ref="I2:L3" location="AÑO!S4:V5" display="SALDO REAL" xr:uid="{AF4E0249-6339-4D4B-8989-BFCE1D12F767}"/>
    <hyperlink ref="B2" location="Trimestre!C25:F26" display="HIPOTECA" xr:uid="{21638881-E10A-4387-A1D8-39673B44B6F8}"/>
    <hyperlink ref="B2:G3" location="AÑO!S20:V20" display="AÑO!S20:V20" xr:uid="{CC3F70BE-85F3-4F80-85B1-27F5FC8EAF0B}"/>
    <hyperlink ref="I22" location="Trimestre!C39:F40" display="TELÉFONO" xr:uid="{BB12CCB8-1173-44E4-9278-BC9E97480635}"/>
    <hyperlink ref="I22:L23" location="AÑO!S7:V17" display="INGRESOS" xr:uid="{EF8D674F-8E35-46E1-A1BA-C27AEA8D5852}"/>
    <hyperlink ref="B22" location="Trimestre!C25:F26" display="HIPOTECA" xr:uid="{F9F0C922-CD6C-4013-9F37-1984F7ECBD50}"/>
    <hyperlink ref="B22:G23" location="AÑO!S21:V21" display="AÑO!S21:V21" xr:uid="{CED09A46-DABF-45D0-8F83-FFECCAF72C6F}"/>
    <hyperlink ref="B42" location="Trimestre!C25:F26" display="HIPOTECA" xr:uid="{244BAA62-94B3-444B-8315-5B4D8C151BAC}"/>
    <hyperlink ref="B42:G43" location="AÑO!S22:V22" display="AÑO!S22:V22" xr:uid="{0F1AC34E-0E6B-45C0-ADCE-8AB3CCD88AC0}"/>
    <hyperlink ref="B62" location="Trimestre!C25:F26" display="HIPOTECA" xr:uid="{BE1A4C25-0506-4426-93B4-E8C4FD492466}"/>
    <hyperlink ref="B62:G63" location="AÑO!S23:V23" display="AÑO!S23:V23" xr:uid="{503CEBA6-5FB5-49AE-9A84-76C4DDD54FBD}"/>
    <hyperlink ref="B82" location="Trimestre!C25:F26" display="HIPOTECA" xr:uid="{1BCCA366-8CA9-4F11-961E-4A50E65BF955}"/>
    <hyperlink ref="B82:G83" location="AÑO!S24:V24" display="AÑO!S24:V24" xr:uid="{D8032147-A151-4625-B0D2-43196EC08A6A}"/>
    <hyperlink ref="B102" location="Trimestre!C25:F26" display="HIPOTECA" xr:uid="{3D4FB3E3-04AC-40BA-84C4-ED18C0140A33}"/>
    <hyperlink ref="B102:G103" location="AÑO!S25:V25" display="AÑO!S25:V25" xr:uid="{6B403437-19A2-4F2C-B6E5-9F44D2697B83}"/>
    <hyperlink ref="B122" location="Trimestre!C25:F26" display="HIPOTECA" xr:uid="{43CFFD85-3F55-44AF-B621-6D46EFD1C07F}"/>
    <hyperlink ref="B122:G123" location="AÑO!S26:V26" display="AÑO!S26:V26" xr:uid="{B31A78CD-DAF7-4E75-9C06-AD6D09638C1A}"/>
    <hyperlink ref="B142" location="Trimestre!C25:F26" display="HIPOTECA" xr:uid="{16D220B4-D51F-4546-BD38-D1CA6EBF2ACD}"/>
    <hyperlink ref="B142:G143" location="AÑO!S27:V27" display="AÑO!S27:V27" xr:uid="{CDA19D48-32FF-49FA-93C5-6A81F017AE1D}"/>
    <hyperlink ref="B162" location="Trimestre!C25:F26" display="HIPOTECA" xr:uid="{31FD3CDE-1AF8-4B42-9620-7D80D5C85D03}"/>
    <hyperlink ref="B162:G163" location="AÑO!S28:V28" display="AÑO!S28:V28" xr:uid="{CD4D19A6-987A-45B5-862B-9A4496A35650}"/>
    <hyperlink ref="B182" location="Trimestre!C25:F26" display="HIPOTECA" xr:uid="{90CCF46A-3E8F-48EA-8C21-6B88DDDD8338}"/>
    <hyperlink ref="B182:G183" location="AÑO!S29:V29" display="AÑO!S29:V29" xr:uid="{DF52C654-1C4D-4CAB-9A6F-62DBB8D557F1}"/>
    <hyperlink ref="B202" location="Trimestre!C25:F26" display="HIPOTECA" xr:uid="{A70E27AA-572D-43E5-81CF-C4B5A9D6E517}"/>
    <hyperlink ref="B202:G203" location="AÑO!S30:V30" display="AÑO!S30:V30" xr:uid="{C530BF0A-C67E-4F55-8DF1-89A7C3D3C403}"/>
    <hyperlink ref="B222" location="Trimestre!C25:F26" display="HIPOTECA" xr:uid="{918A5996-F3C2-4FE1-AC99-1D5CB52BB22F}"/>
    <hyperlink ref="B222:G223" location="AÑO!S31:V31" display="AÑO!S31:V31" xr:uid="{86FD4112-F38D-42C6-BFDE-E3A28BC76EA5}"/>
    <hyperlink ref="B242" location="Trimestre!C25:F26" display="HIPOTECA" xr:uid="{AD0B23F0-7EAB-455F-BF4C-910708D153AA}"/>
    <hyperlink ref="B242:G243" location="AÑO!S32:V32" display="AÑO!S32:V32" xr:uid="{994CB92F-921B-407C-B404-DC2858AC5922}"/>
    <hyperlink ref="B262" location="Trimestre!C25:F26" display="HIPOTECA" xr:uid="{EAB46DC5-CB4D-4835-9A84-8F7377E0CE0C}"/>
    <hyperlink ref="B262:G263" location="AÑO!S33:V33" display="AÑO!S33:V33" xr:uid="{75880A30-1E80-4916-8DB4-4C7B6D817431}"/>
    <hyperlink ref="B282" location="Trimestre!C25:F26" display="HIPOTECA" xr:uid="{924BE1C9-0303-445F-A3CA-0E5B57DFAED8}"/>
    <hyperlink ref="B282:G283" location="AÑO!S34:V34" display="AÑO!S34:V34" xr:uid="{18F535D3-FAA9-457D-8E5B-9C6A6CD4FF26}"/>
    <hyperlink ref="B302" location="Trimestre!C25:F26" display="HIPOTECA" xr:uid="{B23BCDBF-D615-409E-B358-847C80316071}"/>
    <hyperlink ref="B302:G303" location="AÑO!S35:V35" display="AÑO!S35:V35" xr:uid="{922C42CD-488F-49B9-93E1-4EC225657F19}"/>
    <hyperlink ref="B322" location="Trimestre!C25:F26" display="HIPOTECA" xr:uid="{E22C9BC9-94AF-4DF3-A22D-1192AA9CA52F}"/>
    <hyperlink ref="B322:G323" location="AÑO!S36:V36" display="AÑO!S36:V36" xr:uid="{D4719D72-CFA2-4C2D-B8B4-95BFB826C4EA}"/>
    <hyperlink ref="B342" location="Trimestre!C25:F26" display="HIPOTECA" xr:uid="{C84D498D-59C6-4343-8205-5831F34CF71C}"/>
    <hyperlink ref="B342:G343" location="AÑO!S37:V37" display="AÑO!S37:V37" xr:uid="{BB2A541B-A350-4290-BD68-8CD973680099}"/>
    <hyperlink ref="B362" location="Trimestre!C25:F26" display="HIPOTECA" xr:uid="{C58001FA-E4CA-46E5-8B38-58C407EBB712}"/>
    <hyperlink ref="B362:G363" location="AÑO!S38:V38" display="AÑO!S38:V38" xr:uid="{706084C7-D781-4A88-AE4B-F342BB82D627}"/>
    <hyperlink ref="B382" location="Trimestre!C25:F26" display="HIPOTECA" xr:uid="{9A75DF25-0C2C-4862-9766-495B88D439F2}"/>
    <hyperlink ref="B382:G383" location="AÑO!S39:V39" display="AÑO!S39:V39" xr:uid="{5CFC7EA4-5FD7-4F00-9B53-AA498336E25D}"/>
    <hyperlink ref="B402" location="Trimestre!C25:F26" display="HIPOTECA" xr:uid="{6F4C86F2-59B9-4A28-9ED0-E7AAB16F2819}"/>
    <hyperlink ref="B402:G403" location="AÑO!S40:V40" display="AÑO!S40:V40" xr:uid="{7CD7E4FA-39C4-45E7-B27E-049D821CBEB4}"/>
    <hyperlink ref="B422" location="Trimestre!C25:F26" display="HIPOTECA" xr:uid="{FF38462F-CD21-4504-B396-FB49D2F688D8}"/>
    <hyperlink ref="B422:G423" location="AÑO!S41:V41" display="AÑO!S41:V41" xr:uid="{614CD5D7-7102-4960-91B1-A0EBD0E9FA8C}"/>
    <hyperlink ref="B442" location="Trimestre!C25:F26" display="HIPOTECA" xr:uid="{78475C08-6BD3-4DD5-9911-962E1DFE2F8E}"/>
    <hyperlink ref="B442:G443" location="AÑO!S42:V42" display="AÑO!S42:V42" xr:uid="{3321C4F9-47BF-4D0A-93FE-AFC59F09A6E4}"/>
    <hyperlink ref="B462" location="Trimestre!C25:F26" display="HIPOTECA" xr:uid="{70D7E32A-FC07-4F1A-98CE-96E69323DA35}"/>
    <hyperlink ref="B462:G463" location="AÑO!S43:V43" display="AÑO!S43:V43" xr:uid="{28E4C79B-EB20-4F17-9FF5-D9EBCC32F648}"/>
    <hyperlink ref="B482" location="Trimestre!C25:F26" display="HIPOTECA" xr:uid="{DAC6EBDB-7181-4FEA-8A75-0DF4DF2CD73C}"/>
    <hyperlink ref="B482:G483" location="AÑO!S44:V44" display="AÑO!S44:V44" xr:uid="{F880265A-B96C-4F6B-B84A-724D6021839E}"/>
    <hyperlink ref="B502" location="Trimestre!C25:F26" display="HIPOTECA" xr:uid="{E83DA720-F94F-43F9-9B75-BE982F4E3707}"/>
    <hyperlink ref="B502:G503" location="AÑO!S45:V45" display="AÑO!S45:V45" xr:uid="{E8D8B980-E6F5-4F6E-8DC0-C97CF6E93A7B}"/>
  </hyperlink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V520"/>
  <sheetViews>
    <sheetView topLeftCell="A342" zoomScaleNormal="100" workbookViewId="0">
      <selection activeCell="A347" sqref="A347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225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30" t="str">
        <f>AÑO!A20</f>
        <v>Cártama Gastos</v>
      </c>
      <c r="C2" s="419"/>
      <c r="D2" s="419"/>
      <c r="E2" s="419"/>
      <c r="F2" s="419"/>
      <c r="G2" s="420"/>
      <c r="H2" s="222"/>
      <c r="I2" s="418" t="s">
        <v>4</v>
      </c>
      <c r="J2" s="419"/>
      <c r="K2" s="419"/>
      <c r="L2" s="420"/>
      <c r="M2" s="1"/>
      <c r="N2" s="1"/>
      <c r="R2" s="3"/>
    </row>
    <row r="3" spans="1:22" ht="16.5" thickBot="1">
      <c r="A3" s="1"/>
      <c r="B3" s="421"/>
      <c r="C3" s="422"/>
      <c r="D3" s="422"/>
      <c r="E3" s="422"/>
      <c r="F3" s="422"/>
      <c r="G3" s="423"/>
      <c r="H3" s="1"/>
      <c r="I3" s="421"/>
      <c r="J3" s="422"/>
      <c r="K3" s="422"/>
      <c r="L3" s="423"/>
      <c r="M3" s="1"/>
      <c r="N3" s="1"/>
      <c r="R3" s="3"/>
    </row>
    <row r="4" spans="1:22" ht="15.75">
      <c r="A4" s="1"/>
      <c r="B4" s="431" t="s">
        <v>8</v>
      </c>
      <c r="C4" s="432"/>
      <c r="D4" s="431" t="s">
        <v>9</v>
      </c>
      <c r="E4" s="433"/>
      <c r="F4" s="433"/>
      <c r="G4" s="432"/>
      <c r="H4" s="222"/>
      <c r="I4" s="40" t="s">
        <v>57</v>
      </c>
      <c r="J4" s="105" t="s">
        <v>58</v>
      </c>
      <c r="K4" s="424" t="s">
        <v>59</v>
      </c>
      <c r="L4" s="425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26">
        <f>M5+2156.93</f>
        <v>1614.1099999999997</v>
      </c>
      <c r="L5" s="427"/>
      <c r="M5" s="1">
        <f>-542.82</f>
        <v>-542.82000000000005</v>
      </c>
      <c r="N5" s="1" t="s">
        <v>612</v>
      </c>
      <c r="R5" s="3"/>
    </row>
    <row r="6" spans="1:22" ht="15.75">
      <c r="A6" s="112">
        <f>'05'!A6+(B6-SUM(D6:F6))</f>
        <v>6</v>
      </c>
      <c r="B6" s="133">
        <v>403.08</v>
      </c>
      <c r="C6" s="19" t="s">
        <v>377</v>
      </c>
      <c r="D6" s="137"/>
      <c r="E6" s="138">
        <v>403.08</v>
      </c>
      <c r="F6" s="138"/>
      <c r="G6" s="16" t="s">
        <v>32</v>
      </c>
      <c r="H6" s="1"/>
      <c r="I6" s="108" t="s">
        <v>60</v>
      </c>
      <c r="J6" s="107" t="s">
        <v>62</v>
      </c>
      <c r="K6" s="428">
        <v>620.1</v>
      </c>
      <c r="L6" s="429"/>
      <c r="M6" s="1" t="s">
        <v>165</v>
      </c>
      <c r="N6" s="1"/>
      <c r="R6" s="3"/>
    </row>
    <row r="7" spans="1:22" ht="15.75">
      <c r="A7" s="112">
        <f>'05'!A7+(B7-SUM(D7:F7))</f>
        <v>102.84999999999997</v>
      </c>
      <c r="B7" s="134">
        <v>67.180000000000007</v>
      </c>
      <c r="C7" s="16" t="s">
        <v>401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28">
        <f>9234.42-58.2</f>
        <v>9176.2199999999993</v>
      </c>
      <c r="L7" s="429"/>
      <c r="M7" s="1"/>
      <c r="N7" s="1"/>
      <c r="R7" s="3"/>
    </row>
    <row r="8" spans="1:22" ht="15.75">
      <c r="A8" s="112">
        <f>'05'!A8+(B8-SUM(D8:F8))</f>
        <v>-99.01</v>
      </c>
      <c r="B8" s="134">
        <v>0</v>
      </c>
      <c r="C8" s="16" t="s">
        <v>35</v>
      </c>
      <c r="D8" s="137"/>
      <c r="E8" s="113">
        <v>99.01</v>
      </c>
      <c r="F8" s="138"/>
      <c r="G8" s="16" t="s">
        <v>35</v>
      </c>
      <c r="H8" s="1"/>
      <c r="I8" s="108" t="s">
        <v>63</v>
      </c>
      <c r="J8" s="107" t="s">
        <v>65</v>
      </c>
      <c r="K8" s="428">
        <v>6305.62</v>
      </c>
      <c r="L8" s="429"/>
      <c r="M8" s="1"/>
      <c r="N8" s="1"/>
      <c r="R8" s="3"/>
    </row>
    <row r="9" spans="1:22" ht="15.75">
      <c r="A9" s="112">
        <f>'05'!A9+(B9-SUM(D9:F9))</f>
        <v>0</v>
      </c>
      <c r="B9" s="134">
        <v>16.739999999999998</v>
      </c>
      <c r="C9" s="16" t="s">
        <v>37</v>
      </c>
      <c r="D9" s="137"/>
      <c r="E9" s="138">
        <v>16.739999999999998</v>
      </c>
      <c r="F9" s="138"/>
      <c r="G9" s="16" t="s">
        <v>37</v>
      </c>
      <c r="H9" s="112"/>
      <c r="I9" s="108" t="s">
        <v>63</v>
      </c>
      <c r="J9" s="107" t="s">
        <v>157</v>
      </c>
      <c r="K9" s="428">
        <v>169.67</v>
      </c>
      <c r="L9" s="429"/>
      <c r="M9" s="1"/>
      <c r="N9" s="1"/>
      <c r="R9" s="3"/>
    </row>
    <row r="10" spans="1:22" ht="15.75">
      <c r="A10" s="112">
        <f>'05'!A10+(B10-SUM(D10:F10))</f>
        <v>12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28">
        <v>1802.02</v>
      </c>
      <c r="L10" s="429"/>
      <c r="M10" s="1" t="s">
        <v>156</v>
      </c>
      <c r="N10" s="1"/>
      <c r="R10" s="3"/>
    </row>
    <row r="11" spans="1:22" ht="15.75">
      <c r="A11" s="112">
        <f>'05'!A11+(B11-SUM(D11:F11))</f>
        <v>-2.9999999999994031E-2</v>
      </c>
      <c r="B11" s="134">
        <v>30.24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428">
        <v>190</v>
      </c>
      <c r="L11" s="429"/>
      <c r="M11" s="1"/>
      <c r="N11" s="1"/>
      <c r="R11" s="3"/>
    </row>
    <row r="12" spans="1:22" ht="15.75">
      <c r="A12" s="112">
        <f>'05'!A12+(B12-SUM(D12:F12))</f>
        <v>188.04000000000002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28">
        <f>5092.08+4044.26</f>
        <v>9136.34</v>
      </c>
      <c r="L12" s="429"/>
      <c r="M12" s="92"/>
      <c r="N12" s="1"/>
      <c r="R12" s="3"/>
    </row>
    <row r="13" spans="1:22" ht="15.75">
      <c r="A13" s="112">
        <f>'05'!A13+(B13-SUM(D13:F13))</f>
        <v>24.5</v>
      </c>
      <c r="B13" s="134">
        <v>6.5</v>
      </c>
      <c r="C13" s="16" t="s">
        <v>326</v>
      </c>
      <c r="D13" s="137"/>
      <c r="E13" s="138"/>
      <c r="F13" s="138"/>
      <c r="G13" s="16"/>
      <c r="H13" s="1"/>
      <c r="I13" s="108"/>
      <c r="J13" s="107"/>
      <c r="K13" s="428"/>
      <c r="L13" s="429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8"/>
      <c r="L14" s="429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8"/>
      <c r="L15" s="429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8"/>
      <c r="L16" s="429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8"/>
      <c r="L17" s="429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4"/>
      <c r="L18" s="435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43">
        <f>SUM(K5:K18)</f>
        <v>29014.079999999998</v>
      </c>
      <c r="L19" s="444"/>
      <c r="M19" s="1"/>
      <c r="N19" s="1"/>
      <c r="R19" s="3"/>
    </row>
    <row r="20" spans="1:18" ht="16.5" thickBot="1">
      <c r="A20" s="112">
        <f>SUM(A6:A15)</f>
        <v>234.35</v>
      </c>
      <c r="B20" s="135">
        <f>SUM(B6:B19)</f>
        <v>560.74</v>
      </c>
      <c r="C20" s="17" t="s">
        <v>53</v>
      </c>
      <c r="D20" s="135">
        <f>SUM(D6:D19)</f>
        <v>0</v>
      </c>
      <c r="E20" s="135">
        <f>SUM(E6:E19)</f>
        <v>561.06999999999994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18075.719999999998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30" t="str">
        <f>AÑO!A21</f>
        <v>Waterloo</v>
      </c>
      <c r="C22" s="419"/>
      <c r="D22" s="419"/>
      <c r="E22" s="419"/>
      <c r="F22" s="419"/>
      <c r="G22" s="420"/>
      <c r="H22" s="1"/>
      <c r="I22" s="418" t="s">
        <v>6</v>
      </c>
      <c r="J22" s="419"/>
      <c r="K22" s="419"/>
      <c r="L22" s="420"/>
      <c r="M22" s="1"/>
      <c r="R22" s="3"/>
    </row>
    <row r="23" spans="1:18" ht="16.149999999999999" customHeight="1" thickBot="1">
      <c r="A23" s="1"/>
      <c r="B23" s="421"/>
      <c r="C23" s="422"/>
      <c r="D23" s="422"/>
      <c r="E23" s="422"/>
      <c r="F23" s="422"/>
      <c r="G23" s="423"/>
      <c r="H23" s="1"/>
      <c r="I23" s="421"/>
      <c r="J23" s="422"/>
      <c r="K23" s="422"/>
      <c r="L23" s="423"/>
      <c r="M23" s="1"/>
      <c r="R23" s="3"/>
    </row>
    <row r="24" spans="1:18" ht="15.75">
      <c r="A24" s="1"/>
      <c r="B24" s="431" t="s">
        <v>8</v>
      </c>
      <c r="C24" s="432"/>
      <c r="D24" s="431" t="s">
        <v>9</v>
      </c>
      <c r="E24" s="433"/>
      <c r="F24" s="433"/>
      <c r="G24" s="432"/>
      <c r="H24" s="1"/>
      <c r="I24" s="40" t="s">
        <v>31</v>
      </c>
      <c r="J24" s="403" t="s">
        <v>87</v>
      </c>
      <c r="K24" s="404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05" t="str">
        <f>AÑO!A8</f>
        <v>Manolo Salario</v>
      </c>
      <c r="J25" s="408" t="s">
        <v>402</v>
      </c>
      <c r="K25" s="409"/>
      <c r="L25" s="231">
        <v>2574.61</v>
      </c>
      <c r="M25" s="1"/>
      <c r="R25" s="3"/>
    </row>
    <row r="26" spans="1:18" ht="15.75">
      <c r="A26" s="112">
        <f>'05'!A26+(B26-SUM(D26:F26))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06"/>
      <c r="J26" s="410"/>
      <c r="K26" s="411"/>
      <c r="L26" s="229"/>
      <c r="M26" s="1"/>
      <c r="R26" s="3"/>
    </row>
    <row r="27" spans="1:18" ht="15.75">
      <c r="A27" s="112">
        <f>'05'!A27+(B27-SUM(D27:F27))</f>
        <v>30.029999999999973</v>
      </c>
      <c r="B27" s="134">
        <v>190</v>
      </c>
      <c r="C27" s="27" t="s">
        <v>40</v>
      </c>
      <c r="D27" s="137">
        <v>185.99</v>
      </c>
      <c r="E27" s="138"/>
      <c r="F27" s="138"/>
      <c r="G27" s="16" t="s">
        <v>40</v>
      </c>
      <c r="H27" s="1"/>
      <c r="I27" s="406"/>
      <c r="J27" s="410"/>
      <c r="K27" s="411"/>
      <c r="L27" s="229"/>
      <c r="M27" s="1"/>
      <c r="R27" s="3"/>
    </row>
    <row r="28" spans="1:18" ht="15.75">
      <c r="A28" s="112">
        <f>'05'!A28+(B28-SUM(D28:F28))</f>
        <v>118.30000000000001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06"/>
      <c r="J28" s="410"/>
      <c r="K28" s="411"/>
      <c r="L28" s="229"/>
      <c r="M28" s="1"/>
      <c r="R28" s="3"/>
    </row>
    <row r="29" spans="1:18" ht="15.75">
      <c r="A29" s="112">
        <f>'05'!A29+(B29-SUM(D29:F29))</f>
        <v>1.480000000000004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14"/>
      <c r="J29" s="415"/>
      <c r="K29" s="416"/>
      <c r="L29" s="230"/>
      <c r="M29" s="1"/>
      <c r="R29" s="3"/>
    </row>
    <row r="30" spans="1:18" ht="15.75" customHeight="1">
      <c r="A30" s="112">
        <f>'05'!A30+(B30-SUM(D30:F30))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05" t="str">
        <f>AÑO!A9</f>
        <v>Rocío Salario</v>
      </c>
      <c r="J30" s="408" t="s">
        <v>627</v>
      </c>
      <c r="K30" s="409"/>
      <c r="L30" s="231">
        <v>160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6"/>
      <c r="J31" s="410" t="s">
        <v>431</v>
      </c>
      <c r="K31" s="411"/>
      <c r="L31" s="229">
        <v>305.41000000000003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6"/>
      <c r="J32" s="410" t="s">
        <v>328</v>
      </c>
      <c r="K32" s="411"/>
      <c r="L32" s="229">
        <v>148.26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6"/>
      <c r="J33" s="410"/>
      <c r="K33" s="411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4"/>
      <c r="J34" s="415"/>
      <c r="K34" s="416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5" t="s">
        <v>218</v>
      </c>
      <c r="J35" s="408" t="s">
        <v>359</v>
      </c>
      <c r="K35" s="409"/>
      <c r="L35" s="231">
        <v>55.09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6"/>
      <c r="J36" s="410"/>
      <c r="K36" s="411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6"/>
      <c r="J37" s="410"/>
      <c r="K37" s="411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6"/>
      <c r="J38" s="410"/>
      <c r="K38" s="411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4"/>
      <c r="J39" s="415"/>
      <c r="K39" s="416"/>
      <c r="L39" s="230"/>
      <c r="M39" s="1"/>
      <c r="R39" s="3"/>
    </row>
    <row r="40" spans="1:18" ht="16.5" thickBot="1">
      <c r="A40" s="112">
        <f>SUM(A26:A35)</f>
        <v>336.09</v>
      </c>
      <c r="B40" s="135">
        <f>SUM(B26:B39)</f>
        <v>1148</v>
      </c>
      <c r="C40" s="17" t="s">
        <v>53</v>
      </c>
      <c r="D40" s="135">
        <f>SUM(D26:D39)</f>
        <v>1103.94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05" t="str">
        <f>AÑO!A11</f>
        <v>Finanazas</v>
      </c>
      <c r="J40" s="408"/>
      <c r="K40" s="409"/>
      <c r="L40" s="231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6"/>
      <c r="J41" s="410"/>
      <c r="K41" s="411"/>
      <c r="L41" s="229"/>
      <c r="M41" s="1"/>
      <c r="R41" s="3"/>
    </row>
    <row r="42" spans="1:18" ht="15.6" customHeight="1">
      <c r="A42" s="1"/>
      <c r="B42" s="430" t="str">
        <f>AÑO!A22</f>
        <v>Comida+Limpieza</v>
      </c>
      <c r="C42" s="419"/>
      <c r="D42" s="419"/>
      <c r="E42" s="419"/>
      <c r="F42" s="419"/>
      <c r="G42" s="420"/>
      <c r="H42" s="1"/>
      <c r="I42" s="406"/>
      <c r="J42" s="410"/>
      <c r="K42" s="411"/>
      <c r="L42" s="229"/>
      <c r="M42" s="1"/>
      <c r="R42" s="3"/>
    </row>
    <row r="43" spans="1:18" ht="16.149999999999999" customHeight="1" thickBot="1">
      <c r="A43" s="1"/>
      <c r="B43" s="421"/>
      <c r="C43" s="422"/>
      <c r="D43" s="422"/>
      <c r="E43" s="422"/>
      <c r="F43" s="422"/>
      <c r="G43" s="423"/>
      <c r="H43" s="1"/>
      <c r="I43" s="406"/>
      <c r="J43" s="410"/>
      <c r="K43" s="411"/>
      <c r="L43" s="229"/>
      <c r="M43" s="1"/>
      <c r="R43" s="3"/>
    </row>
    <row r="44" spans="1:18" ht="15.75">
      <c r="A44" s="1"/>
      <c r="B44" s="431" t="s">
        <v>8</v>
      </c>
      <c r="C44" s="432"/>
      <c r="D44" s="431" t="s">
        <v>9</v>
      </c>
      <c r="E44" s="433"/>
      <c r="F44" s="433"/>
      <c r="G44" s="432"/>
      <c r="H44" s="1"/>
      <c r="I44" s="414"/>
      <c r="J44" s="415"/>
      <c r="K44" s="416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05" t="str">
        <f>AÑO!A12</f>
        <v>Regalos</v>
      </c>
      <c r="J45" s="408" t="s">
        <v>160</v>
      </c>
      <c r="K45" s="409"/>
      <c r="L45" s="231">
        <v>242.41</v>
      </c>
      <c r="M45" s="1"/>
      <c r="R45" s="3"/>
    </row>
    <row r="46" spans="1:18" ht="15.75">
      <c r="A46" s="1"/>
      <c r="B46" s="133">
        <f>239.2+54</f>
        <v>293.2</v>
      </c>
      <c r="C46" s="19"/>
      <c r="D46" s="137">
        <v>16.510000000000002</v>
      </c>
      <c r="E46" s="138"/>
      <c r="F46" s="138"/>
      <c r="G46" s="30" t="s">
        <v>619</v>
      </c>
      <c r="H46" s="1"/>
      <c r="I46" s="406"/>
      <c r="J46" s="410"/>
      <c r="K46" s="411"/>
      <c r="L46" s="229"/>
      <c r="M46" s="1"/>
      <c r="R46" s="3"/>
    </row>
    <row r="47" spans="1:18" ht="15.75">
      <c r="A47" s="1"/>
      <c r="B47" s="134">
        <v>6.8</v>
      </c>
      <c r="C47" s="16" t="s">
        <v>78</v>
      </c>
      <c r="D47" s="137">
        <v>12.5</v>
      </c>
      <c r="E47" s="138"/>
      <c r="F47" s="138"/>
      <c r="G47" s="16" t="s">
        <v>631</v>
      </c>
      <c r="H47" s="1"/>
      <c r="I47" s="406"/>
      <c r="J47" s="410"/>
      <c r="K47" s="411"/>
      <c r="L47" s="229"/>
      <c r="M47" s="1"/>
      <c r="R47" s="3"/>
    </row>
    <row r="48" spans="1:18" ht="15.75">
      <c r="A48" s="1"/>
      <c r="B48" s="134"/>
      <c r="C48" s="16" t="s">
        <v>620</v>
      </c>
      <c r="D48" s="137">
        <v>27.2</v>
      </c>
      <c r="E48" s="138"/>
      <c r="F48" s="138"/>
      <c r="G48" s="16" t="s">
        <v>644</v>
      </c>
      <c r="H48" s="1"/>
      <c r="I48" s="406"/>
      <c r="J48" s="410"/>
      <c r="K48" s="411"/>
      <c r="L48" s="229"/>
      <c r="M48" s="1"/>
      <c r="R48" s="3"/>
    </row>
    <row r="49" spans="1:18" ht="15.75">
      <c r="A49" s="1"/>
      <c r="B49" s="134"/>
      <c r="C49" s="16"/>
      <c r="D49" s="137">
        <v>41.97</v>
      </c>
      <c r="E49" s="138"/>
      <c r="F49" s="138"/>
      <c r="G49" s="16" t="s">
        <v>645</v>
      </c>
      <c r="H49" s="1"/>
      <c r="I49" s="414"/>
      <c r="J49" s="415"/>
      <c r="K49" s="416"/>
      <c r="L49" s="230"/>
      <c r="M49" s="1"/>
      <c r="R49" s="3"/>
    </row>
    <row r="50" spans="1:18" ht="15.75" customHeight="1">
      <c r="A50" s="1"/>
      <c r="B50" s="134"/>
      <c r="C50" s="16"/>
      <c r="D50" s="137"/>
      <c r="E50" s="138">
        <v>30</v>
      </c>
      <c r="F50" s="138"/>
      <c r="G50" s="16" t="s">
        <v>649</v>
      </c>
      <c r="H50" s="1"/>
      <c r="I50" s="405" t="str">
        <f>AÑO!A13</f>
        <v>Gubernamental</v>
      </c>
      <c r="J50" s="408" t="s">
        <v>640</v>
      </c>
      <c r="K50" s="409"/>
      <c r="L50" s="231">
        <v>95.8</v>
      </c>
      <c r="M50" s="1"/>
      <c r="R50" s="3"/>
    </row>
    <row r="51" spans="1:18" ht="15.75">
      <c r="A51" s="1"/>
      <c r="B51" s="134"/>
      <c r="C51" s="16"/>
      <c r="D51" s="137">
        <f>115.62-D189-D247</f>
        <v>87.63000000000001</v>
      </c>
      <c r="E51" s="138"/>
      <c r="F51" s="138"/>
      <c r="G51" s="16" t="s">
        <v>657</v>
      </c>
      <c r="H51" s="1"/>
      <c r="I51" s="406"/>
      <c r="J51" s="410"/>
      <c r="K51" s="411"/>
      <c r="L51" s="229"/>
      <c r="M51" s="1"/>
      <c r="R51" s="3"/>
    </row>
    <row r="52" spans="1:18" ht="15.75">
      <c r="A52" s="1"/>
      <c r="B52" s="134"/>
      <c r="C52" s="16"/>
      <c r="D52" s="137">
        <v>4.8</v>
      </c>
      <c r="E52" s="138"/>
      <c r="F52" s="138"/>
      <c r="G52" s="16" t="s">
        <v>659</v>
      </c>
      <c r="H52" s="1"/>
      <c r="I52" s="406"/>
      <c r="J52" s="410"/>
      <c r="K52" s="411"/>
      <c r="L52" s="229"/>
      <c r="M52" s="1"/>
      <c r="R52" s="3"/>
    </row>
    <row r="53" spans="1:18" ht="15.75">
      <c r="A53" s="1"/>
      <c r="B53" s="134"/>
      <c r="C53" s="16"/>
      <c r="D53" s="137">
        <v>52.62</v>
      </c>
      <c r="E53" s="138"/>
      <c r="F53" s="138"/>
      <c r="G53" s="16" t="s">
        <v>665</v>
      </c>
      <c r="H53" s="1"/>
      <c r="I53" s="406"/>
      <c r="J53" s="410"/>
      <c r="K53" s="411"/>
      <c r="L53" s="229"/>
      <c r="M53" s="1"/>
      <c r="R53" s="3"/>
    </row>
    <row r="54" spans="1:18" ht="15.75">
      <c r="A54" s="1"/>
      <c r="B54" s="134"/>
      <c r="C54" s="16"/>
      <c r="D54" s="137">
        <v>7</v>
      </c>
      <c r="E54" s="138"/>
      <c r="F54" s="138"/>
      <c r="G54" s="16" t="s">
        <v>670</v>
      </c>
      <c r="H54" s="1"/>
      <c r="I54" s="414"/>
      <c r="J54" s="415"/>
      <c r="K54" s="416"/>
      <c r="L54" s="230"/>
      <c r="M54" s="1"/>
      <c r="R54" s="3"/>
    </row>
    <row r="55" spans="1:18" ht="15.75" customHeight="1">
      <c r="A55" s="1"/>
      <c r="B55" s="134"/>
      <c r="C55" s="16"/>
      <c r="D55" s="137">
        <v>12.99</v>
      </c>
      <c r="E55" s="138"/>
      <c r="F55" s="138"/>
      <c r="G55" s="16" t="s">
        <v>678</v>
      </c>
      <c r="H55" s="1"/>
      <c r="I55" s="405" t="str">
        <f>AÑO!A14</f>
        <v>Mutualite/DKV</v>
      </c>
      <c r="J55" s="408"/>
      <c r="K55" s="409"/>
      <c r="L55" s="231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6"/>
      <c r="J56" s="410"/>
      <c r="K56" s="411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6"/>
      <c r="J57" s="410"/>
      <c r="K57" s="411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6"/>
      <c r="J58" s="410"/>
      <c r="K58" s="411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4"/>
      <c r="J59" s="415"/>
      <c r="K59" s="416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53</v>
      </c>
      <c r="D60" s="135">
        <f>SUM(D46:D59)</f>
        <v>263.22000000000003</v>
      </c>
      <c r="E60" s="135">
        <f>SUM(E46:E59)</f>
        <v>30</v>
      </c>
      <c r="F60" s="135">
        <f>SUM(F46:F59)</f>
        <v>0</v>
      </c>
      <c r="G60" s="17" t="s">
        <v>53</v>
      </c>
      <c r="H60" s="1"/>
      <c r="I60" s="405" t="str">
        <f>AÑO!A15</f>
        <v>Alquiler Cartama</v>
      </c>
      <c r="J60" s="408" t="s">
        <v>628</v>
      </c>
      <c r="K60" s="409"/>
      <c r="L60" s="231">
        <v>511.74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6"/>
      <c r="J61" s="410"/>
      <c r="K61" s="411"/>
      <c r="L61" s="229"/>
      <c r="M61" s="1"/>
      <c r="R61" s="3"/>
    </row>
    <row r="62" spans="1:18" ht="15.6" customHeight="1">
      <c r="A62" s="1"/>
      <c r="B62" s="430" t="str">
        <f>AÑO!A23</f>
        <v>Ocio</v>
      </c>
      <c r="C62" s="419"/>
      <c r="D62" s="419"/>
      <c r="E62" s="419"/>
      <c r="F62" s="419"/>
      <c r="G62" s="420"/>
      <c r="H62" s="1"/>
      <c r="I62" s="406"/>
      <c r="J62" s="410"/>
      <c r="K62" s="411"/>
      <c r="L62" s="229"/>
      <c r="M62" s="1"/>
      <c r="R62" s="3"/>
    </row>
    <row r="63" spans="1:18" ht="16.149999999999999" customHeight="1" thickBot="1">
      <c r="A63" s="1"/>
      <c r="B63" s="421"/>
      <c r="C63" s="422"/>
      <c r="D63" s="422"/>
      <c r="E63" s="422"/>
      <c r="F63" s="422"/>
      <c r="G63" s="423"/>
      <c r="H63" s="1"/>
      <c r="I63" s="406"/>
      <c r="J63" s="410"/>
      <c r="K63" s="411"/>
      <c r="L63" s="229"/>
      <c r="M63" s="1"/>
      <c r="R63" s="3"/>
    </row>
    <row r="64" spans="1:18" ht="15.75">
      <c r="A64" s="1"/>
      <c r="B64" s="431" t="s">
        <v>8</v>
      </c>
      <c r="C64" s="432"/>
      <c r="D64" s="431" t="s">
        <v>9</v>
      </c>
      <c r="E64" s="433"/>
      <c r="F64" s="433"/>
      <c r="G64" s="432"/>
      <c r="H64" s="1"/>
      <c r="I64" s="414"/>
      <c r="J64" s="415"/>
      <c r="K64" s="416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05" t="str">
        <f>AÑO!A16</f>
        <v>Otros</v>
      </c>
      <c r="J65" s="408"/>
      <c r="K65" s="409"/>
      <c r="L65" s="231"/>
      <c r="M65" s="1"/>
      <c r="R65" s="3"/>
    </row>
    <row r="66" spans="1:18" ht="15.75">
      <c r="A66" s="112">
        <f>'05'!A66+(B66-SUM(D66:F78))+B67+B68</f>
        <v>1.6800000000000139</v>
      </c>
      <c r="B66" s="133">
        <v>160</v>
      </c>
      <c r="C66" s="19" t="s">
        <v>33</v>
      </c>
      <c r="D66" s="137"/>
      <c r="E66" s="138"/>
      <c r="F66" s="138">
        <v>30</v>
      </c>
      <c r="G66" s="19" t="s">
        <v>641</v>
      </c>
      <c r="H66" s="1"/>
      <c r="I66" s="406"/>
      <c r="J66" s="410"/>
      <c r="K66" s="411"/>
      <c r="L66" s="229"/>
      <c r="M66" s="1"/>
      <c r="R66" s="3"/>
    </row>
    <row r="67" spans="1:18" ht="15.75">
      <c r="A67" s="1"/>
      <c r="B67" s="134">
        <v>-35</v>
      </c>
      <c r="C67" s="16" t="s">
        <v>629</v>
      </c>
      <c r="D67" s="137">
        <v>36.049999999999997</v>
      </c>
      <c r="E67" s="138"/>
      <c r="F67" s="138"/>
      <c r="G67" s="31" t="s">
        <v>652</v>
      </c>
      <c r="H67" s="1"/>
      <c r="I67" s="406"/>
      <c r="J67" s="410"/>
      <c r="K67" s="411"/>
      <c r="L67" s="229"/>
      <c r="M67" s="1"/>
      <c r="R67" s="3"/>
    </row>
    <row r="68" spans="1:18" ht="15.75">
      <c r="A68" s="1"/>
      <c r="B68" s="134">
        <v>10</v>
      </c>
      <c r="C68" s="16"/>
      <c r="D68" s="137">
        <v>22.1</v>
      </c>
      <c r="E68" s="138"/>
      <c r="F68" s="138">
        <v>6</v>
      </c>
      <c r="G68" s="16" t="s">
        <v>654</v>
      </c>
      <c r="H68" s="1"/>
      <c r="I68" s="406"/>
      <c r="J68" s="410"/>
      <c r="K68" s="411"/>
      <c r="L68" s="229"/>
      <c r="M68" s="1"/>
      <c r="R68" s="3"/>
    </row>
    <row r="69" spans="1:18" ht="16.5" thickBot="1">
      <c r="A69" s="1"/>
      <c r="B69" s="134"/>
      <c r="C69" s="16"/>
      <c r="D69" s="137"/>
      <c r="E69" s="138"/>
      <c r="F69" s="138">
        <v>4.5</v>
      </c>
      <c r="G69" s="16" t="s">
        <v>656</v>
      </c>
      <c r="H69" s="1"/>
      <c r="I69" s="407"/>
      <c r="J69" s="412"/>
      <c r="K69" s="413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>
        <v>8</v>
      </c>
      <c r="G70" s="16" t="s">
        <v>660</v>
      </c>
      <c r="H70" s="1"/>
      <c r="M70" s="1"/>
      <c r="R70" s="3"/>
    </row>
    <row r="71" spans="1:18" ht="15.75">
      <c r="A71" s="1"/>
      <c r="B71" s="134"/>
      <c r="C71" s="16"/>
      <c r="D71" s="137">
        <v>9</v>
      </c>
      <c r="E71" s="138"/>
      <c r="F71" s="138"/>
      <c r="G71" s="16" t="s">
        <v>661</v>
      </c>
      <c r="H71" s="1"/>
      <c r="M71" s="1"/>
      <c r="R71" s="3"/>
    </row>
    <row r="72" spans="1:18" ht="15.75">
      <c r="A72" s="1"/>
      <c r="B72" s="134"/>
      <c r="C72" s="16"/>
      <c r="D72" s="137">
        <v>27</v>
      </c>
      <c r="E72" s="138"/>
      <c r="F72" s="138"/>
      <c r="G72" s="16" t="s">
        <v>668</v>
      </c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'05'!A79+(B79-SUM(D79:F79))</f>
        <v>80</v>
      </c>
      <c r="B79" s="233">
        <v>10</v>
      </c>
      <c r="C79" s="17" t="s">
        <v>237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81.680000000000007</v>
      </c>
      <c r="B80" s="233">
        <f>SUM(B66:B79)</f>
        <v>145</v>
      </c>
      <c r="C80" s="17" t="s">
        <v>53</v>
      </c>
      <c r="D80" s="135">
        <f>SUM(D66:D79)</f>
        <v>94.15</v>
      </c>
      <c r="E80" s="135">
        <f>SUM(E66:E79)</f>
        <v>0</v>
      </c>
      <c r="F80" s="135">
        <f>SUM(F66:F79)</f>
        <v>48.5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30" t="str">
        <f>AÑO!A24</f>
        <v>Transportes</v>
      </c>
      <c r="C82" s="419"/>
      <c r="D82" s="419"/>
      <c r="E82" s="419"/>
      <c r="F82" s="419"/>
      <c r="G82" s="420"/>
      <c r="H82" s="1"/>
      <c r="M82" s="1"/>
      <c r="R82" s="3"/>
    </row>
    <row r="83" spans="1:18" ht="16.149999999999999" customHeight="1" thickBot="1">
      <c r="A83" s="1"/>
      <c r="B83" s="421"/>
      <c r="C83" s="422"/>
      <c r="D83" s="422"/>
      <c r="E83" s="422"/>
      <c r="F83" s="422"/>
      <c r="G83" s="423"/>
      <c r="H83" s="1"/>
      <c r="M83" s="1"/>
      <c r="R83" s="3"/>
    </row>
    <row r="84" spans="1:18" ht="15.75">
      <c r="A84" s="1"/>
      <c r="B84" s="431" t="s">
        <v>8</v>
      </c>
      <c r="C84" s="432"/>
      <c r="D84" s="431" t="s">
        <v>9</v>
      </c>
      <c r="E84" s="433"/>
      <c r="F84" s="433"/>
      <c r="G84" s="432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202</v>
      </c>
      <c r="D86" s="137">
        <v>41.71</v>
      </c>
      <c r="E86" s="138"/>
      <c r="F86" s="138"/>
      <c r="G86" s="16" t="s">
        <v>623</v>
      </c>
      <c r="H86" s="1"/>
      <c r="M86" s="1"/>
      <c r="R86" s="3"/>
    </row>
    <row r="87" spans="1:18" ht="15.75">
      <c r="A87" s="1"/>
      <c r="B87" s="134">
        <v>20</v>
      </c>
      <c r="C87" s="16"/>
      <c r="D87" s="137">
        <f>2.1+4.8</f>
        <v>6.9</v>
      </c>
      <c r="E87" s="138"/>
      <c r="F87" s="138"/>
      <c r="G87" s="16" t="s">
        <v>625</v>
      </c>
      <c r="H87" s="1"/>
      <c r="M87" s="1"/>
      <c r="R87" s="3"/>
    </row>
    <row r="88" spans="1:18" ht="15.75">
      <c r="A88" s="1"/>
      <c r="B88" s="134"/>
      <c r="C88" s="16"/>
      <c r="D88" s="137">
        <v>46.26</v>
      </c>
      <c r="E88" s="138"/>
      <c r="F88" s="138"/>
      <c r="G88" s="16" t="s">
        <v>642</v>
      </c>
      <c r="H88" s="1"/>
      <c r="M88" s="1"/>
      <c r="R88" s="3"/>
    </row>
    <row r="89" spans="1:18" ht="15.75">
      <c r="A89" s="1"/>
      <c r="B89" s="134"/>
      <c r="C89" s="16"/>
      <c r="D89" s="137">
        <f>7.6+3.8+3.8</f>
        <v>15.2</v>
      </c>
      <c r="E89" s="138"/>
      <c r="F89" s="138"/>
      <c r="G89" s="16" t="s">
        <v>643</v>
      </c>
      <c r="H89" s="1"/>
      <c r="M89" s="1"/>
      <c r="R89" s="3"/>
    </row>
    <row r="90" spans="1:18" ht="15.75">
      <c r="A90" s="1"/>
      <c r="B90" s="134"/>
      <c r="C90" s="16"/>
      <c r="D90" s="137">
        <v>6</v>
      </c>
      <c r="E90" s="138"/>
      <c r="F90" s="138"/>
      <c r="G90" s="16" t="s">
        <v>664</v>
      </c>
      <c r="H90" s="1"/>
      <c r="M90" s="1"/>
      <c r="R90" s="3"/>
    </row>
    <row r="91" spans="1:18" ht="15.75">
      <c r="A91" s="1"/>
      <c r="B91" s="134"/>
      <c r="C91" s="16"/>
      <c r="D91" s="137">
        <v>44.64</v>
      </c>
      <c r="E91" s="138"/>
      <c r="F91" s="138"/>
      <c r="G91" s="16" t="s">
        <v>666</v>
      </c>
      <c r="H91" s="1"/>
      <c r="M91" s="1"/>
      <c r="R91" s="3"/>
    </row>
    <row r="92" spans="1:18" ht="15.75">
      <c r="A92" s="1"/>
      <c r="B92" s="134"/>
      <c r="C92" s="16"/>
      <c r="D92" s="137">
        <v>1.25</v>
      </c>
      <c r="E92" s="138"/>
      <c r="F92" s="138"/>
      <c r="G92" s="16" t="s">
        <v>667</v>
      </c>
      <c r="H92" s="1"/>
      <c r="M92" s="1"/>
      <c r="R92" s="3"/>
    </row>
    <row r="93" spans="1:18" ht="15.75">
      <c r="A93" s="1"/>
      <c r="B93" s="134"/>
      <c r="C93" s="16"/>
      <c r="D93" s="137">
        <v>50.9</v>
      </c>
      <c r="E93" s="138"/>
      <c r="F93" s="138"/>
      <c r="G93" s="16" t="s">
        <v>676</v>
      </c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180</v>
      </c>
      <c r="C100" s="17" t="s">
        <v>53</v>
      </c>
      <c r="D100" s="135">
        <f>SUM(D86:D99)</f>
        <v>212.86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30" t="str">
        <f>AÑO!A25</f>
        <v>Coche</v>
      </c>
      <c r="C102" s="419"/>
      <c r="D102" s="419"/>
      <c r="E102" s="419"/>
      <c r="F102" s="419"/>
      <c r="G102" s="420"/>
      <c r="H102" s="1"/>
      <c r="M102" s="1"/>
      <c r="R102" s="3"/>
    </row>
    <row r="103" spans="1:18" ht="16.149999999999999" customHeight="1" thickBot="1">
      <c r="A103" s="1"/>
      <c r="B103" s="421"/>
      <c r="C103" s="422"/>
      <c r="D103" s="422"/>
      <c r="E103" s="422"/>
      <c r="F103" s="422"/>
      <c r="G103" s="423"/>
      <c r="H103" s="1"/>
      <c r="M103" s="1"/>
      <c r="R103" s="3"/>
    </row>
    <row r="104" spans="1:18" ht="15.75">
      <c r="A104" s="1"/>
      <c r="B104" s="431" t="s">
        <v>8</v>
      </c>
      <c r="C104" s="432"/>
      <c r="D104" s="431" t="s">
        <v>9</v>
      </c>
      <c r="E104" s="433"/>
      <c r="F104" s="433"/>
      <c r="G104" s="432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'05'!A106+(B106-SUM(D106:F106))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'05'!A107+(B107-SUM(D107:F107))</f>
        <v>1.9300000000000352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'05'!A108+(B108-SUM(D108:F108))</f>
        <v>433.09999999999991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'05'!A109+(B109-SUM(D109:F109))</f>
        <v>2537.5900000000006</v>
      </c>
      <c r="B109" s="134">
        <v>67.53</v>
      </c>
      <c r="C109" s="18" t="s">
        <v>456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435.03</v>
      </c>
      <c r="B120" s="135">
        <f>SUM(B106:B119)</f>
        <v>445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30" t="str">
        <f>AÑO!A26</f>
        <v>Teléfono</v>
      </c>
      <c r="C122" s="419"/>
      <c r="D122" s="419"/>
      <c r="E122" s="419"/>
      <c r="F122" s="419"/>
      <c r="G122" s="420"/>
      <c r="H122" s="1"/>
      <c r="M122" s="1"/>
      <c r="R122" s="3"/>
    </row>
    <row r="123" spans="1:18" ht="16.149999999999999" customHeight="1" thickBot="1">
      <c r="A123" s="1"/>
      <c r="B123" s="421"/>
      <c r="C123" s="422"/>
      <c r="D123" s="422"/>
      <c r="E123" s="422"/>
      <c r="F123" s="422"/>
      <c r="G123" s="423"/>
      <c r="H123" s="1"/>
      <c r="M123" s="1"/>
      <c r="R123" s="3"/>
    </row>
    <row r="124" spans="1:18" ht="15.75">
      <c r="A124" s="1"/>
      <c r="B124" s="431" t="s">
        <v>8</v>
      </c>
      <c r="C124" s="432"/>
      <c r="D124" s="431" t="s">
        <v>9</v>
      </c>
      <c r="E124" s="433"/>
      <c r="F124" s="433"/>
      <c r="G124" s="432"/>
      <c r="H124" s="1"/>
      <c r="M124" s="1"/>
      <c r="R124" s="3"/>
    </row>
    <row r="125" spans="1:18" ht="15.75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12">
        <f>'05'!A126+(B126-SUM(D126:F126))</f>
        <v>7.5</v>
      </c>
      <c r="B126" s="133">
        <v>30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12">
        <f>'05'!A127+(B127-SUM(D127:F128))</f>
        <v>7.5</v>
      </c>
      <c r="B127" s="134">
        <v>15</v>
      </c>
      <c r="C127" s="16" t="s">
        <v>47</v>
      </c>
      <c r="D127" s="137">
        <v>10</v>
      </c>
      <c r="E127" s="138"/>
      <c r="F127" s="138"/>
      <c r="G127" s="16" t="s">
        <v>151</v>
      </c>
      <c r="H127" s="1"/>
      <c r="M127" s="1"/>
      <c r="R127" s="3"/>
    </row>
    <row r="128" spans="1:18" ht="15.75">
      <c r="A128" s="112"/>
      <c r="B128" s="134"/>
      <c r="C128" s="16"/>
      <c r="D128" s="137">
        <v>10</v>
      </c>
      <c r="E128" s="138"/>
      <c r="F128" s="138"/>
      <c r="G128" s="16" t="s">
        <v>153</v>
      </c>
      <c r="H128" s="1"/>
      <c r="M128" s="1"/>
      <c r="R128" s="3"/>
    </row>
    <row r="129" spans="1:18" ht="15.75">
      <c r="A129" s="112">
        <f>'05'!A129+(B129-SUM(D129:F129))</f>
        <v>2.9999999999999361E-2</v>
      </c>
      <c r="B129" s="134">
        <v>8</v>
      </c>
      <c r="C129" s="16" t="s">
        <v>162</v>
      </c>
      <c r="D129" s="137"/>
      <c r="E129" s="138">
        <v>7.99</v>
      </c>
      <c r="F129" s="138"/>
      <c r="G129" s="16" t="s">
        <v>162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15</v>
      </c>
      <c r="B140" s="135">
        <f>SUM(B126:B139)</f>
        <v>53</v>
      </c>
      <c r="C140" s="17" t="s">
        <v>53</v>
      </c>
      <c r="D140" s="135">
        <f>SUM(D126:D139)</f>
        <v>47.5</v>
      </c>
      <c r="E140" s="135">
        <f>SUM(E126:E139)</f>
        <v>7.99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30" t="str">
        <f>AÑO!A27</f>
        <v>Gatos</v>
      </c>
      <c r="C142" s="419"/>
      <c r="D142" s="419"/>
      <c r="E142" s="419"/>
      <c r="F142" s="419"/>
      <c r="G142" s="420"/>
      <c r="H142" s="1"/>
      <c r="M142" s="1"/>
      <c r="R142" s="3"/>
    </row>
    <row r="143" spans="1:18" ht="16.149999999999999" customHeight="1" thickBot="1">
      <c r="A143" s="1"/>
      <c r="B143" s="421"/>
      <c r="C143" s="422"/>
      <c r="D143" s="422"/>
      <c r="E143" s="422"/>
      <c r="F143" s="422"/>
      <c r="G143" s="423"/>
      <c r="H143" s="1"/>
      <c r="M143" s="1"/>
      <c r="R143" s="3"/>
    </row>
    <row r="144" spans="1:18" ht="15.75">
      <c r="A144" s="1"/>
      <c r="B144" s="431" t="s">
        <v>8</v>
      </c>
      <c r="C144" s="432"/>
      <c r="D144" s="431" t="s">
        <v>9</v>
      </c>
      <c r="E144" s="433"/>
      <c r="F144" s="433"/>
      <c r="G144" s="432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>
        <v>33.159999999999997</v>
      </c>
      <c r="E146" s="138"/>
      <c r="F146" s="138"/>
      <c r="G146" s="16" t="s">
        <v>677</v>
      </c>
      <c r="H146" s="1"/>
      <c r="M146" s="1"/>
      <c r="R146" s="3"/>
    </row>
    <row r="147" spans="1:22" ht="15.75">
      <c r="A147" s="1"/>
      <c r="B147" s="134">
        <v>-60</v>
      </c>
      <c r="C147" s="16" t="s">
        <v>621</v>
      </c>
      <c r="D147" s="137"/>
      <c r="E147" s="138"/>
      <c r="F147" s="138"/>
      <c r="G147" s="16" t="s">
        <v>622</v>
      </c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-10</v>
      </c>
      <c r="C160" s="17" t="s">
        <v>53</v>
      </c>
      <c r="D160" s="135">
        <f>SUM(D146:D159)</f>
        <v>33.159999999999997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30" t="str">
        <f>AÑO!A28</f>
        <v>Vacaciones</v>
      </c>
      <c r="C162" s="419"/>
      <c r="D162" s="419"/>
      <c r="E162" s="419"/>
      <c r="F162" s="419"/>
      <c r="G162" s="420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21"/>
      <c r="C163" s="422"/>
      <c r="D163" s="422"/>
      <c r="E163" s="422"/>
      <c r="F163" s="422"/>
      <c r="G163" s="423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31" t="s">
        <v>8</v>
      </c>
      <c r="C164" s="432"/>
      <c r="D164" s="431" t="s">
        <v>9</v>
      </c>
      <c r="E164" s="433"/>
      <c r="F164" s="433"/>
      <c r="G164" s="432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30" t="str">
        <f>AÑO!A29</f>
        <v>Ropa</v>
      </c>
      <c r="C182" s="419"/>
      <c r="D182" s="419"/>
      <c r="E182" s="419"/>
      <c r="F182" s="419"/>
      <c r="G182" s="42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21"/>
      <c r="C183" s="422"/>
      <c r="D183" s="422"/>
      <c r="E183" s="422"/>
      <c r="F183" s="422"/>
      <c r="G183" s="42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31" t="s">
        <v>8</v>
      </c>
      <c r="C184" s="432"/>
      <c r="D184" s="431" t="s">
        <v>9</v>
      </c>
      <c r="E184" s="433"/>
      <c r="F184" s="433"/>
      <c r="G184" s="432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>
        <v>12.98</v>
      </c>
      <c r="E186" s="138"/>
      <c r="F186" s="138"/>
      <c r="G186" s="16" t="s">
        <v>646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10</v>
      </c>
      <c r="C187" s="16"/>
      <c r="D187" s="137">
        <v>23.88</v>
      </c>
      <c r="E187" s="138"/>
      <c r="F187" s="138"/>
      <c r="G187" s="16" t="s">
        <v>650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>
        <v>35</v>
      </c>
      <c r="G188" s="16" t="s">
        <v>655</v>
      </c>
      <c r="I188" s="1"/>
      <c r="J188" s="1"/>
      <c r="K188" s="1"/>
      <c r="L188" s="1"/>
    </row>
    <row r="189" spans="1:22" ht="15.75">
      <c r="B189" s="134"/>
      <c r="C189" s="16"/>
      <c r="D189" s="137">
        <v>15</v>
      </c>
      <c r="E189" s="138"/>
      <c r="F189" s="138"/>
      <c r="G189" s="16" t="s">
        <v>657</v>
      </c>
      <c r="I189" s="1"/>
      <c r="J189" s="1"/>
      <c r="K189" s="1"/>
      <c r="L189" s="1"/>
    </row>
    <row r="190" spans="1:22" ht="15.75">
      <c r="B190" s="134"/>
      <c r="C190" s="16"/>
      <c r="D190" s="137">
        <v>23.94</v>
      </c>
      <c r="E190" s="138"/>
      <c r="F190" s="138"/>
      <c r="G190" s="16" t="s">
        <v>658</v>
      </c>
      <c r="I190" s="1"/>
      <c r="J190" s="1"/>
      <c r="K190" s="1"/>
      <c r="L190" s="1"/>
    </row>
    <row r="191" spans="1:22" ht="15.75">
      <c r="B191" s="134"/>
      <c r="C191" s="16"/>
      <c r="D191" s="137">
        <v>26.98</v>
      </c>
      <c r="E191" s="138"/>
      <c r="F191" s="138"/>
      <c r="G191" s="16" t="s">
        <v>679</v>
      </c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80</v>
      </c>
      <c r="C200" s="17" t="s">
        <v>53</v>
      </c>
      <c r="D200" s="135">
        <f>SUM(D186:D199)</f>
        <v>102.78</v>
      </c>
      <c r="E200" s="135">
        <f>SUM(E186:E199)</f>
        <v>0</v>
      </c>
      <c r="F200" s="135">
        <f>SUM(F186:F199)</f>
        <v>35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30" t="str">
        <f>AÑO!A30</f>
        <v>Belleza</v>
      </c>
      <c r="C202" s="419"/>
      <c r="D202" s="419"/>
      <c r="E202" s="419"/>
      <c r="F202" s="419"/>
      <c r="G202" s="420"/>
    </row>
    <row r="203" spans="2:12" ht="15" customHeight="1" thickBot="1">
      <c r="B203" s="421"/>
      <c r="C203" s="422"/>
      <c r="D203" s="422"/>
      <c r="E203" s="422"/>
      <c r="F203" s="422"/>
      <c r="G203" s="423"/>
    </row>
    <row r="204" spans="2:12">
      <c r="B204" s="431" t="s">
        <v>8</v>
      </c>
      <c r="C204" s="432"/>
      <c r="D204" s="431" t="s">
        <v>9</v>
      </c>
      <c r="E204" s="433"/>
      <c r="F204" s="433"/>
      <c r="G204" s="432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30" t="str">
        <f>AÑO!A31</f>
        <v>Deportes</v>
      </c>
      <c r="C222" s="419"/>
      <c r="D222" s="419"/>
      <c r="E222" s="419"/>
      <c r="F222" s="419"/>
      <c r="G222" s="420"/>
    </row>
    <row r="223" spans="2:7" ht="15" customHeight="1" thickBot="1">
      <c r="B223" s="421"/>
      <c r="C223" s="422"/>
      <c r="D223" s="422"/>
      <c r="E223" s="422"/>
      <c r="F223" s="422"/>
      <c r="G223" s="423"/>
    </row>
    <row r="224" spans="2:7">
      <c r="B224" s="431" t="s">
        <v>8</v>
      </c>
      <c r="C224" s="432"/>
      <c r="D224" s="431" t="s">
        <v>9</v>
      </c>
      <c r="E224" s="433"/>
      <c r="F224" s="433"/>
      <c r="G224" s="432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v>20.98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20.98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.75" thickBot="1">
      <c r="B241" s="5"/>
      <c r="C241" s="3"/>
      <c r="D241" s="5"/>
      <c r="E241" s="5"/>
    </row>
    <row r="242" spans="1:7" ht="14.45" customHeight="1">
      <c r="B242" s="430" t="str">
        <f>AÑO!A32</f>
        <v>Hogar</v>
      </c>
      <c r="C242" s="419"/>
      <c r="D242" s="419"/>
      <c r="E242" s="419"/>
      <c r="F242" s="419"/>
      <c r="G242" s="420"/>
    </row>
    <row r="243" spans="1:7" ht="15" customHeight="1" thickBot="1">
      <c r="B243" s="421"/>
      <c r="C243" s="422"/>
      <c r="D243" s="422"/>
      <c r="E243" s="422"/>
      <c r="F243" s="422"/>
      <c r="G243" s="423"/>
    </row>
    <row r="244" spans="1:7" ht="15" customHeight="1">
      <c r="B244" s="431" t="s">
        <v>8</v>
      </c>
      <c r="C244" s="432"/>
      <c r="D244" s="431" t="s">
        <v>9</v>
      </c>
      <c r="E244" s="433"/>
      <c r="F244" s="433"/>
      <c r="G244" s="432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'05'!A246+(B246-SUM(D246:F255))</f>
        <v>26.5</v>
      </c>
      <c r="B246" s="134">
        <v>45</v>
      </c>
      <c r="C246" s="27" t="s">
        <v>403</v>
      </c>
      <c r="D246" s="137"/>
      <c r="E246" s="138">
        <v>21.08</v>
      </c>
      <c r="F246" s="138"/>
      <c r="G246" s="16" t="s">
        <v>648</v>
      </c>
    </row>
    <row r="247" spans="1:7" ht="15" customHeight="1">
      <c r="A247" s="112"/>
      <c r="B247" s="134">
        <f>-10</f>
        <v>-10</v>
      </c>
      <c r="C247" s="16" t="s">
        <v>681</v>
      </c>
      <c r="D247" s="137">
        <v>12.99</v>
      </c>
      <c r="E247" s="138"/>
      <c r="F247" s="138"/>
      <c r="G247" s="16" t="s">
        <v>657</v>
      </c>
    </row>
    <row r="248" spans="1:7" ht="15.75">
      <c r="A248" s="112"/>
      <c r="B248" s="134"/>
      <c r="C248" s="16"/>
      <c r="D248" s="137">
        <f>83.18-D368-D54</f>
        <v>60.580000000000013</v>
      </c>
      <c r="E248" s="138"/>
      <c r="F248" s="138"/>
      <c r="G248" s="16" t="s">
        <v>670</v>
      </c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'05'!A256+(B256-SUM(D256:F256))</f>
        <v>25</v>
      </c>
      <c r="B256" s="134">
        <v>5</v>
      </c>
      <c r="C256" s="16" t="s">
        <v>410</v>
      </c>
      <c r="D256" s="137"/>
      <c r="E256" s="138"/>
      <c r="F256" s="138"/>
      <c r="G256" s="16"/>
    </row>
    <row r="257" spans="1:8" ht="15.75">
      <c r="A257" s="112">
        <f>'05'!A257+(B257-SUM(D257:F257))</f>
        <v>631.79000000000008</v>
      </c>
      <c r="B257" s="134">
        <v>25</v>
      </c>
      <c r="C257" s="16" t="s">
        <v>432</v>
      </c>
      <c r="D257" s="137"/>
      <c r="E257" s="138">
        <v>100.67</v>
      </c>
      <c r="F257" s="138"/>
      <c r="G257" s="16" t="s">
        <v>406</v>
      </c>
    </row>
    <row r="258" spans="1:8" ht="15.75">
      <c r="A258" s="112">
        <f>'05'!A258+(B258-SUM(D258:F258))+'05'!A259</f>
        <v>140</v>
      </c>
      <c r="B258" s="134">
        <v>25</v>
      </c>
      <c r="C258" s="16" t="s">
        <v>404</v>
      </c>
      <c r="D258" s="137"/>
      <c r="E258" s="138"/>
      <c r="F258" s="138"/>
      <c r="G258" s="16"/>
    </row>
    <row r="259" spans="1:8" ht="16.5" thickBot="1">
      <c r="A259" s="112"/>
      <c r="B259" s="135"/>
      <c r="C259" s="17"/>
      <c r="D259" s="135"/>
      <c r="E259" s="139"/>
      <c r="F259" s="139"/>
      <c r="G259" s="17"/>
    </row>
    <row r="260" spans="1:8" ht="16.5" thickBot="1">
      <c r="A260" s="112">
        <f>SUM(A246:A259)</f>
        <v>823.29000000000008</v>
      </c>
      <c r="B260" s="135">
        <f>SUM(B246:B259)</f>
        <v>90</v>
      </c>
      <c r="C260" s="17" t="s">
        <v>53</v>
      </c>
      <c r="D260" s="135">
        <f>SUM(D246:D259)</f>
        <v>73.570000000000007</v>
      </c>
      <c r="E260" s="135">
        <f>SUM(E246:E259)</f>
        <v>121.75</v>
      </c>
      <c r="F260" s="135">
        <f>SUM(F246:F259)</f>
        <v>0</v>
      </c>
      <c r="G260" s="17" t="s">
        <v>53</v>
      </c>
    </row>
    <row r="261" spans="1:8" ht="15.75" thickBot="1">
      <c r="B261" s="5"/>
      <c r="C261" s="3"/>
      <c r="D261" s="5"/>
      <c r="E261" s="5"/>
    </row>
    <row r="262" spans="1:8" ht="14.45" customHeight="1">
      <c r="B262" s="430" t="str">
        <f>AÑO!A33</f>
        <v>Formación</v>
      </c>
      <c r="C262" s="419"/>
      <c r="D262" s="419"/>
      <c r="E262" s="419"/>
      <c r="F262" s="419"/>
      <c r="G262" s="420"/>
    </row>
    <row r="263" spans="1:8" ht="15" customHeight="1" thickBot="1">
      <c r="B263" s="421"/>
      <c r="C263" s="422"/>
      <c r="D263" s="422"/>
      <c r="E263" s="422"/>
      <c r="F263" s="422"/>
      <c r="G263" s="423"/>
    </row>
    <row r="264" spans="1:8">
      <c r="B264" s="431" t="s">
        <v>8</v>
      </c>
      <c r="C264" s="432"/>
      <c r="D264" s="431" t="s">
        <v>9</v>
      </c>
      <c r="E264" s="433"/>
      <c r="F264" s="433"/>
      <c r="G264" s="432"/>
    </row>
    <row r="265" spans="1:8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8">
      <c r="B266" s="133">
        <v>50</v>
      </c>
      <c r="C266" s="19"/>
      <c r="D266" s="137">
        <v>84</v>
      </c>
      <c r="E266" s="138"/>
      <c r="F266" s="138"/>
      <c r="G266" s="16" t="s">
        <v>633</v>
      </c>
    </row>
    <row r="267" spans="1:8">
      <c r="B267" s="134"/>
      <c r="C267" s="16"/>
      <c r="D267" s="137">
        <v>21.5</v>
      </c>
      <c r="E267" s="138"/>
      <c r="F267" s="138">
        <f>185-110</f>
        <v>75</v>
      </c>
      <c r="G267" s="16" t="s">
        <v>663</v>
      </c>
      <c r="H267" s="89" t="s">
        <v>662</v>
      </c>
    </row>
    <row r="268" spans="1:8">
      <c r="B268" s="134"/>
      <c r="C268" s="16"/>
      <c r="D268" s="137"/>
      <c r="E268" s="138">
        <f>4+7</f>
        <v>11</v>
      </c>
      <c r="F268" s="138"/>
      <c r="G268" s="16" t="s">
        <v>669</v>
      </c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2:9">
      <c r="B273" s="134"/>
      <c r="C273" s="16"/>
      <c r="D273" s="137"/>
      <c r="E273" s="138"/>
      <c r="F273" s="138"/>
      <c r="G273" s="16"/>
    </row>
    <row r="274" spans="2:9">
      <c r="B274" s="134"/>
      <c r="C274" s="16"/>
      <c r="D274" s="137"/>
      <c r="E274" s="138"/>
      <c r="F274" s="138"/>
      <c r="G274" s="16"/>
    </row>
    <row r="275" spans="2:9">
      <c r="B275" s="134"/>
      <c r="C275" s="16"/>
      <c r="D275" s="137"/>
      <c r="E275" s="138"/>
      <c r="F275" s="138"/>
      <c r="G275" s="16"/>
    </row>
    <row r="276" spans="2:9">
      <c r="B276" s="134"/>
      <c r="C276" s="16"/>
      <c r="D276" s="137"/>
      <c r="E276" s="138"/>
      <c r="F276" s="138"/>
      <c r="G276" s="16"/>
    </row>
    <row r="277" spans="2:9">
      <c r="B277" s="134"/>
      <c r="C277" s="16"/>
      <c r="D277" s="137"/>
      <c r="E277" s="138"/>
      <c r="F277" s="138"/>
      <c r="G277" s="16"/>
    </row>
    <row r="278" spans="2:9">
      <c r="B278" s="134"/>
      <c r="C278" s="16"/>
      <c r="D278" s="137"/>
      <c r="E278" s="138"/>
      <c r="F278" s="138"/>
      <c r="G278" s="16"/>
    </row>
    <row r="279" spans="2:9" ht="15.75" thickBot="1">
      <c r="B279" s="135"/>
      <c r="C279" s="17"/>
      <c r="D279" s="135"/>
      <c r="E279" s="139"/>
      <c r="F279" s="139"/>
      <c r="G279" s="17"/>
    </row>
    <row r="280" spans="2:9" ht="15.75" thickBot="1">
      <c r="B280" s="135">
        <f>SUM(B266:B279)</f>
        <v>50</v>
      </c>
      <c r="C280" s="17" t="s">
        <v>53</v>
      </c>
      <c r="D280" s="135">
        <f>SUM(D266:D279)</f>
        <v>105.5</v>
      </c>
      <c r="E280" s="135">
        <f>SUM(E266:E279)</f>
        <v>11</v>
      </c>
      <c r="F280" s="135">
        <f>SUM(F266:F279)</f>
        <v>75</v>
      </c>
      <c r="G280" s="17" t="s">
        <v>53</v>
      </c>
    </row>
    <row r="281" spans="2:9" ht="15.75" thickBot="1">
      <c r="B281" s="5"/>
      <c r="C281" s="3"/>
      <c r="D281" s="5"/>
      <c r="E281" s="5"/>
    </row>
    <row r="282" spans="2:9" ht="14.45" customHeight="1">
      <c r="B282" s="430" t="str">
        <f>AÑO!A34</f>
        <v>Regalos</v>
      </c>
      <c r="C282" s="419"/>
      <c r="D282" s="419"/>
      <c r="E282" s="419"/>
      <c r="F282" s="419"/>
      <c r="G282" s="420"/>
    </row>
    <row r="283" spans="2:9" ht="15" customHeight="1" thickBot="1">
      <c r="B283" s="421"/>
      <c r="C283" s="422"/>
      <c r="D283" s="422"/>
      <c r="E283" s="422"/>
      <c r="F283" s="422"/>
      <c r="G283" s="423"/>
    </row>
    <row r="284" spans="2:9">
      <c r="B284" s="431" t="s">
        <v>8</v>
      </c>
      <c r="C284" s="432"/>
      <c r="D284" s="431" t="s">
        <v>9</v>
      </c>
      <c r="E284" s="433"/>
      <c r="F284" s="433"/>
      <c r="G284" s="432"/>
    </row>
    <row r="285" spans="2:9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9">
      <c r="B286" s="133">
        <v>90</v>
      </c>
      <c r="C286" s="19" t="s">
        <v>33</v>
      </c>
      <c r="D286" s="137"/>
      <c r="E286" s="138">
        <v>207.58</v>
      </c>
      <c r="F286" s="138"/>
      <c r="G286" s="16" t="s">
        <v>636</v>
      </c>
    </row>
    <row r="287" spans="2:9">
      <c r="B287" s="134">
        <v>242.41</v>
      </c>
      <c r="C287" s="16" t="s">
        <v>160</v>
      </c>
      <c r="D287" s="137"/>
      <c r="E287" s="138">
        <f>64.83-E50</f>
        <v>34.83</v>
      </c>
      <c r="F287" s="138"/>
      <c r="G287" s="16" t="s">
        <v>647</v>
      </c>
      <c r="H287" s="92"/>
    </row>
    <row r="288" spans="2:9">
      <c r="B288" s="134">
        <v>10</v>
      </c>
      <c r="C288" s="16"/>
      <c r="D288" s="137"/>
      <c r="E288" s="138"/>
      <c r="F288" s="138"/>
      <c r="G288" s="16"/>
      <c r="H288" s="113">
        <v>242.41</v>
      </c>
      <c r="I288" s="89" t="s">
        <v>617</v>
      </c>
    </row>
    <row r="289" spans="2:8">
      <c r="B289" s="134"/>
      <c r="C289" s="16"/>
      <c r="D289" s="137"/>
      <c r="E289" s="138"/>
      <c r="F289" s="138"/>
      <c r="G289" s="16"/>
      <c r="H289" s="113">
        <f>M5+H288</f>
        <v>-300.41000000000008</v>
      </c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342.40999999999997</v>
      </c>
      <c r="C300" s="17" t="s">
        <v>53</v>
      </c>
      <c r="D300" s="135">
        <f>SUM(D286:D299)</f>
        <v>0</v>
      </c>
      <c r="E300" s="135">
        <f>SUM(E286:E299)</f>
        <v>242.41000000000003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30" t="str">
        <f>AÑO!A35</f>
        <v>Salud</v>
      </c>
      <c r="C302" s="419"/>
      <c r="D302" s="419"/>
      <c r="E302" s="419"/>
      <c r="F302" s="419"/>
      <c r="G302" s="420"/>
    </row>
    <row r="303" spans="2:8" ht="15" customHeight="1" thickBot="1">
      <c r="B303" s="421"/>
      <c r="C303" s="422"/>
      <c r="D303" s="422"/>
      <c r="E303" s="422"/>
      <c r="F303" s="422"/>
      <c r="G303" s="423"/>
    </row>
    <row r="304" spans="2:8">
      <c r="B304" s="431" t="s">
        <v>8</v>
      </c>
      <c r="C304" s="432"/>
      <c r="D304" s="431" t="s">
        <v>9</v>
      </c>
      <c r="E304" s="433"/>
      <c r="F304" s="433"/>
      <c r="G304" s="432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115</v>
      </c>
      <c r="C306" s="19" t="s">
        <v>233</v>
      </c>
      <c r="D306" s="137"/>
      <c r="E306" s="138"/>
      <c r="F306" s="138">
        <v>50</v>
      </c>
      <c r="G306" s="16" t="s">
        <v>626</v>
      </c>
    </row>
    <row r="307" spans="2:7">
      <c r="B307" s="134">
        <v>15</v>
      </c>
      <c r="C307" s="27"/>
      <c r="D307" s="137">
        <v>52.6</v>
      </c>
      <c r="E307" s="138"/>
      <c r="F307" s="138"/>
      <c r="G307" s="16" t="s">
        <v>638</v>
      </c>
    </row>
    <row r="308" spans="2:7">
      <c r="B308" s="134"/>
      <c r="C308" s="27"/>
      <c r="D308" s="137"/>
      <c r="E308" s="138"/>
      <c r="F308" s="138">
        <v>50</v>
      </c>
      <c r="G308" s="16" t="s">
        <v>639</v>
      </c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130</v>
      </c>
      <c r="C320" s="17" t="s">
        <v>53</v>
      </c>
      <c r="D320" s="135">
        <f>SUM(D306:D319)</f>
        <v>52.6</v>
      </c>
      <c r="E320" s="135">
        <f>SUM(E306:E319)</f>
        <v>0</v>
      </c>
      <c r="F320" s="135">
        <f>SUM(F306:F319)</f>
        <v>100</v>
      </c>
      <c r="G320" s="17" t="s">
        <v>53</v>
      </c>
    </row>
    <row r="321" spans="2:7" ht="15.75" thickBot="1"/>
    <row r="322" spans="2:7" ht="14.45" customHeight="1">
      <c r="B322" s="430" t="str">
        <f>AÑO!A36</f>
        <v>Nenas</v>
      </c>
      <c r="C322" s="436"/>
      <c r="D322" s="436"/>
      <c r="E322" s="436"/>
      <c r="F322" s="436"/>
      <c r="G322" s="437"/>
    </row>
    <row r="323" spans="2:7" ht="15" customHeight="1" thickBot="1">
      <c r="B323" s="438"/>
      <c r="C323" s="439"/>
      <c r="D323" s="439"/>
      <c r="E323" s="439"/>
      <c r="F323" s="439"/>
      <c r="G323" s="440"/>
    </row>
    <row r="324" spans="2:7">
      <c r="B324" s="431" t="s">
        <v>8</v>
      </c>
      <c r="C324" s="432"/>
      <c r="D324" s="431" t="s">
        <v>9</v>
      </c>
      <c r="E324" s="433"/>
      <c r="F324" s="433"/>
      <c r="G324" s="432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>
        <v>82</v>
      </c>
      <c r="E326" s="138"/>
      <c r="F326" s="138"/>
      <c r="G326" s="16" t="s">
        <v>637</v>
      </c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90</v>
      </c>
      <c r="C340" s="17" t="s">
        <v>53</v>
      </c>
      <c r="D340" s="135">
        <f>SUM(D326:D339)</f>
        <v>82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1:7" ht="15.75" thickBot="1">
      <c r="B341" s="5"/>
      <c r="C341" s="3"/>
      <c r="D341" s="5"/>
      <c r="E341" s="5"/>
    </row>
    <row r="342" spans="1:7" ht="14.45" customHeight="1">
      <c r="B342" s="430" t="str">
        <f>AÑO!A37</f>
        <v>Impuestos</v>
      </c>
      <c r="C342" s="419"/>
      <c r="D342" s="419"/>
      <c r="E342" s="419"/>
      <c r="F342" s="419"/>
      <c r="G342" s="420"/>
    </row>
    <row r="343" spans="1:7" ht="15" customHeight="1" thickBot="1">
      <c r="B343" s="421"/>
      <c r="C343" s="422"/>
      <c r="D343" s="422"/>
      <c r="E343" s="422"/>
      <c r="F343" s="422"/>
      <c r="G343" s="423"/>
    </row>
    <row r="344" spans="1:7">
      <c r="B344" s="431" t="s">
        <v>8</v>
      </c>
      <c r="C344" s="432"/>
      <c r="D344" s="431" t="s">
        <v>9</v>
      </c>
      <c r="E344" s="433"/>
      <c r="F344" s="433"/>
      <c r="G344" s="432"/>
    </row>
    <row r="345" spans="1:7" ht="15.75">
      <c r="A345" s="1" t="s">
        <v>184</v>
      </c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1:7" ht="15.75">
      <c r="A346" s="112">
        <f>140.73+(B346-SUM(D346:F357))</f>
        <v>185.73</v>
      </c>
      <c r="B346" s="133">
        <v>45</v>
      </c>
      <c r="C346" s="19" t="s">
        <v>199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(B358-SUM(D358:F358))+B359</f>
        <v>40</v>
      </c>
      <c r="B358" s="134">
        <v>5</v>
      </c>
      <c r="C358" s="16" t="s">
        <v>618</v>
      </c>
      <c r="D358" s="137"/>
      <c r="E358" s="138"/>
      <c r="F358" s="138"/>
      <c r="G358" s="16"/>
    </row>
    <row r="359" spans="1:7" ht="16.5" thickBot="1">
      <c r="A359" s="112"/>
      <c r="B359" s="135">
        <v>35</v>
      </c>
      <c r="C359" s="17" t="s">
        <v>630</v>
      </c>
      <c r="D359" s="135"/>
      <c r="E359" s="139"/>
      <c r="F359" s="139"/>
      <c r="G359" s="17"/>
    </row>
    <row r="360" spans="1:7" ht="16.5" thickBot="1">
      <c r="A360" s="112">
        <f>SUM(A346:A359)</f>
        <v>225.73</v>
      </c>
      <c r="B360" s="135">
        <f>SUM(B346:B359)</f>
        <v>85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1:7" ht="15.75" thickBot="1">
      <c r="B361" s="5"/>
      <c r="C361" s="3"/>
      <c r="D361" s="5"/>
      <c r="E361" s="5"/>
    </row>
    <row r="362" spans="1:7" ht="14.45" customHeight="1">
      <c r="B362" s="430" t="str">
        <f>AÑO!A38</f>
        <v>Gastos Curros</v>
      </c>
      <c r="C362" s="419"/>
      <c r="D362" s="419"/>
      <c r="E362" s="419"/>
      <c r="F362" s="419"/>
      <c r="G362" s="420"/>
    </row>
    <row r="363" spans="1:7" ht="15" customHeight="1" thickBot="1">
      <c r="B363" s="421"/>
      <c r="C363" s="422"/>
      <c r="D363" s="422"/>
      <c r="E363" s="422"/>
      <c r="F363" s="422"/>
      <c r="G363" s="423"/>
    </row>
    <row r="364" spans="1:7">
      <c r="B364" s="431" t="s">
        <v>8</v>
      </c>
      <c r="C364" s="432"/>
      <c r="D364" s="431" t="s">
        <v>9</v>
      </c>
      <c r="E364" s="433"/>
      <c r="F364" s="433"/>
      <c r="G364" s="432"/>
    </row>
    <row r="365" spans="1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1:7">
      <c r="B366" s="133">
        <v>70</v>
      </c>
      <c r="C366" s="19" t="s">
        <v>33</v>
      </c>
      <c r="D366" s="137">
        <f>4.5+3.5+4.5</f>
        <v>12.5</v>
      </c>
      <c r="E366" s="138"/>
      <c r="F366" s="138">
        <f>3.5+4.5+4.5+2.8+4.7</f>
        <v>20</v>
      </c>
      <c r="G366" s="31" t="s">
        <v>67</v>
      </c>
    </row>
    <row r="367" spans="1:7">
      <c r="B367" s="134"/>
      <c r="C367" s="16"/>
      <c r="D367" s="137">
        <f>4.1+5.9</f>
        <v>10</v>
      </c>
      <c r="E367" s="138"/>
      <c r="F367" s="138"/>
      <c r="G367" s="31" t="s">
        <v>651</v>
      </c>
    </row>
    <row r="368" spans="1:7">
      <c r="B368" s="134"/>
      <c r="C368" s="16"/>
      <c r="D368" s="137">
        <f>8.85+6.75</f>
        <v>15.6</v>
      </c>
      <c r="E368" s="138"/>
      <c r="F368" s="138"/>
      <c r="G368" s="16" t="s">
        <v>670</v>
      </c>
    </row>
    <row r="369" spans="2:7">
      <c r="B369" s="134"/>
      <c r="C369" s="16"/>
      <c r="D369" s="137">
        <v>11</v>
      </c>
      <c r="E369" s="138"/>
      <c r="F369" s="138"/>
      <c r="G369" s="16" t="s">
        <v>671</v>
      </c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49.1</v>
      </c>
      <c r="E380" s="135">
        <f>SUM(E366:E379)</f>
        <v>0</v>
      </c>
      <c r="F380" s="135">
        <f>SUM(F366:F379)</f>
        <v>20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30" t="str">
        <f>AÑO!A39</f>
        <v>Dreamed Holidays</v>
      </c>
      <c r="C382" s="436"/>
      <c r="D382" s="436"/>
      <c r="E382" s="436"/>
      <c r="F382" s="436"/>
      <c r="G382" s="437"/>
    </row>
    <row r="383" spans="2:7" ht="15" customHeight="1" thickBot="1">
      <c r="B383" s="438"/>
      <c r="C383" s="439"/>
      <c r="D383" s="439"/>
      <c r="E383" s="439"/>
      <c r="F383" s="439"/>
      <c r="G383" s="440"/>
    </row>
    <row r="384" spans="2:7">
      <c r="B384" s="431" t="s">
        <v>8</v>
      </c>
      <c r="C384" s="432"/>
      <c r="D384" s="431" t="s">
        <v>9</v>
      </c>
      <c r="E384" s="433"/>
      <c r="F384" s="433"/>
      <c r="G384" s="432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10</v>
      </c>
      <c r="C386" s="19"/>
      <c r="D386" s="137"/>
      <c r="E386" s="138"/>
      <c r="F386" s="138"/>
      <c r="G386" s="16"/>
    </row>
    <row r="387" spans="2:7">
      <c r="B387" s="134">
        <v>10</v>
      </c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30" t="str">
        <f>AÑO!A40</f>
        <v>Financieros</v>
      </c>
      <c r="C402" s="419"/>
      <c r="D402" s="419"/>
      <c r="E402" s="419"/>
      <c r="F402" s="419"/>
      <c r="G402" s="420"/>
    </row>
    <row r="403" spans="2:7" ht="15" customHeight="1" thickBot="1">
      <c r="B403" s="421"/>
      <c r="C403" s="422"/>
      <c r="D403" s="422"/>
      <c r="E403" s="422"/>
      <c r="F403" s="422"/>
      <c r="G403" s="423"/>
    </row>
    <row r="404" spans="2:7">
      <c r="B404" s="431" t="s">
        <v>8</v>
      </c>
      <c r="C404" s="432"/>
      <c r="D404" s="431" t="s">
        <v>9</v>
      </c>
      <c r="E404" s="433"/>
      <c r="F404" s="433"/>
      <c r="G404" s="432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2.98</v>
      </c>
      <c r="E406" s="138"/>
      <c r="F406" s="138"/>
      <c r="G406" s="16" t="s">
        <v>632</v>
      </c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50</v>
      </c>
      <c r="C420" s="17" t="s">
        <v>53</v>
      </c>
      <c r="D420" s="135">
        <f>SUM(D406:D419)</f>
        <v>2.98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30" t="str">
        <f>AÑO!A41</f>
        <v>Ahorros Colchón</v>
      </c>
      <c r="C422" s="436"/>
      <c r="D422" s="436"/>
      <c r="E422" s="436"/>
      <c r="F422" s="436"/>
      <c r="G422" s="437"/>
    </row>
    <row r="423" spans="1:7" ht="15" customHeight="1" thickBot="1">
      <c r="B423" s="438"/>
      <c r="C423" s="439"/>
      <c r="D423" s="439"/>
      <c r="E423" s="439"/>
      <c r="F423" s="439"/>
      <c r="G423" s="440"/>
    </row>
    <row r="424" spans="1:7">
      <c r="B424" s="431" t="s">
        <v>8</v>
      </c>
      <c r="C424" s="432"/>
      <c r="D424" s="431" t="s">
        <v>9</v>
      </c>
      <c r="E424" s="433"/>
      <c r="F424" s="433"/>
      <c r="G424" s="432"/>
    </row>
    <row r="425" spans="1:7">
      <c r="A425" s="113">
        <f>AÑO!W17</f>
        <v>4093.3200000000006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-0.82999999999901775</v>
      </c>
      <c r="C426" s="19" t="s">
        <v>234</v>
      </c>
      <c r="D426" s="137"/>
      <c r="E426" s="138"/>
      <c r="F426" s="138"/>
      <c r="G426" s="16"/>
    </row>
    <row r="427" spans="1:7">
      <c r="A427" s="113">
        <v>16.739999999999998</v>
      </c>
      <c r="B427" s="134"/>
      <c r="C427" s="16"/>
      <c r="D427" s="137"/>
      <c r="E427" s="138"/>
      <c r="F427" s="138"/>
      <c r="G427" s="16"/>
    </row>
    <row r="428" spans="1:7">
      <c r="A428" s="113">
        <v>-55</v>
      </c>
      <c r="B428" s="134"/>
      <c r="C428" s="16"/>
      <c r="D428" s="137"/>
      <c r="E428" s="138"/>
      <c r="F428" s="138"/>
      <c r="G428" s="16"/>
    </row>
    <row r="429" spans="1:7">
      <c r="A429" s="113">
        <v>242.41</v>
      </c>
      <c r="B429" s="134"/>
      <c r="C429" s="16"/>
      <c r="D429" s="137"/>
      <c r="E429" s="138"/>
      <c r="F429" s="138"/>
      <c r="G429" s="16"/>
    </row>
    <row r="430" spans="1:7">
      <c r="A430" s="113">
        <v>-10</v>
      </c>
      <c r="B430" s="134"/>
      <c r="C430" s="16"/>
      <c r="D430" s="137"/>
      <c r="E430" s="138"/>
      <c r="F430" s="138"/>
      <c r="G430" s="16"/>
    </row>
    <row r="431" spans="1:7">
      <c r="A431" s="113"/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-0.82999999999901775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30" t="str">
        <f>AÑO!A42</f>
        <v>Dinero Bloqueado</v>
      </c>
      <c r="C442" s="436"/>
      <c r="D442" s="436"/>
      <c r="E442" s="436"/>
      <c r="F442" s="436"/>
      <c r="G442" s="437"/>
    </row>
    <row r="443" spans="2:7" ht="15" customHeight="1" thickBot="1">
      <c r="B443" s="438"/>
      <c r="C443" s="439"/>
      <c r="D443" s="439"/>
      <c r="E443" s="439"/>
      <c r="F443" s="439"/>
      <c r="G443" s="440"/>
    </row>
    <row r="444" spans="2:7">
      <c r="B444" s="431" t="s">
        <v>8</v>
      </c>
      <c r="C444" s="432"/>
      <c r="D444" s="433" t="s">
        <v>9</v>
      </c>
      <c r="E444" s="433"/>
      <c r="F444" s="433"/>
      <c r="G444" s="432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30" t="str">
        <f>AÑO!A43</f>
        <v>Cartama Finanazas</v>
      </c>
      <c r="C462" s="436"/>
      <c r="D462" s="436"/>
      <c r="E462" s="436"/>
      <c r="F462" s="436"/>
      <c r="G462" s="437"/>
    </row>
    <row r="463" spans="2:7" ht="15" customHeight="1" thickBot="1">
      <c r="B463" s="438"/>
      <c r="C463" s="439"/>
      <c r="D463" s="439"/>
      <c r="E463" s="439"/>
      <c r="F463" s="439"/>
      <c r="G463" s="440"/>
    </row>
    <row r="464" spans="2:7">
      <c r="B464" s="431" t="s">
        <v>8</v>
      </c>
      <c r="C464" s="432"/>
      <c r="D464" s="433" t="s">
        <v>9</v>
      </c>
      <c r="E464" s="433"/>
      <c r="F464" s="433"/>
      <c r="G464" s="432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'05'!A466+(B466-SUM(D466:F466))</f>
        <v>0</v>
      </c>
      <c r="B466" s="134">
        <v>0</v>
      </c>
      <c r="C466" s="16" t="s">
        <v>348</v>
      </c>
      <c r="D466" s="137"/>
      <c r="E466" s="138"/>
      <c r="F466" s="138"/>
      <c r="G466" s="16"/>
    </row>
    <row r="467" spans="1:7" ht="15.75">
      <c r="A467" s="112">
        <f>'05'!A467+(B467-SUM(D467:F467))</f>
        <v>425.22999999999996</v>
      </c>
      <c r="B467" s="134">
        <v>50</v>
      </c>
      <c r="C467" s="16" t="s">
        <v>454</v>
      </c>
      <c r="D467" s="137"/>
      <c r="E467" s="138"/>
      <c r="F467" s="138"/>
      <c r="G467" s="16"/>
    </row>
    <row r="468" spans="1:7" ht="15.75">
      <c r="A468" s="112">
        <f>'05'!A468+(B468-SUM(D468:F468))+B469</f>
        <v>153.4</v>
      </c>
      <c r="B468" s="134">
        <f>15</f>
        <v>15</v>
      </c>
      <c r="C468" s="16" t="s">
        <v>186</v>
      </c>
      <c r="D468" s="137"/>
      <c r="E468" s="138"/>
      <c r="F468" s="138"/>
      <c r="G468" s="16"/>
    </row>
    <row r="469" spans="1:7">
      <c r="B469" s="134">
        <v>-55</v>
      </c>
      <c r="C469" s="16" t="s">
        <v>624</v>
      </c>
      <c r="D469" s="137"/>
      <c r="E469" s="138"/>
      <c r="F469" s="138"/>
      <c r="G469" s="16" t="s">
        <v>296</v>
      </c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578.63</v>
      </c>
      <c r="B480" s="135">
        <f>SUM(B466:B479)</f>
        <v>10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30" t="str">
        <f>AÑO!A44</f>
        <v>NULO</v>
      </c>
      <c r="C482" s="436"/>
      <c r="D482" s="436"/>
      <c r="E482" s="436"/>
      <c r="F482" s="436"/>
      <c r="G482" s="437"/>
    </row>
    <row r="483" spans="2:7" ht="15" customHeight="1" thickBot="1">
      <c r="B483" s="438"/>
      <c r="C483" s="439"/>
      <c r="D483" s="439"/>
      <c r="E483" s="439"/>
      <c r="F483" s="439"/>
      <c r="G483" s="440"/>
    </row>
    <row r="484" spans="2:7">
      <c r="B484" s="431" t="s">
        <v>8</v>
      </c>
      <c r="C484" s="432"/>
      <c r="D484" s="433" t="s">
        <v>9</v>
      </c>
      <c r="E484" s="433"/>
      <c r="F484" s="433"/>
      <c r="G484" s="432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30" t="str">
        <f>AÑO!A45</f>
        <v>OTROS</v>
      </c>
      <c r="C502" s="436"/>
      <c r="D502" s="436"/>
      <c r="E502" s="436"/>
      <c r="F502" s="436"/>
      <c r="G502" s="437"/>
    </row>
    <row r="503" spans="2:7" ht="15" customHeight="1" thickBot="1">
      <c r="B503" s="438"/>
      <c r="C503" s="439"/>
      <c r="D503" s="439"/>
      <c r="E503" s="439"/>
      <c r="F503" s="439"/>
      <c r="G503" s="440"/>
    </row>
    <row r="504" spans="2:7">
      <c r="B504" s="431" t="s">
        <v>8</v>
      </c>
      <c r="C504" s="432"/>
      <c r="D504" s="431" t="s">
        <v>9</v>
      </c>
      <c r="E504" s="433"/>
      <c r="F504" s="433"/>
      <c r="G504" s="432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" location="Trimestre!C39:F40" display="TELÉFONO" xr:uid="{C712BEFF-058D-483E-A328-9530E395AF8E}"/>
    <hyperlink ref="I2:L3" location="AÑO!W4:Z5" display="SALDO REAL" xr:uid="{83A7CBDF-7BAE-4ACF-BB60-362D3DFA6DB5}"/>
    <hyperlink ref="B2" location="Trimestre!C25:F26" display="HIPOTECA" xr:uid="{7BEE5A7A-2695-4DA7-A231-832C5178BEC1}"/>
    <hyperlink ref="B2:G3" location="AÑO!W20:Z20" display="AÑO!W20:Z20" xr:uid="{01FC6BD1-5956-4F00-B223-0C8E893D3C28}"/>
    <hyperlink ref="I22" location="Trimestre!C39:F40" display="TELÉFONO" xr:uid="{654C5CF2-30EC-4AD5-A1EB-74496773D9CB}"/>
    <hyperlink ref="I22:L23" location="AÑO!W7:Z17" display="INGRESOS" xr:uid="{821ADD62-E467-4C75-82DA-8270E43CC849}"/>
    <hyperlink ref="B22" location="Trimestre!C25:F26" display="HIPOTECA" xr:uid="{7113D5FD-7161-4761-A2C1-D0757C5E1BF4}"/>
    <hyperlink ref="B22:G23" location="AÑO!W21:Z21" display="AÑO!W21:Z21" xr:uid="{C970DD7C-6B6B-4623-86F9-67FE2986FC1B}"/>
    <hyperlink ref="B42" location="Trimestre!C25:F26" display="HIPOTECA" xr:uid="{CCD608B7-652A-424C-8450-8D21A6CAB32E}"/>
    <hyperlink ref="B42:G43" location="AÑO!W22:Z22" display="AÑO!W22:Z22" xr:uid="{5DAC9651-92CB-4B35-A7E7-5B937AAA1CDC}"/>
    <hyperlink ref="B62" location="Trimestre!C25:F26" display="HIPOTECA" xr:uid="{85376C4C-D3D9-4A89-9A53-FC980DA1B72D}"/>
    <hyperlink ref="B62:G63" location="AÑO!W23:Z23" display="AÑO!W23:Z23" xr:uid="{0E402A44-7D95-47CA-ACFC-F020562EEE9C}"/>
    <hyperlink ref="B82" location="Trimestre!C25:F26" display="HIPOTECA" xr:uid="{3FE09476-1DDE-4CAF-B2EC-21CCD3C2C328}"/>
    <hyperlink ref="B82:G83" location="AÑO!W24:Z24" display="AÑO!W24:Z24" xr:uid="{DB737FED-966E-415D-8C26-E437B7981E2F}"/>
    <hyperlink ref="B102" location="Trimestre!C25:F26" display="HIPOTECA" xr:uid="{00DC005D-247A-4D21-9061-866AE19681E9}"/>
    <hyperlink ref="B102:G103" location="AÑO!W25:Z25" display="AÑO!W25:Z25" xr:uid="{45082976-83C9-4CBF-B824-AB20B5E878BF}"/>
    <hyperlink ref="B122" location="Trimestre!C25:F26" display="HIPOTECA" xr:uid="{809A540D-9B15-442F-ABF4-E13063969D3E}"/>
    <hyperlink ref="B122:G123" location="AÑO!W26:Z26" display="AÑO!W26:Z26" xr:uid="{2D9C2949-2780-4310-BB08-8CD4C828FDB2}"/>
    <hyperlink ref="B142" location="Trimestre!C25:F26" display="HIPOTECA" xr:uid="{FC0831B9-AC1B-4953-B67A-43ACF9F36AFE}"/>
    <hyperlink ref="B142:G143" location="AÑO!W27:Z27" display="AÑO!W27:Z27" xr:uid="{1759BAC5-1B77-4325-86FE-75AFAAE070A1}"/>
    <hyperlink ref="B162" location="Trimestre!C25:F26" display="HIPOTECA" xr:uid="{E6D41C3D-713F-454C-8558-542C07EDE443}"/>
    <hyperlink ref="B162:G163" location="AÑO!W28:Z28" display="AÑO!W28:Z28" xr:uid="{B0A872C0-2891-4136-B00C-C496A1900AD5}"/>
    <hyperlink ref="B182" location="Trimestre!C25:F26" display="HIPOTECA" xr:uid="{B4B69845-9743-4992-8FAB-5756A8695DA3}"/>
    <hyperlink ref="B182:G183" location="AÑO!W29:Z29" display="AÑO!W29:Z29" xr:uid="{6E7DD210-E74D-4F40-8724-5EEE41D7DE5F}"/>
    <hyperlink ref="B202" location="Trimestre!C25:F26" display="HIPOTECA" xr:uid="{57DD9A53-8885-4936-B3AC-90A89FBE503C}"/>
    <hyperlink ref="B202:G203" location="AÑO!W30:Z30" display="AÑO!W30:Z30" xr:uid="{AD6A6C05-B994-4464-BADE-0A1EC792F45A}"/>
    <hyperlink ref="B222" location="Trimestre!C25:F26" display="HIPOTECA" xr:uid="{569ABEBF-CADC-4219-9F59-8E5F8A0DC5C1}"/>
    <hyperlink ref="B222:G223" location="AÑO!W31:Z31" display="AÑO!W31:Z31" xr:uid="{C2123514-2FBE-4B7E-9A27-FA2677AF659C}"/>
    <hyperlink ref="B242" location="Trimestre!C25:F26" display="HIPOTECA" xr:uid="{F960F257-9A31-4EA0-9C35-17BE03BF784F}"/>
    <hyperlink ref="B242:G243" location="AÑO!W32:Z32" display="AÑO!W32:Z32" xr:uid="{E8282D48-23D8-4ADF-93AD-D69651254A9C}"/>
    <hyperlink ref="B262" location="Trimestre!C25:F26" display="HIPOTECA" xr:uid="{ECF73BA6-20B2-4C63-A6D6-54240B32F4B1}"/>
    <hyperlink ref="B262:G263" location="AÑO!W33:Z33" display="AÑO!W33:Z33" xr:uid="{4A4EA5B9-9B9E-4434-B2AF-5F1F2954FD9C}"/>
    <hyperlink ref="B282" location="Trimestre!C25:F26" display="HIPOTECA" xr:uid="{72B1D4EE-306A-47AE-9D2E-35AC0C5F007C}"/>
    <hyperlink ref="B282:G283" location="AÑO!W34:Z34" display="AÑO!W34:Z34" xr:uid="{955679F8-C326-49B1-AEFD-ED6ACE44D8D1}"/>
    <hyperlink ref="B302" location="Trimestre!C25:F26" display="HIPOTECA" xr:uid="{0D3CB661-04D3-49A7-B08D-F1391433FB04}"/>
    <hyperlink ref="B302:G303" location="AÑO!W35:Z35" display="AÑO!W35:Z35" xr:uid="{3F49CD76-506D-4763-982B-B02227D65106}"/>
    <hyperlink ref="B322" location="Trimestre!C25:F26" display="HIPOTECA" xr:uid="{9D10FB17-6F1D-4F88-A3ED-5DD57BD8D0DE}"/>
    <hyperlink ref="B322:G323" location="AÑO!W36:Z36" display="AÑO!W36:Z36" xr:uid="{8644B60D-DD50-426B-858A-C94DD04F76DF}"/>
    <hyperlink ref="B342" location="Trimestre!C25:F26" display="HIPOTECA" xr:uid="{9218D1A0-BC4E-487A-9A38-2C4C7663C8B1}"/>
    <hyperlink ref="B342:G343" location="AÑO!W37:Z37" display="AÑO!W37:Z37" xr:uid="{A4D22A1A-AD19-442F-9D94-9B9D0F2048B0}"/>
    <hyperlink ref="B362" location="Trimestre!C25:F26" display="HIPOTECA" xr:uid="{9ED8BB8F-F32C-402A-B4F6-908DA76EA86D}"/>
    <hyperlink ref="B362:G363" location="AÑO!W38:Z38" display="AÑO!W38:Z38" xr:uid="{A5CD3ECA-0FCC-4E28-9E36-A188F7710686}"/>
    <hyperlink ref="B382" location="Trimestre!C25:F26" display="HIPOTECA" xr:uid="{B8668375-2FE4-477B-BE37-C33AFA8579A9}"/>
    <hyperlink ref="B382:G383" location="AÑO!W39:Z39" display="AÑO!W39:Z39" xr:uid="{317EDCAE-F153-444A-8C5B-BF5F1346012D}"/>
    <hyperlink ref="B402" location="Trimestre!C25:F26" display="HIPOTECA" xr:uid="{848E53AC-4FA4-485F-9786-CFBDC41CDCA6}"/>
    <hyperlink ref="B402:G403" location="AÑO!W40:Z40" display="AÑO!W40:Z40" xr:uid="{0407D3B1-89E8-4DA8-B417-A0D8D9DB6101}"/>
    <hyperlink ref="B422" location="Trimestre!C25:F26" display="HIPOTECA" xr:uid="{B323137B-9FEC-4589-9805-31276D7D178B}"/>
    <hyperlink ref="B422:G423" location="AÑO!W41:Z41" display="AÑO!W41:Z41" xr:uid="{17EAB0DC-C684-4FF4-B35A-DC054656CE62}"/>
    <hyperlink ref="B442" location="Trimestre!C25:F26" display="HIPOTECA" xr:uid="{17D2B360-577D-4D90-A0F2-19C70E498CDA}"/>
    <hyperlink ref="B442:G443" location="AÑO!W42:Z42" display="AÑO!W42:Z42" xr:uid="{7626C6B4-0DC5-4717-BAAC-22EC8A1567E6}"/>
    <hyperlink ref="B462" location="Trimestre!C25:F26" display="HIPOTECA" xr:uid="{0C07E8E6-F16E-41EF-8CEF-D3B172C71492}"/>
    <hyperlink ref="B462:G463" location="AÑO!W43:Z43" display="AÑO!W43:Z43" xr:uid="{49B14C1F-E19B-4E66-A339-BB6B1D7EB6B9}"/>
    <hyperlink ref="B482" location="Trimestre!C25:F26" display="HIPOTECA" xr:uid="{B1749E88-0C12-4EF3-98FF-E9B4169AB33A}"/>
    <hyperlink ref="B482:G483" location="AÑO!W44:Z44" display="AÑO!W44:Z44" xr:uid="{ACAF3C81-C442-4A76-969D-49B6EB1C885F}"/>
    <hyperlink ref="B502" location="Trimestre!C25:F26" display="HIPOTECA" xr:uid="{050C5B32-2449-4B2F-9583-532EE23527D7}"/>
    <hyperlink ref="B502:G503" location="AÑO!W45:Z45" display="AÑO!W45:Z45" xr:uid="{D01A944C-AC54-4D06-8173-53A2A9728944}"/>
  </hyperlink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V520"/>
  <sheetViews>
    <sheetView tabSelected="1" topLeftCell="A449" workbookViewId="0">
      <selection activeCell="I458" sqref="I458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226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30" t="str">
        <f>AÑO!A20</f>
        <v>Cártama Gastos</v>
      </c>
      <c r="C2" s="419"/>
      <c r="D2" s="419"/>
      <c r="E2" s="419"/>
      <c r="F2" s="419"/>
      <c r="G2" s="420"/>
      <c r="H2" s="222"/>
      <c r="I2" s="418" t="s">
        <v>4</v>
      </c>
      <c r="J2" s="419"/>
      <c r="K2" s="419"/>
      <c r="L2" s="420"/>
      <c r="M2" s="1"/>
      <c r="N2" s="1"/>
      <c r="R2" s="3"/>
    </row>
    <row r="3" spans="1:22" ht="16.5" thickBot="1">
      <c r="A3" s="1"/>
      <c r="B3" s="421"/>
      <c r="C3" s="422"/>
      <c r="D3" s="422"/>
      <c r="E3" s="422"/>
      <c r="F3" s="422"/>
      <c r="G3" s="423"/>
      <c r="H3" s="1"/>
      <c r="I3" s="421"/>
      <c r="J3" s="422"/>
      <c r="K3" s="422"/>
      <c r="L3" s="423"/>
      <c r="M3" s="1"/>
      <c r="N3" s="1"/>
      <c r="R3" s="3"/>
    </row>
    <row r="4" spans="1:22" ht="15.75">
      <c r="A4" s="1"/>
      <c r="B4" s="431" t="s">
        <v>8</v>
      </c>
      <c r="C4" s="432"/>
      <c r="D4" s="431" t="s">
        <v>9</v>
      </c>
      <c r="E4" s="433"/>
      <c r="F4" s="433"/>
      <c r="G4" s="432"/>
      <c r="H4" s="222"/>
      <c r="I4" s="40" t="s">
        <v>57</v>
      </c>
      <c r="J4" s="105" t="s">
        <v>58</v>
      </c>
      <c r="K4" s="424" t="s">
        <v>59</v>
      </c>
      <c r="L4" s="425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26">
        <f>2939.95</f>
        <v>2939.95</v>
      </c>
      <c r="L5" s="427"/>
      <c r="M5" s="1"/>
      <c r="N5" s="1"/>
      <c r="R5" s="3"/>
    </row>
    <row r="6" spans="1:22" ht="15.75">
      <c r="A6" s="112">
        <f>'06'!A6+(B6-SUM(D6:F6))</f>
        <v>409.08</v>
      </c>
      <c r="B6" s="133">
        <v>403.08</v>
      </c>
      <c r="C6" s="19" t="s">
        <v>377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428">
        <v>620.1</v>
      </c>
      <c r="L6" s="429"/>
      <c r="M6" s="1" t="s">
        <v>165</v>
      </c>
      <c r="N6" s="1"/>
      <c r="R6" s="3"/>
    </row>
    <row r="7" spans="1:22" ht="15.75">
      <c r="A7" s="112">
        <f>'06'!A7+(B7-SUM(D7:F7))</f>
        <v>170.02999999999997</v>
      </c>
      <c r="B7" s="134">
        <v>67.180000000000007</v>
      </c>
      <c r="C7" s="16" t="s">
        <v>401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28">
        <v>8049.26</v>
      </c>
      <c r="L7" s="429"/>
      <c r="M7" s="1"/>
      <c r="N7" s="1"/>
      <c r="R7" s="3"/>
    </row>
    <row r="8" spans="1:22" ht="15.75">
      <c r="A8" s="112">
        <f>'06'!A8+(B8-SUM(D8:F8))</f>
        <v>9.0000000000017621E-2</v>
      </c>
      <c r="B8" s="134">
        <f>L60-550</f>
        <v>99.100000000000023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28">
        <v>6305.62</v>
      </c>
      <c r="L8" s="429"/>
      <c r="M8" s="1"/>
      <c r="N8" s="1"/>
      <c r="R8" s="3"/>
    </row>
    <row r="9" spans="1:22" ht="15.75">
      <c r="A9" s="112">
        <f>'06'!A9+(B9-SUM(D9:F9))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/>
      <c r="I9" s="108" t="s">
        <v>63</v>
      </c>
      <c r="J9" s="107" t="s">
        <v>157</v>
      </c>
      <c r="K9" s="428">
        <v>169.67</v>
      </c>
      <c r="L9" s="429"/>
      <c r="M9" s="1"/>
      <c r="N9" s="1"/>
      <c r="R9" s="3"/>
    </row>
    <row r="10" spans="1:22" ht="15.75">
      <c r="A10" s="112">
        <f>'06'!A10+(B10-SUM(D10:F10))</f>
        <v>12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28">
        <v>1802.02</v>
      </c>
      <c r="L10" s="429"/>
      <c r="M10" s="1" t="s">
        <v>156</v>
      </c>
      <c r="N10" s="1"/>
      <c r="R10" s="3"/>
    </row>
    <row r="11" spans="1:22" ht="15.75">
      <c r="A11" s="112">
        <f>'06'!A11+(B11-SUM(D11:F11))</f>
        <v>-1.9999999999996021E-2</v>
      </c>
      <c r="B11" s="134">
        <v>30.24</v>
      </c>
      <c r="C11" s="16" t="s">
        <v>34</v>
      </c>
      <c r="D11" s="137"/>
      <c r="E11" s="138">
        <v>30.23</v>
      </c>
      <c r="F11" s="138"/>
      <c r="G11" s="16" t="s">
        <v>34</v>
      </c>
      <c r="H11" s="1"/>
      <c r="I11" s="108" t="s">
        <v>68</v>
      </c>
      <c r="J11" s="107" t="s">
        <v>69</v>
      </c>
      <c r="K11" s="428">
        <v>260</v>
      </c>
      <c r="L11" s="429"/>
      <c r="M11" s="1"/>
      <c r="N11" s="1"/>
      <c r="R11" s="3"/>
    </row>
    <row r="12" spans="1:22" ht="15.75">
      <c r="A12" s="112">
        <f>'06'!A12+(B12-SUM(D12:F12))</f>
        <v>213.04000000000002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28">
        <f>5092.08+4044.26</f>
        <v>9136.34</v>
      </c>
      <c r="L12" s="429"/>
      <c r="M12" s="92"/>
      <c r="N12" s="1"/>
      <c r="R12" s="3"/>
    </row>
    <row r="13" spans="1:22" ht="15.75">
      <c r="A13" s="112">
        <f>'06'!A13+(B13-SUM(D13:F13))</f>
        <v>31</v>
      </c>
      <c r="B13" s="134">
        <v>6.5</v>
      </c>
      <c r="C13" s="16" t="s">
        <v>326</v>
      </c>
      <c r="D13" s="137"/>
      <c r="E13" s="138"/>
      <c r="F13" s="138"/>
      <c r="G13" s="16"/>
      <c r="H13" s="1"/>
      <c r="I13" s="108"/>
      <c r="J13" s="107"/>
      <c r="K13" s="428"/>
      <c r="L13" s="429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8"/>
      <c r="L14" s="429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8"/>
      <c r="L15" s="429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8"/>
      <c r="L16" s="429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8"/>
      <c r="L17" s="429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4"/>
      <c r="L18" s="435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43">
        <f>SUM(K5:K18)</f>
        <v>29282.959999999999</v>
      </c>
      <c r="L19" s="444"/>
      <c r="M19" s="1"/>
      <c r="N19" s="1"/>
      <c r="R19" s="3"/>
    </row>
    <row r="20" spans="1:18" ht="16.5" thickBot="1">
      <c r="A20" s="112">
        <f>SUM(A6:A15)</f>
        <v>835.22</v>
      </c>
      <c r="B20" s="135">
        <f>SUM(B6:B19)</f>
        <v>643.1</v>
      </c>
      <c r="C20" s="17" t="s">
        <v>53</v>
      </c>
      <c r="D20" s="135">
        <f>SUM(D6:D19)</f>
        <v>0</v>
      </c>
      <c r="E20" s="135">
        <f>SUM(E6:E19)</f>
        <v>42.230000000000004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18344.599999999999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30" t="str">
        <f>AÑO!A21</f>
        <v>Waterloo</v>
      </c>
      <c r="C22" s="419"/>
      <c r="D22" s="419"/>
      <c r="E22" s="419"/>
      <c r="F22" s="419"/>
      <c r="G22" s="420"/>
      <c r="H22" s="1"/>
      <c r="I22" s="418" t="s">
        <v>6</v>
      </c>
      <c r="J22" s="419"/>
      <c r="K22" s="419"/>
      <c r="L22" s="420"/>
      <c r="M22" s="1"/>
      <c r="R22" s="3"/>
    </row>
    <row r="23" spans="1:18" ht="16.149999999999999" customHeight="1" thickBot="1">
      <c r="A23" s="1"/>
      <c r="B23" s="421"/>
      <c r="C23" s="422"/>
      <c r="D23" s="422"/>
      <c r="E23" s="422"/>
      <c r="F23" s="422"/>
      <c r="G23" s="423"/>
      <c r="H23" s="1"/>
      <c r="I23" s="421"/>
      <c r="J23" s="422"/>
      <c r="K23" s="422"/>
      <c r="L23" s="423"/>
      <c r="M23" s="1"/>
      <c r="R23" s="3"/>
    </row>
    <row r="24" spans="1:18" ht="15.75">
      <c r="A24" s="1"/>
      <c r="B24" s="431" t="s">
        <v>8</v>
      </c>
      <c r="C24" s="432"/>
      <c r="D24" s="431" t="s">
        <v>9</v>
      </c>
      <c r="E24" s="433"/>
      <c r="F24" s="433"/>
      <c r="G24" s="432"/>
      <c r="H24" s="1"/>
      <c r="I24" s="40" t="s">
        <v>31</v>
      </c>
      <c r="J24" s="403" t="s">
        <v>87</v>
      </c>
      <c r="K24" s="404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05" t="str">
        <f>AÑO!A8</f>
        <v>Manolo Salario</v>
      </c>
      <c r="J25" s="408" t="s">
        <v>402</v>
      </c>
      <c r="K25" s="409"/>
      <c r="L25" s="231">
        <v>2568.54</v>
      </c>
      <c r="M25" s="1"/>
      <c r="R25" s="3"/>
    </row>
    <row r="26" spans="1:18" ht="15.75">
      <c r="A26" s="112">
        <f>'06'!A26+(B26-SUM(D26:F26))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06"/>
      <c r="J26" s="410"/>
      <c r="K26" s="411"/>
      <c r="L26" s="229"/>
      <c r="M26" s="1"/>
      <c r="R26" s="3"/>
    </row>
    <row r="27" spans="1:18" ht="15.75">
      <c r="A27" s="112">
        <f>'06'!A27+(B27-SUM(D27:F27))</f>
        <v>34.039999999999964</v>
      </c>
      <c r="B27" s="134">
        <v>190</v>
      </c>
      <c r="C27" s="27" t="s">
        <v>40</v>
      </c>
      <c r="D27" s="137">
        <v>185.99</v>
      </c>
      <c r="E27" s="138"/>
      <c r="F27" s="138"/>
      <c r="G27" s="16" t="s">
        <v>40</v>
      </c>
      <c r="H27" s="1"/>
      <c r="I27" s="406"/>
      <c r="J27" s="410"/>
      <c r="K27" s="411"/>
      <c r="L27" s="229"/>
      <c r="M27" s="1"/>
      <c r="R27" s="3"/>
    </row>
    <row r="28" spans="1:18" ht="15.75">
      <c r="A28" s="112">
        <f>'06'!A28+(B28-SUM(D28:F28))</f>
        <v>158.30000000000001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06"/>
      <c r="J28" s="410"/>
      <c r="K28" s="411"/>
      <c r="L28" s="229"/>
      <c r="M28" s="1"/>
      <c r="R28" s="3"/>
    </row>
    <row r="29" spans="1:18" ht="15.75">
      <c r="A29" s="112">
        <f>'06'!A29+(B29-SUM(D29:F29))</f>
        <v>1.5300000000000047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14"/>
      <c r="J29" s="415"/>
      <c r="K29" s="416"/>
      <c r="L29" s="230"/>
      <c r="M29" s="1"/>
      <c r="R29" s="3"/>
    </row>
    <row r="30" spans="1:18" ht="15.75" customHeight="1">
      <c r="A30" s="112">
        <f>'06'!A30+(B30-SUM(D30:F30))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05" t="str">
        <f>AÑO!A9</f>
        <v>Rocío Salario</v>
      </c>
      <c r="J30" s="408" t="s">
        <v>431</v>
      </c>
      <c r="K30" s="409"/>
      <c r="L30" s="231">
        <v>846.9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6"/>
      <c r="J31" s="410" t="s">
        <v>627</v>
      </c>
      <c r="K31" s="411"/>
      <c r="L31" s="229">
        <v>110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6"/>
      <c r="J32" s="410" t="s">
        <v>693</v>
      </c>
      <c r="K32" s="411"/>
      <c r="L32" s="229">
        <v>190.62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6"/>
      <c r="J33" s="410"/>
      <c r="K33" s="411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4"/>
      <c r="J34" s="415"/>
      <c r="K34" s="416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5" t="s">
        <v>218</v>
      </c>
      <c r="J35" s="408"/>
      <c r="K35" s="409"/>
      <c r="L35" s="231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6"/>
      <c r="J36" s="410"/>
      <c r="K36" s="411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6"/>
      <c r="J37" s="410"/>
      <c r="K37" s="411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6"/>
      <c r="J38" s="410"/>
      <c r="K38" s="411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4"/>
      <c r="J39" s="415"/>
      <c r="K39" s="416"/>
      <c r="L39" s="230"/>
      <c r="M39" s="1"/>
      <c r="R39" s="3"/>
    </row>
    <row r="40" spans="1:18" ht="16.5" thickBot="1">
      <c r="A40" s="112">
        <f>SUM(A26:A35)</f>
        <v>380.15</v>
      </c>
      <c r="B40" s="135">
        <f>SUM(B26:B39)</f>
        <v>1148</v>
      </c>
      <c r="C40" s="17" t="s">
        <v>53</v>
      </c>
      <c r="D40" s="135">
        <f>SUM(D26:D39)</f>
        <v>1103.94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05" t="str">
        <f>AÑO!A11</f>
        <v>Finanazas</v>
      </c>
      <c r="J40" s="408" t="s">
        <v>680</v>
      </c>
      <c r="K40" s="409"/>
      <c r="L40" s="231">
        <v>1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6"/>
      <c r="J41" s="410" t="s">
        <v>60</v>
      </c>
      <c r="K41" s="411"/>
      <c r="L41" s="229">
        <v>0.02</v>
      </c>
      <c r="M41" s="1"/>
      <c r="R41" s="3"/>
    </row>
    <row r="42" spans="1:18" ht="15.6" customHeight="1">
      <c r="A42" s="1"/>
      <c r="B42" s="430" t="str">
        <f>AÑO!A22</f>
        <v>Comida+Limpieza</v>
      </c>
      <c r="C42" s="419"/>
      <c r="D42" s="419"/>
      <c r="E42" s="419"/>
      <c r="F42" s="419"/>
      <c r="G42" s="420"/>
      <c r="H42" s="1"/>
      <c r="I42" s="406"/>
      <c r="J42" s="410"/>
      <c r="K42" s="411"/>
      <c r="L42" s="229"/>
      <c r="M42" s="1"/>
      <c r="R42" s="3"/>
    </row>
    <row r="43" spans="1:18" ht="16.149999999999999" customHeight="1" thickBot="1">
      <c r="A43" s="1"/>
      <c r="B43" s="421"/>
      <c r="C43" s="422"/>
      <c r="D43" s="422"/>
      <c r="E43" s="422"/>
      <c r="F43" s="422"/>
      <c r="G43" s="423"/>
      <c r="H43" s="1"/>
      <c r="I43" s="406"/>
      <c r="J43" s="410"/>
      <c r="K43" s="411"/>
      <c r="L43" s="229"/>
      <c r="M43" s="1"/>
      <c r="R43" s="3"/>
    </row>
    <row r="44" spans="1:18" ht="15.75">
      <c r="A44" s="1"/>
      <c r="B44" s="431" t="s">
        <v>8</v>
      </c>
      <c r="C44" s="432"/>
      <c r="D44" s="431" t="s">
        <v>9</v>
      </c>
      <c r="E44" s="433"/>
      <c r="F44" s="433"/>
      <c r="G44" s="432"/>
      <c r="H44" s="1"/>
      <c r="I44" s="414"/>
      <c r="J44" s="415"/>
      <c r="K44" s="416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05" t="str">
        <f>AÑO!A12</f>
        <v>Regalos</v>
      </c>
      <c r="J45" s="408"/>
      <c r="K45" s="409"/>
      <c r="L45" s="231"/>
      <c r="M45" s="1"/>
      <c r="R45" s="3"/>
    </row>
    <row r="46" spans="1:18" ht="15.75">
      <c r="A46" s="1"/>
      <c r="B46" s="133">
        <v>300</v>
      </c>
      <c r="C46" s="19"/>
      <c r="D46" s="137">
        <v>15.8</v>
      </c>
      <c r="E46" s="138"/>
      <c r="F46" s="138"/>
      <c r="G46" s="30" t="s">
        <v>685</v>
      </c>
      <c r="H46" s="1"/>
      <c r="I46" s="406"/>
      <c r="J46" s="410"/>
      <c r="K46" s="411"/>
      <c r="L46" s="229"/>
      <c r="M46" s="1"/>
      <c r="R46" s="3"/>
    </row>
    <row r="47" spans="1:18" ht="15.75">
      <c r="A47" s="1"/>
      <c r="B47" s="134"/>
      <c r="C47" s="16" t="s">
        <v>78</v>
      </c>
      <c r="D47" s="137">
        <f>43.65-D187-D286</f>
        <v>6.6499999999999986</v>
      </c>
      <c r="E47" s="138"/>
      <c r="F47" s="138"/>
      <c r="G47" s="16" t="s">
        <v>691</v>
      </c>
      <c r="H47" s="1"/>
      <c r="I47" s="406"/>
      <c r="J47" s="410"/>
      <c r="K47" s="411"/>
      <c r="L47" s="229"/>
      <c r="M47" s="1"/>
      <c r="R47" s="3"/>
    </row>
    <row r="48" spans="1:18" ht="15.75">
      <c r="A48" s="1"/>
      <c r="B48" s="134"/>
      <c r="C48" s="16" t="s">
        <v>620</v>
      </c>
      <c r="D48" s="137">
        <v>8.1</v>
      </c>
      <c r="E48" s="138"/>
      <c r="F48" s="138"/>
      <c r="G48" s="16" t="s">
        <v>710</v>
      </c>
      <c r="H48" s="1"/>
      <c r="I48" s="406"/>
      <c r="J48" s="410"/>
      <c r="K48" s="411"/>
      <c r="L48" s="229"/>
      <c r="M48" s="1"/>
      <c r="R48" s="3"/>
    </row>
    <row r="49" spans="1:18" ht="15.75">
      <c r="A49" s="1"/>
      <c r="B49" s="134">
        <f>-10-4.38-20-15.25</f>
        <v>-49.629999999999995</v>
      </c>
      <c r="C49" s="16" t="s">
        <v>688</v>
      </c>
      <c r="D49" s="137">
        <v>2.5499999999999998</v>
      </c>
      <c r="E49" s="138"/>
      <c r="F49" s="138"/>
      <c r="G49" s="16" t="s">
        <v>720</v>
      </c>
      <c r="H49" s="1"/>
      <c r="I49" s="414"/>
      <c r="J49" s="415"/>
      <c r="K49" s="416"/>
      <c r="L49" s="230"/>
      <c r="M49" s="1"/>
      <c r="R49" s="3"/>
    </row>
    <row r="50" spans="1:18" ht="15.75" customHeight="1">
      <c r="A50" s="1"/>
      <c r="B50" s="134">
        <v>5</v>
      </c>
      <c r="C50" s="16" t="s">
        <v>715</v>
      </c>
      <c r="D50" s="137"/>
      <c r="E50" s="138"/>
      <c r="F50" s="138"/>
      <c r="G50" s="16"/>
      <c r="H50" s="1"/>
      <c r="I50" s="405" t="str">
        <f>AÑO!A13</f>
        <v>Gubernamental</v>
      </c>
      <c r="J50" s="408" t="s">
        <v>640</v>
      </c>
      <c r="K50" s="409"/>
      <c r="L50" s="231">
        <v>95.8</v>
      </c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406"/>
      <c r="J51" s="410"/>
      <c r="K51" s="411"/>
      <c r="L51" s="22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06"/>
      <c r="J52" s="410"/>
      <c r="K52" s="411"/>
      <c r="L52" s="22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06"/>
      <c r="J53" s="410"/>
      <c r="K53" s="411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14"/>
      <c r="J54" s="415"/>
      <c r="K54" s="416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05" t="str">
        <f>AÑO!A14</f>
        <v>Mutualite/DKV</v>
      </c>
      <c r="J55" s="408" t="s">
        <v>694</v>
      </c>
      <c r="K55" s="409"/>
      <c r="L55" s="231">
        <f>14.27</f>
        <v>14.27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6"/>
      <c r="J56" s="410" t="s">
        <v>694</v>
      </c>
      <c r="K56" s="411"/>
      <c r="L56" s="229">
        <v>23.22</v>
      </c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6"/>
      <c r="J57" s="410" t="s">
        <v>694</v>
      </c>
      <c r="K57" s="411"/>
      <c r="L57" s="229">
        <v>14.27</v>
      </c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6"/>
      <c r="J58" s="410"/>
      <c r="K58" s="411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4"/>
      <c r="J59" s="415"/>
      <c r="K59" s="416"/>
      <c r="L59" s="230"/>
      <c r="M59" s="1"/>
      <c r="R59" s="3"/>
    </row>
    <row r="60" spans="1:18" ht="16.5" customHeight="1" thickBot="1">
      <c r="A60" s="1"/>
      <c r="B60" s="135">
        <f>SUM(B46:B59)</f>
        <v>255.37</v>
      </c>
      <c r="C60" s="17" t="s">
        <v>53</v>
      </c>
      <c r="D60" s="135">
        <f>SUM(D46:D59)</f>
        <v>33.099999999999994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05" t="str">
        <f>AÑO!A15</f>
        <v>Alquiler Cartama</v>
      </c>
      <c r="J60" s="408" t="s">
        <v>709</v>
      </c>
      <c r="K60" s="409"/>
      <c r="L60" s="231">
        <v>649.1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6"/>
      <c r="J61" s="410"/>
      <c r="K61" s="411"/>
      <c r="L61" s="229"/>
      <c r="M61" s="1"/>
      <c r="R61" s="3"/>
    </row>
    <row r="62" spans="1:18" ht="15.6" customHeight="1">
      <c r="A62" s="1"/>
      <c r="B62" s="430" t="str">
        <f>AÑO!A23</f>
        <v>Ocio</v>
      </c>
      <c r="C62" s="419"/>
      <c r="D62" s="419"/>
      <c r="E62" s="419"/>
      <c r="F62" s="419"/>
      <c r="G62" s="420"/>
      <c r="H62" s="1"/>
      <c r="I62" s="406"/>
      <c r="J62" s="410"/>
      <c r="K62" s="411"/>
      <c r="L62" s="229"/>
      <c r="M62" s="1"/>
      <c r="R62" s="3"/>
    </row>
    <row r="63" spans="1:18" ht="16.149999999999999" customHeight="1" thickBot="1">
      <c r="A63" s="1"/>
      <c r="B63" s="421"/>
      <c r="C63" s="422"/>
      <c r="D63" s="422"/>
      <c r="E63" s="422"/>
      <c r="F63" s="422"/>
      <c r="G63" s="423"/>
      <c r="H63" s="1"/>
      <c r="I63" s="406"/>
      <c r="J63" s="410"/>
      <c r="K63" s="411"/>
      <c r="L63" s="229"/>
      <c r="M63" s="1"/>
      <c r="R63" s="3"/>
    </row>
    <row r="64" spans="1:18" ht="15.75">
      <c r="A64" s="1"/>
      <c r="B64" s="431" t="s">
        <v>8</v>
      </c>
      <c r="C64" s="432"/>
      <c r="D64" s="431" t="s">
        <v>9</v>
      </c>
      <c r="E64" s="433"/>
      <c r="F64" s="433"/>
      <c r="G64" s="432"/>
      <c r="H64" s="1"/>
      <c r="I64" s="414"/>
      <c r="J64" s="415"/>
      <c r="K64" s="416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05" t="str">
        <f>AÑO!A16</f>
        <v>Otros</v>
      </c>
      <c r="J65" s="408"/>
      <c r="K65" s="409"/>
      <c r="L65" s="231"/>
      <c r="M65" s="1"/>
      <c r="R65" s="3"/>
    </row>
    <row r="66" spans="1:18" ht="15.75">
      <c r="A66" s="112">
        <f>'06'!A66+(B66-SUM(D66:F78))+B67</f>
        <v>48.380000000000017</v>
      </c>
      <c r="B66" s="133">
        <v>160</v>
      </c>
      <c r="C66" s="19" t="s">
        <v>33</v>
      </c>
      <c r="D66" s="137">
        <v>42</v>
      </c>
      <c r="E66" s="138"/>
      <c r="F66" s="138"/>
      <c r="G66" s="19" t="s">
        <v>686</v>
      </c>
      <c r="H66" s="1"/>
      <c r="I66" s="406"/>
      <c r="J66" s="410"/>
      <c r="K66" s="411"/>
      <c r="L66" s="229"/>
      <c r="M66" s="1"/>
      <c r="R66" s="3"/>
    </row>
    <row r="67" spans="1:18" ht="15.75">
      <c r="A67" s="1"/>
      <c r="B67" s="134"/>
      <c r="C67" s="16"/>
      <c r="D67" s="137"/>
      <c r="E67" s="138"/>
      <c r="F67" s="138">
        <v>10</v>
      </c>
      <c r="G67" s="31" t="s">
        <v>695</v>
      </c>
      <c r="H67" s="1"/>
      <c r="I67" s="406"/>
      <c r="J67" s="410"/>
      <c r="K67" s="411"/>
      <c r="L67" s="229"/>
      <c r="M67" s="1"/>
      <c r="R67" s="3"/>
    </row>
    <row r="68" spans="1:18" ht="15.75">
      <c r="A68" s="1"/>
      <c r="B68" s="134"/>
      <c r="C68" s="16"/>
      <c r="D68" s="137">
        <v>50.8</v>
      </c>
      <c r="E68" s="138"/>
      <c r="F68" s="138">
        <v>2.5</v>
      </c>
      <c r="G68" s="16" t="s">
        <v>718</v>
      </c>
      <c r="H68" s="1"/>
      <c r="I68" s="406"/>
      <c r="J68" s="410"/>
      <c r="K68" s="411"/>
      <c r="L68" s="229"/>
      <c r="M68" s="1"/>
      <c r="R68" s="3"/>
    </row>
    <row r="69" spans="1:18" ht="16.5" thickBot="1">
      <c r="A69" s="1"/>
      <c r="B69" s="134"/>
      <c r="C69" s="16"/>
      <c r="D69" s="137"/>
      <c r="E69" s="138"/>
      <c r="F69" s="138">
        <v>8</v>
      </c>
      <c r="G69" s="16" t="s">
        <v>717</v>
      </c>
      <c r="H69" s="1"/>
      <c r="I69" s="407"/>
      <c r="J69" s="412"/>
      <c r="K69" s="413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'06'!A79+(B79-SUM(D79:F79))</f>
        <v>90</v>
      </c>
      <c r="B79" s="233">
        <v>10</v>
      </c>
      <c r="C79" s="17" t="s">
        <v>237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138.38000000000002</v>
      </c>
      <c r="B80" s="233">
        <f>SUM(B66:B79)</f>
        <v>170</v>
      </c>
      <c r="C80" s="17" t="s">
        <v>53</v>
      </c>
      <c r="D80" s="135">
        <f>SUM(D66:D79)</f>
        <v>92.8</v>
      </c>
      <c r="E80" s="135">
        <f>SUM(E66:E79)</f>
        <v>0</v>
      </c>
      <c r="F80" s="135">
        <f>SUM(F66:F79)</f>
        <v>20.5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30" t="str">
        <f>AÑO!A24</f>
        <v>Transportes</v>
      </c>
      <c r="C82" s="419"/>
      <c r="D82" s="419"/>
      <c r="E82" s="419"/>
      <c r="F82" s="419"/>
      <c r="G82" s="420"/>
      <c r="H82" s="1"/>
      <c r="M82" s="1"/>
      <c r="R82" s="3"/>
    </row>
    <row r="83" spans="1:18" ht="16.149999999999999" customHeight="1" thickBot="1">
      <c r="A83" s="1"/>
      <c r="B83" s="421"/>
      <c r="C83" s="422"/>
      <c r="D83" s="422"/>
      <c r="E83" s="422"/>
      <c r="F83" s="422"/>
      <c r="G83" s="423"/>
      <c r="H83" s="1"/>
      <c r="M83" s="1"/>
      <c r="R83" s="3"/>
    </row>
    <row r="84" spans="1:18" ht="15.75">
      <c r="A84" s="1"/>
      <c r="B84" s="431" t="s">
        <v>8</v>
      </c>
      <c r="C84" s="432"/>
      <c r="D84" s="431" t="s">
        <v>9</v>
      </c>
      <c r="E84" s="433"/>
      <c r="F84" s="433"/>
      <c r="G84" s="432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202</v>
      </c>
      <c r="D86" s="137">
        <v>47.8</v>
      </c>
      <c r="E86" s="138"/>
      <c r="F86" s="138"/>
      <c r="G86" s="16" t="s">
        <v>719</v>
      </c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47.8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30" t="str">
        <f>AÑO!A25</f>
        <v>Coche</v>
      </c>
      <c r="C102" s="419"/>
      <c r="D102" s="419"/>
      <c r="E102" s="419"/>
      <c r="F102" s="419"/>
      <c r="G102" s="420"/>
      <c r="H102" s="1"/>
      <c r="M102" s="1"/>
      <c r="R102" s="3"/>
    </row>
    <row r="103" spans="1:18" ht="16.149999999999999" customHeight="1" thickBot="1">
      <c r="A103" s="1"/>
      <c r="B103" s="421"/>
      <c r="C103" s="422"/>
      <c r="D103" s="422"/>
      <c r="E103" s="422"/>
      <c r="F103" s="422"/>
      <c r="G103" s="423"/>
      <c r="H103" s="1"/>
      <c r="M103" s="1"/>
      <c r="R103" s="3"/>
    </row>
    <row r="104" spans="1:18" ht="15.75">
      <c r="A104" s="1"/>
      <c r="B104" s="431" t="s">
        <v>8</v>
      </c>
      <c r="C104" s="432"/>
      <c r="D104" s="431" t="s">
        <v>9</v>
      </c>
      <c r="E104" s="433"/>
      <c r="F104" s="433"/>
      <c r="G104" s="432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'06'!A106+(B106-SUM(D106:F106))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'06'!A107+(B107-SUM(D107:F107))</f>
        <v>2.0200000000000387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'06'!A108+(B108-SUM(D108:F108))</f>
        <v>483.09999999999991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'06'!A109+(B109-SUM(D109:F109))</f>
        <v>2605.1200000000008</v>
      </c>
      <c r="B109" s="134">
        <v>67.53</v>
      </c>
      <c r="C109" s="18" t="s">
        <v>456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485.11999999999995</v>
      </c>
      <c r="B120" s="135">
        <f>SUM(B106:B119)</f>
        <v>445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30" t="str">
        <f>AÑO!A26</f>
        <v>Teléfono</v>
      </c>
      <c r="C122" s="419"/>
      <c r="D122" s="419"/>
      <c r="E122" s="419"/>
      <c r="F122" s="419"/>
      <c r="G122" s="420"/>
      <c r="H122" s="1"/>
      <c r="M122" s="1"/>
      <c r="R122" s="3"/>
    </row>
    <row r="123" spans="1:18" ht="16.149999999999999" customHeight="1" thickBot="1">
      <c r="A123" s="1"/>
      <c r="B123" s="421"/>
      <c r="C123" s="422"/>
      <c r="D123" s="422"/>
      <c r="E123" s="422"/>
      <c r="F123" s="422"/>
      <c r="G123" s="423"/>
      <c r="H123" s="1"/>
      <c r="M123" s="1"/>
      <c r="R123" s="3"/>
    </row>
    <row r="124" spans="1:18" ht="15.75">
      <c r="A124" s="1"/>
      <c r="B124" s="431" t="s">
        <v>8</v>
      </c>
      <c r="C124" s="432"/>
      <c r="D124" s="431" t="s">
        <v>9</v>
      </c>
      <c r="E124" s="433"/>
      <c r="F124" s="433"/>
      <c r="G124" s="432"/>
      <c r="H124" s="1"/>
      <c r="M124" s="1"/>
      <c r="R124" s="3"/>
    </row>
    <row r="125" spans="1:18" ht="15.75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12">
        <f>'06'!A126+(B126-SUM(D126:F126))</f>
        <v>37.5</v>
      </c>
      <c r="B126" s="133">
        <v>30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12">
        <f>'06'!A127+(B127-SUM(D127:F128))</f>
        <v>22.5</v>
      </c>
      <c r="B127" s="134">
        <v>15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12">
        <f>'06'!A129+(B129-SUM(D129:F129))</f>
        <v>3.9999999999999147E-2</v>
      </c>
      <c r="B129" s="134">
        <v>8</v>
      </c>
      <c r="C129" s="16" t="s">
        <v>162</v>
      </c>
      <c r="D129" s="137"/>
      <c r="E129" s="138">
        <v>7.99</v>
      </c>
      <c r="F129" s="138"/>
      <c r="G129" s="16" t="s">
        <v>162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60</v>
      </c>
      <c r="B140" s="135">
        <f>SUM(B126:B139)</f>
        <v>53</v>
      </c>
      <c r="C140" s="17" t="s">
        <v>53</v>
      </c>
      <c r="D140" s="135">
        <f>SUM(D126:D139)</f>
        <v>0</v>
      </c>
      <c r="E140" s="135">
        <f>SUM(E126:E139)</f>
        <v>7.99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30" t="str">
        <f>AÑO!A27</f>
        <v>Gatos</v>
      </c>
      <c r="C142" s="419"/>
      <c r="D142" s="419"/>
      <c r="E142" s="419"/>
      <c r="F142" s="419"/>
      <c r="G142" s="420"/>
      <c r="H142" s="1"/>
      <c r="M142" s="1"/>
      <c r="R142" s="3"/>
    </row>
    <row r="143" spans="1:18" ht="16.149999999999999" customHeight="1" thickBot="1">
      <c r="A143" s="1"/>
      <c r="B143" s="421"/>
      <c r="C143" s="422"/>
      <c r="D143" s="422"/>
      <c r="E143" s="422"/>
      <c r="F143" s="422"/>
      <c r="G143" s="423"/>
      <c r="H143" s="1"/>
      <c r="M143" s="1"/>
      <c r="R143" s="3"/>
    </row>
    <row r="144" spans="1:18" ht="15.75">
      <c r="A144" s="1"/>
      <c r="B144" s="431" t="s">
        <v>8</v>
      </c>
      <c r="C144" s="432"/>
      <c r="D144" s="431" t="s">
        <v>9</v>
      </c>
      <c r="E144" s="433"/>
      <c r="F144" s="433"/>
      <c r="G144" s="432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30" t="str">
        <f>AÑO!A28</f>
        <v>Vacaciones</v>
      </c>
      <c r="C162" s="419"/>
      <c r="D162" s="419"/>
      <c r="E162" s="419"/>
      <c r="F162" s="419"/>
      <c r="G162" s="420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21"/>
      <c r="C163" s="422"/>
      <c r="D163" s="422"/>
      <c r="E163" s="422"/>
      <c r="F163" s="422"/>
      <c r="G163" s="423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31" t="s">
        <v>8</v>
      </c>
      <c r="C164" s="432"/>
      <c r="D164" s="431" t="s">
        <v>9</v>
      </c>
      <c r="E164" s="433"/>
      <c r="F164" s="433"/>
      <c r="G164" s="432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>
        <v>14.63</v>
      </c>
      <c r="E166" s="138"/>
      <c r="F166" s="138"/>
      <c r="G166" s="16" t="s">
        <v>690</v>
      </c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>
        <v>230</v>
      </c>
      <c r="G167" s="16" t="s">
        <v>698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>
        <v>14.99</v>
      </c>
      <c r="E168" s="138"/>
      <c r="F168" s="138"/>
      <c r="G168" s="16" t="s">
        <v>702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>
        <v>11.04</v>
      </c>
      <c r="E169" s="138"/>
      <c r="F169" s="138"/>
      <c r="G169" s="16" t="s">
        <v>704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>
        <v>89.2</v>
      </c>
      <c r="E170" s="138"/>
      <c r="F170" s="138"/>
      <c r="G170" s="16" t="s">
        <v>712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>
        <v>13</v>
      </c>
      <c r="E171" s="138"/>
      <c r="F171" s="138"/>
      <c r="G171" s="16" t="s">
        <v>705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>
        <v>4</v>
      </c>
      <c r="E172" s="138"/>
      <c r="F172" s="138">
        <v>4</v>
      </c>
      <c r="G172" s="16" t="s">
        <v>706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>
        <v>982.42</v>
      </c>
      <c r="E173" s="138"/>
      <c r="F173" s="138"/>
      <c r="G173" s="16" t="s">
        <v>707</v>
      </c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1129.28</v>
      </c>
      <c r="E180" s="135">
        <f>SUM(E166:E179)</f>
        <v>0</v>
      </c>
      <c r="F180" s="135">
        <f>SUM(F166:F179)</f>
        <v>234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30" t="str">
        <f>AÑO!A29</f>
        <v>Ropa</v>
      </c>
      <c r="C182" s="419"/>
      <c r="D182" s="419"/>
      <c r="E182" s="419"/>
      <c r="F182" s="419"/>
      <c r="G182" s="42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21"/>
      <c r="C183" s="422"/>
      <c r="D183" s="422"/>
      <c r="E183" s="422"/>
      <c r="F183" s="422"/>
      <c r="G183" s="42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31" t="s">
        <v>8</v>
      </c>
      <c r="C184" s="432"/>
      <c r="D184" s="431" t="s">
        <v>9</v>
      </c>
      <c r="E184" s="433"/>
      <c r="F184" s="433"/>
      <c r="G184" s="432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>
        <v>35.94</v>
      </c>
      <c r="E186" s="138"/>
      <c r="F186" s="138"/>
      <c r="G186" s="16" t="s">
        <v>692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>
        <v>12</v>
      </c>
      <c r="E187" s="138"/>
      <c r="F187" s="138"/>
      <c r="G187" s="16" t="s">
        <v>691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>
        <v>10.3</v>
      </c>
      <c r="E188" s="138"/>
      <c r="F188" s="138"/>
      <c r="G188" s="16" t="s">
        <v>721</v>
      </c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58.239999999999995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30" t="str">
        <f>AÑO!A30</f>
        <v>Belleza</v>
      </c>
      <c r="C202" s="419"/>
      <c r="D202" s="419"/>
      <c r="E202" s="419"/>
      <c r="F202" s="419"/>
      <c r="G202" s="420"/>
    </row>
    <row r="203" spans="2:12" ht="15" customHeight="1" thickBot="1">
      <c r="B203" s="421"/>
      <c r="C203" s="422"/>
      <c r="D203" s="422"/>
      <c r="E203" s="422"/>
      <c r="F203" s="422"/>
      <c r="G203" s="423"/>
    </row>
    <row r="204" spans="2:12">
      <c r="B204" s="431" t="s">
        <v>8</v>
      </c>
      <c r="C204" s="432"/>
      <c r="D204" s="431" t="s">
        <v>9</v>
      </c>
      <c r="E204" s="433"/>
      <c r="F204" s="433"/>
      <c r="G204" s="432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>
        <f>64.32-D46</f>
        <v>48.519999999999996</v>
      </c>
      <c r="E206" s="138"/>
      <c r="F206" s="138"/>
      <c r="G206" s="16" t="s">
        <v>685</v>
      </c>
    </row>
    <row r="207" spans="2:12">
      <c r="B207" s="134"/>
      <c r="C207" s="16"/>
      <c r="D207" s="137">
        <f>53.96-D289</f>
        <v>27.650000000000002</v>
      </c>
      <c r="E207" s="138"/>
      <c r="F207" s="138"/>
      <c r="G207" s="16" t="s">
        <v>703</v>
      </c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76.17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30" t="str">
        <f>AÑO!A31</f>
        <v>Deportes</v>
      </c>
      <c r="C222" s="419"/>
      <c r="D222" s="419"/>
      <c r="E222" s="419"/>
      <c r="F222" s="419"/>
      <c r="G222" s="420"/>
    </row>
    <row r="223" spans="2:7" ht="15" customHeight="1" thickBot="1">
      <c r="B223" s="421"/>
      <c r="C223" s="422"/>
      <c r="D223" s="422"/>
      <c r="E223" s="422"/>
      <c r="F223" s="422"/>
      <c r="G223" s="423"/>
    </row>
    <row r="224" spans="2:7">
      <c r="B224" s="431" t="s">
        <v>8</v>
      </c>
      <c r="C224" s="432"/>
      <c r="D224" s="431" t="s">
        <v>9</v>
      </c>
      <c r="E224" s="433"/>
      <c r="F224" s="433"/>
      <c r="G224" s="432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.75" thickBot="1">
      <c r="B241" s="5"/>
      <c r="C241" s="3"/>
      <c r="D241" s="5"/>
      <c r="E241" s="5"/>
    </row>
    <row r="242" spans="1:7" ht="14.45" customHeight="1">
      <c r="B242" s="430" t="str">
        <f>AÑO!A32</f>
        <v>Hogar</v>
      </c>
      <c r="C242" s="419"/>
      <c r="D242" s="419"/>
      <c r="E242" s="419"/>
      <c r="F242" s="419"/>
      <c r="G242" s="420"/>
    </row>
    <row r="243" spans="1:7" ht="15" customHeight="1" thickBot="1">
      <c r="B243" s="421"/>
      <c r="C243" s="422"/>
      <c r="D243" s="422"/>
      <c r="E243" s="422"/>
      <c r="F243" s="422"/>
      <c r="G243" s="423"/>
    </row>
    <row r="244" spans="1:7" ht="15" customHeight="1">
      <c r="B244" s="431" t="s">
        <v>8</v>
      </c>
      <c r="C244" s="432"/>
      <c r="D244" s="431" t="s">
        <v>9</v>
      </c>
      <c r="E244" s="433"/>
      <c r="F244" s="433"/>
      <c r="G244" s="432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'06'!A246+(B246-SUM(D246:F255))+B247</f>
        <v>66.5</v>
      </c>
      <c r="B246" s="134">
        <v>45</v>
      </c>
      <c r="C246" s="27" t="s">
        <v>403</v>
      </c>
      <c r="D246" s="137"/>
      <c r="E246" s="138"/>
      <c r="F246" s="138"/>
      <c r="G246" s="16"/>
    </row>
    <row r="247" spans="1:7" ht="15" customHeight="1">
      <c r="A247" s="112"/>
      <c r="B247" s="134">
        <v>-5</v>
      </c>
      <c r="C247" s="16" t="s">
        <v>715</v>
      </c>
      <c r="D247" s="137"/>
      <c r="E247" s="138"/>
      <c r="F247" s="138"/>
      <c r="G247" s="16"/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'06'!A256+(B256-SUM(D256:F256))</f>
        <v>30</v>
      </c>
      <c r="B256" s="134">
        <v>5</v>
      </c>
      <c r="C256" s="16" t="s">
        <v>410</v>
      </c>
      <c r="D256" s="137"/>
      <c r="E256" s="138"/>
      <c r="F256" s="138"/>
      <c r="G256" s="16"/>
    </row>
    <row r="257" spans="1:8" ht="15.75">
      <c r="A257" s="112">
        <f>'06'!A257+(B257-SUM(D257:F257))</f>
        <v>656.79000000000008</v>
      </c>
      <c r="B257" s="134">
        <v>25</v>
      </c>
      <c r="C257" s="16" t="s">
        <v>713</v>
      </c>
      <c r="D257" s="137"/>
      <c r="E257" s="138"/>
      <c r="F257" s="138"/>
      <c r="G257" s="16"/>
      <c r="H257" s="89">
        <f>1208-(100.67*2)</f>
        <v>1006.66</v>
      </c>
    </row>
    <row r="258" spans="1:8" ht="15.75">
      <c r="A258" s="112">
        <f>'06'!A258+(B258-SUM(D258:F258))</f>
        <v>-134.37</v>
      </c>
      <c r="B258" s="134">
        <f>25+10+4.38+35.25</f>
        <v>74.63</v>
      </c>
      <c r="C258" s="16" t="s">
        <v>723</v>
      </c>
      <c r="D258" s="137">
        <v>349</v>
      </c>
      <c r="E258" s="138"/>
      <c r="F258" s="138"/>
      <c r="G258" s="16" t="s">
        <v>689</v>
      </c>
    </row>
    <row r="259" spans="1:8" ht="16.5" thickBot="1">
      <c r="A259" s="112"/>
      <c r="B259" s="135"/>
      <c r="C259" s="17"/>
      <c r="D259" s="135"/>
      <c r="E259" s="139"/>
      <c r="F259" s="139"/>
      <c r="G259" s="17"/>
    </row>
    <row r="260" spans="1:8" ht="16.5" thickBot="1">
      <c r="A260" s="112">
        <f>SUM(A246:A259)</f>
        <v>618.92000000000007</v>
      </c>
      <c r="B260" s="135">
        <f>SUM(B246:B259)</f>
        <v>144.63</v>
      </c>
      <c r="C260" s="17" t="s">
        <v>53</v>
      </c>
      <c r="D260" s="135">
        <f>SUM(D246:D259)</f>
        <v>349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1:8" ht="15.75" thickBot="1">
      <c r="B261" s="5"/>
      <c r="C261" s="3"/>
      <c r="D261" s="5"/>
      <c r="E261" s="5"/>
    </row>
    <row r="262" spans="1:8" ht="14.45" customHeight="1">
      <c r="B262" s="430" t="str">
        <f>AÑO!A33</f>
        <v>Formación</v>
      </c>
      <c r="C262" s="419"/>
      <c r="D262" s="419"/>
      <c r="E262" s="419"/>
      <c r="F262" s="419"/>
      <c r="G262" s="420"/>
    </row>
    <row r="263" spans="1:8" ht="15" customHeight="1" thickBot="1">
      <c r="B263" s="421"/>
      <c r="C263" s="422"/>
      <c r="D263" s="422"/>
      <c r="E263" s="422"/>
      <c r="F263" s="422"/>
      <c r="G263" s="423"/>
    </row>
    <row r="264" spans="1:8">
      <c r="B264" s="431" t="s">
        <v>8</v>
      </c>
      <c r="C264" s="432"/>
      <c r="D264" s="431" t="s">
        <v>9</v>
      </c>
      <c r="E264" s="433"/>
      <c r="F264" s="433"/>
      <c r="G264" s="432"/>
    </row>
    <row r="265" spans="1:8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8">
      <c r="B266" s="133">
        <v>50</v>
      </c>
      <c r="C266" s="19"/>
      <c r="D266" s="137"/>
      <c r="E266" s="138"/>
      <c r="F266" s="138"/>
      <c r="G266" s="16"/>
    </row>
    <row r="267" spans="1:8">
      <c r="B267" s="134"/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430" t="str">
        <f>AÑO!A34</f>
        <v>Regalos</v>
      </c>
      <c r="C282" s="419"/>
      <c r="D282" s="419"/>
      <c r="E282" s="419"/>
      <c r="F282" s="419"/>
      <c r="G282" s="420"/>
    </row>
    <row r="283" spans="2:8" ht="15" customHeight="1" thickBot="1">
      <c r="B283" s="421"/>
      <c r="C283" s="422"/>
      <c r="D283" s="422"/>
      <c r="E283" s="422"/>
      <c r="F283" s="422"/>
      <c r="G283" s="423"/>
    </row>
    <row r="284" spans="2:8">
      <c r="B284" s="431" t="s">
        <v>8</v>
      </c>
      <c r="C284" s="432"/>
      <c r="D284" s="431" t="s">
        <v>9</v>
      </c>
      <c r="E284" s="433"/>
      <c r="F284" s="433"/>
      <c r="G284" s="432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>
        <v>25</v>
      </c>
      <c r="E286" s="138"/>
      <c r="F286" s="138"/>
      <c r="G286" s="16" t="s">
        <v>691</v>
      </c>
    </row>
    <row r="287" spans="2:8">
      <c r="B287" s="134"/>
      <c r="C287" s="16"/>
      <c r="D287" s="137"/>
      <c r="E287" s="138"/>
      <c r="F287" s="138">
        <v>50</v>
      </c>
      <c r="G287" s="16" t="s">
        <v>700</v>
      </c>
      <c r="H287" s="92"/>
    </row>
    <row r="288" spans="2:8">
      <c r="B288" s="134"/>
      <c r="C288" s="16"/>
      <c r="D288" s="137"/>
      <c r="E288" s="138"/>
      <c r="F288" s="138">
        <v>50</v>
      </c>
      <c r="G288" s="16" t="s">
        <v>701</v>
      </c>
    </row>
    <row r="289" spans="2:8">
      <c r="B289" s="134"/>
      <c r="C289" s="16"/>
      <c r="D289" s="137">
        <v>26.31</v>
      </c>
      <c r="E289" s="138"/>
      <c r="F289" s="138"/>
      <c r="G289" s="16" t="s">
        <v>703</v>
      </c>
    </row>
    <row r="290" spans="2:8">
      <c r="B290" s="134"/>
      <c r="C290" s="16"/>
      <c r="D290" s="137"/>
      <c r="E290" s="138">
        <v>31.95</v>
      </c>
      <c r="F290" s="138"/>
      <c r="G290" s="16" t="s">
        <v>722</v>
      </c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51.31</v>
      </c>
      <c r="E300" s="135">
        <f>SUM(E286:E299)</f>
        <v>31.95</v>
      </c>
      <c r="F300" s="135">
        <f>SUM(F286:F299)</f>
        <v>100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30" t="str">
        <f>AÑO!A35</f>
        <v>Salud</v>
      </c>
      <c r="C302" s="419"/>
      <c r="D302" s="419"/>
      <c r="E302" s="419"/>
      <c r="F302" s="419"/>
      <c r="G302" s="420"/>
    </row>
    <row r="303" spans="2:8" ht="15" customHeight="1" thickBot="1">
      <c r="B303" s="421"/>
      <c r="C303" s="422"/>
      <c r="D303" s="422"/>
      <c r="E303" s="422"/>
      <c r="F303" s="422"/>
      <c r="G303" s="423"/>
    </row>
    <row r="304" spans="2:8">
      <c r="B304" s="431" t="s">
        <v>8</v>
      </c>
      <c r="C304" s="432"/>
      <c r="D304" s="431" t="s">
        <v>9</v>
      </c>
      <c r="E304" s="433"/>
      <c r="F304" s="433"/>
      <c r="G304" s="432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115</v>
      </c>
      <c r="C306" s="19" t="s">
        <v>233</v>
      </c>
      <c r="D306" s="137"/>
      <c r="E306" s="138"/>
      <c r="F306" s="138">
        <v>50</v>
      </c>
      <c r="G306" s="16" t="s">
        <v>682</v>
      </c>
    </row>
    <row r="307" spans="2:7">
      <c r="B307" s="134">
        <v>15</v>
      </c>
      <c r="C307" s="27"/>
      <c r="D307" s="137">
        <v>27.5</v>
      </c>
      <c r="E307" s="138"/>
      <c r="F307" s="138"/>
      <c r="G307" s="16" t="s">
        <v>684</v>
      </c>
    </row>
    <row r="308" spans="2:7">
      <c r="B308" s="134">
        <f>37.49+14.27+14.27</f>
        <v>66.03</v>
      </c>
      <c r="C308" s="27" t="s">
        <v>694</v>
      </c>
      <c r="D308" s="137">
        <f>37.5+37.5</f>
        <v>75</v>
      </c>
      <c r="E308" s="138"/>
      <c r="F308" s="138"/>
      <c r="G308" s="16" t="s">
        <v>711</v>
      </c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196.03</v>
      </c>
      <c r="C320" s="17" t="s">
        <v>53</v>
      </c>
      <c r="D320" s="135">
        <f>SUM(D306:D319)</f>
        <v>102.5</v>
      </c>
      <c r="E320" s="135">
        <f>SUM(E306:E319)</f>
        <v>0</v>
      </c>
      <c r="F320" s="135">
        <f>SUM(F306:F319)</f>
        <v>50</v>
      </c>
      <c r="G320" s="17" t="s">
        <v>53</v>
      </c>
    </row>
    <row r="321" spans="2:7" ht="15.75" thickBot="1"/>
    <row r="322" spans="2:7" ht="14.45" customHeight="1">
      <c r="B322" s="430" t="str">
        <f>AÑO!A36</f>
        <v>Nenas</v>
      </c>
      <c r="C322" s="436"/>
      <c r="D322" s="436"/>
      <c r="E322" s="436"/>
      <c r="F322" s="436"/>
      <c r="G322" s="437"/>
    </row>
    <row r="323" spans="2:7" ht="15" customHeight="1" thickBot="1">
      <c r="B323" s="438"/>
      <c r="C323" s="439"/>
      <c r="D323" s="439"/>
      <c r="E323" s="439"/>
      <c r="F323" s="439"/>
      <c r="G323" s="440"/>
    </row>
    <row r="324" spans="2:7">
      <c r="B324" s="431" t="s">
        <v>8</v>
      </c>
      <c r="C324" s="432"/>
      <c r="D324" s="431" t="s">
        <v>9</v>
      </c>
      <c r="E324" s="433"/>
      <c r="F324" s="433"/>
      <c r="G324" s="432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>
        <v>15</v>
      </c>
      <c r="F326" s="138"/>
      <c r="G326" s="16" t="s">
        <v>708</v>
      </c>
    </row>
    <row r="327" spans="2:7">
      <c r="B327" s="134">
        <v>100</v>
      </c>
      <c r="C327" s="16" t="s">
        <v>699</v>
      </c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190</v>
      </c>
      <c r="C340" s="17" t="s">
        <v>53</v>
      </c>
      <c r="D340" s="135">
        <f>SUM(D326:D339)</f>
        <v>0</v>
      </c>
      <c r="E340" s="135">
        <f>SUM(E326:E339)</f>
        <v>15</v>
      </c>
      <c r="F340" s="135">
        <f>SUM(F326:F339)</f>
        <v>0</v>
      </c>
      <c r="G340" s="17" t="s">
        <v>53</v>
      </c>
    </row>
    <row r="341" spans="1:7" ht="15.75" thickBot="1">
      <c r="B341" s="5"/>
      <c r="C341" s="3"/>
      <c r="D341" s="5"/>
      <c r="E341" s="5"/>
    </row>
    <row r="342" spans="1:7" ht="14.45" customHeight="1">
      <c r="B342" s="430" t="str">
        <f>AÑO!A37</f>
        <v>Impuestos</v>
      </c>
      <c r="C342" s="419"/>
      <c r="D342" s="419"/>
      <c r="E342" s="419"/>
      <c r="F342" s="419"/>
      <c r="G342" s="420"/>
    </row>
    <row r="343" spans="1:7" ht="15" customHeight="1" thickBot="1">
      <c r="B343" s="421"/>
      <c r="C343" s="422"/>
      <c r="D343" s="422"/>
      <c r="E343" s="422"/>
      <c r="F343" s="422"/>
      <c r="G343" s="423"/>
    </row>
    <row r="344" spans="1:7">
      <c r="B344" s="431" t="s">
        <v>8</v>
      </c>
      <c r="C344" s="432"/>
      <c r="D344" s="431" t="s">
        <v>9</v>
      </c>
      <c r="E344" s="433"/>
      <c r="F344" s="433"/>
      <c r="G344" s="432"/>
    </row>
    <row r="345" spans="1:7" ht="15.75">
      <c r="A345" s="1" t="s">
        <v>184</v>
      </c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1:7" ht="15.75">
      <c r="A346" s="112">
        <f>'06'!A346+(B346-SUM(D346:F357))</f>
        <v>230.73</v>
      </c>
      <c r="B346" s="133">
        <v>45</v>
      </c>
      <c r="C346" s="19" t="s">
        <v>199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'06'!A358+(B358-SUM(D358:F358))+B359</f>
        <v>-19.299999999999997</v>
      </c>
      <c r="B358" s="134">
        <v>5</v>
      </c>
      <c r="C358" s="16" t="s">
        <v>618</v>
      </c>
      <c r="D358" s="137">
        <v>64.3</v>
      </c>
      <c r="E358" s="138"/>
      <c r="F358" s="138"/>
      <c r="G358" s="16" t="s">
        <v>724</v>
      </c>
    </row>
    <row r="359" spans="1:7" ht="16.5" thickBot="1">
      <c r="A359" s="112"/>
      <c r="B359" s="135"/>
      <c r="C359" s="17"/>
      <c r="D359" s="135"/>
      <c r="E359" s="139"/>
      <c r="F359" s="139"/>
      <c r="G359" s="17"/>
    </row>
    <row r="360" spans="1:7" ht="16.5" thickBot="1">
      <c r="A360" s="112">
        <f>SUM(A346:A359)</f>
        <v>211.43</v>
      </c>
      <c r="B360" s="135">
        <f>SUM(B346:B359)</f>
        <v>50</v>
      </c>
      <c r="C360" s="17" t="s">
        <v>53</v>
      </c>
      <c r="D360" s="135">
        <f>SUM(D346:D359)</f>
        <v>64.3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1:7" ht="15.75" thickBot="1">
      <c r="B361" s="5"/>
      <c r="C361" s="3"/>
      <c r="D361" s="5"/>
      <c r="E361" s="5"/>
    </row>
    <row r="362" spans="1:7" ht="14.45" customHeight="1">
      <c r="B362" s="430" t="str">
        <f>AÑO!A38</f>
        <v>Gastos Curros</v>
      </c>
      <c r="C362" s="419"/>
      <c r="D362" s="419"/>
      <c r="E362" s="419"/>
      <c r="F362" s="419"/>
      <c r="G362" s="420"/>
    </row>
    <row r="363" spans="1:7" ht="15" customHeight="1" thickBot="1">
      <c r="B363" s="421"/>
      <c r="C363" s="422"/>
      <c r="D363" s="422"/>
      <c r="E363" s="422"/>
      <c r="F363" s="422"/>
      <c r="G363" s="423"/>
    </row>
    <row r="364" spans="1:7">
      <c r="B364" s="431" t="s">
        <v>8</v>
      </c>
      <c r="C364" s="432"/>
      <c r="D364" s="431" t="s">
        <v>9</v>
      </c>
      <c r="E364" s="433"/>
      <c r="F364" s="433"/>
      <c r="G364" s="432"/>
    </row>
    <row r="365" spans="1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1:7">
      <c r="B366" s="133">
        <v>70</v>
      </c>
      <c r="C366" s="19" t="s">
        <v>33</v>
      </c>
      <c r="D366" s="137"/>
      <c r="E366" s="138"/>
      <c r="F366" s="138">
        <f>4+4.5+4.5+4+4+4.5</f>
        <v>25.5</v>
      </c>
      <c r="G366" s="31" t="s">
        <v>67</v>
      </c>
    </row>
    <row r="367" spans="1:7">
      <c r="B367" s="134"/>
      <c r="C367" s="16"/>
      <c r="D367" s="137">
        <v>5.6</v>
      </c>
      <c r="E367" s="138"/>
      <c r="F367" s="138"/>
      <c r="G367" s="31" t="s">
        <v>687</v>
      </c>
    </row>
    <row r="368" spans="1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5.6</v>
      </c>
      <c r="E380" s="135">
        <f>SUM(E366:E379)</f>
        <v>0</v>
      </c>
      <c r="F380" s="135">
        <f>SUM(F366:F379)</f>
        <v>25.5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30" t="str">
        <f>AÑO!A39</f>
        <v>Dreamed Holidays</v>
      </c>
      <c r="C382" s="436"/>
      <c r="D382" s="436"/>
      <c r="E382" s="436"/>
      <c r="F382" s="436"/>
      <c r="G382" s="437"/>
    </row>
    <row r="383" spans="2:7" ht="15" customHeight="1" thickBot="1">
      <c r="B383" s="438"/>
      <c r="C383" s="439"/>
      <c r="D383" s="439"/>
      <c r="E383" s="439"/>
      <c r="F383" s="439"/>
      <c r="G383" s="440"/>
    </row>
    <row r="384" spans="2:7">
      <c r="B384" s="431" t="s">
        <v>8</v>
      </c>
      <c r="C384" s="432"/>
      <c r="D384" s="431" t="s">
        <v>9</v>
      </c>
      <c r="E384" s="433"/>
      <c r="F384" s="433"/>
      <c r="G384" s="432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30" t="str">
        <f>AÑO!A40</f>
        <v>Financieros</v>
      </c>
      <c r="C402" s="419"/>
      <c r="D402" s="419"/>
      <c r="E402" s="419"/>
      <c r="F402" s="419"/>
      <c r="G402" s="420"/>
    </row>
    <row r="403" spans="2:7" ht="15" customHeight="1" thickBot="1">
      <c r="B403" s="421"/>
      <c r="C403" s="422"/>
      <c r="D403" s="422"/>
      <c r="E403" s="422"/>
      <c r="F403" s="422"/>
      <c r="G403" s="423"/>
    </row>
    <row r="404" spans="2:7">
      <c r="B404" s="431" t="s">
        <v>8</v>
      </c>
      <c r="C404" s="432"/>
      <c r="D404" s="431" t="s">
        <v>9</v>
      </c>
      <c r="E404" s="433"/>
      <c r="F404" s="433"/>
      <c r="G404" s="432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3.06</v>
      </c>
      <c r="E406" s="138"/>
      <c r="F406" s="138"/>
      <c r="G406" s="16" t="s">
        <v>683</v>
      </c>
    </row>
    <row r="407" spans="2:7">
      <c r="B407" s="134">
        <v>1</v>
      </c>
      <c r="C407" s="16" t="s">
        <v>680</v>
      </c>
      <c r="D407" s="137"/>
      <c r="E407" s="138"/>
      <c r="F407" s="138"/>
      <c r="G407" s="16"/>
    </row>
    <row r="408" spans="2:7">
      <c r="B408" s="134">
        <v>0.02</v>
      </c>
      <c r="C408" s="16" t="s">
        <v>60</v>
      </c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51.02</v>
      </c>
      <c r="C420" s="17" t="s">
        <v>53</v>
      </c>
      <c r="D420" s="135">
        <f>SUM(D406:D419)</f>
        <v>3.06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30" t="str">
        <f>AÑO!A41</f>
        <v>Ahorros Colchón</v>
      </c>
      <c r="C422" s="436"/>
      <c r="D422" s="436"/>
      <c r="E422" s="436"/>
      <c r="F422" s="436"/>
      <c r="G422" s="437"/>
    </row>
    <row r="423" spans="1:7" ht="15" customHeight="1" thickBot="1">
      <c r="B423" s="438"/>
      <c r="C423" s="439"/>
      <c r="D423" s="439"/>
      <c r="E423" s="439"/>
      <c r="F423" s="439"/>
      <c r="G423" s="440"/>
    </row>
    <row r="424" spans="1:7">
      <c r="B424" s="431" t="s">
        <v>8</v>
      </c>
      <c r="C424" s="432"/>
      <c r="D424" s="431" t="s">
        <v>9</v>
      </c>
      <c r="E424" s="433"/>
      <c r="F424" s="433"/>
      <c r="G424" s="432"/>
    </row>
    <row r="425" spans="1:7">
      <c r="A425" s="113">
        <f>AÑO!AA17</f>
        <v>4513.7400000000007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347.59000000000015</v>
      </c>
      <c r="C426" s="19" t="s">
        <v>234</v>
      </c>
      <c r="D426" s="137"/>
      <c r="E426" s="138"/>
      <c r="F426" s="138"/>
      <c r="G426" s="16"/>
    </row>
    <row r="427" spans="1:7">
      <c r="A427" s="113">
        <v>1</v>
      </c>
      <c r="B427" s="134"/>
      <c r="C427" s="16"/>
      <c r="D427" s="137"/>
      <c r="E427" s="138"/>
      <c r="F427" s="138"/>
      <c r="G427" s="16"/>
    </row>
    <row r="428" spans="1:7">
      <c r="A428" s="113">
        <v>66.03</v>
      </c>
      <c r="B428" s="134"/>
      <c r="C428" s="16"/>
      <c r="D428" s="137"/>
      <c r="E428" s="138"/>
      <c r="F428" s="138"/>
      <c r="G428" s="16"/>
    </row>
    <row r="429" spans="1:7">
      <c r="A429" s="113">
        <v>199.1</v>
      </c>
      <c r="B429" s="134"/>
      <c r="C429" s="16"/>
      <c r="D429" s="137"/>
      <c r="E429" s="138"/>
      <c r="F429" s="138"/>
      <c r="G429" s="16"/>
    </row>
    <row r="430" spans="1:7">
      <c r="A430" s="113">
        <v>0.02</v>
      </c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347.59000000000015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30" t="str">
        <f>AÑO!A42</f>
        <v>Dinero Bloqueado</v>
      </c>
      <c r="C442" s="436"/>
      <c r="D442" s="436"/>
      <c r="E442" s="436"/>
      <c r="F442" s="436"/>
      <c r="G442" s="437"/>
    </row>
    <row r="443" spans="2:7" ht="15" customHeight="1" thickBot="1">
      <c r="B443" s="438"/>
      <c r="C443" s="439"/>
      <c r="D443" s="439"/>
      <c r="E443" s="439"/>
      <c r="F443" s="439"/>
      <c r="G443" s="440"/>
    </row>
    <row r="444" spans="2:7">
      <c r="B444" s="431" t="s">
        <v>8</v>
      </c>
      <c r="C444" s="432"/>
      <c r="D444" s="433" t="s">
        <v>9</v>
      </c>
      <c r="E444" s="433"/>
      <c r="F444" s="433"/>
      <c r="G444" s="432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30" t="str">
        <f>AÑO!A43</f>
        <v>Cartama Finanazas</v>
      </c>
      <c r="C462" s="436"/>
      <c r="D462" s="436"/>
      <c r="E462" s="436"/>
      <c r="F462" s="436"/>
      <c r="G462" s="437"/>
    </row>
    <row r="463" spans="2:7" ht="15" customHeight="1" thickBot="1">
      <c r="B463" s="438"/>
      <c r="C463" s="439"/>
      <c r="D463" s="439"/>
      <c r="E463" s="439"/>
      <c r="F463" s="439"/>
      <c r="G463" s="440"/>
    </row>
    <row r="464" spans="2:7">
      <c r="B464" s="431" t="s">
        <v>8</v>
      </c>
      <c r="C464" s="432"/>
      <c r="D464" s="433" t="s">
        <v>9</v>
      </c>
      <c r="E464" s="433"/>
      <c r="F464" s="433"/>
      <c r="G464" s="432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'06'!A466+(B466-SUM(D466:F466))</f>
        <v>0</v>
      </c>
      <c r="B466" s="134">
        <v>0</v>
      </c>
      <c r="C466" s="16" t="s">
        <v>348</v>
      </c>
      <c r="D466" s="137"/>
      <c r="E466" s="138"/>
      <c r="F466" s="138"/>
      <c r="G466" s="16"/>
    </row>
    <row r="467" spans="1:7" ht="15.75">
      <c r="A467" s="112">
        <f>'06'!A467+(B467-SUM(D467:F467))</f>
        <v>475.22999999999996</v>
      </c>
      <c r="B467" s="134">
        <v>50</v>
      </c>
      <c r="C467" s="16" t="s">
        <v>454</v>
      </c>
      <c r="D467" s="137"/>
      <c r="E467" s="138"/>
      <c r="F467" s="138"/>
      <c r="G467" s="16"/>
    </row>
    <row r="468" spans="1:7" ht="15.75">
      <c r="A468" s="112">
        <f>'06'!A468+(B468-SUM(D468:F468))</f>
        <v>168.4</v>
      </c>
      <c r="B468" s="134">
        <f>15</f>
        <v>15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643.63</v>
      </c>
      <c r="B480" s="135">
        <f>SUM(B466:B479)</f>
        <v>65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30" t="str">
        <f>AÑO!A44</f>
        <v>NULO</v>
      </c>
      <c r="C482" s="436"/>
      <c r="D482" s="436"/>
      <c r="E482" s="436"/>
      <c r="F482" s="436"/>
      <c r="G482" s="437"/>
    </row>
    <row r="483" spans="2:7" ht="15" customHeight="1" thickBot="1">
      <c r="B483" s="438"/>
      <c r="C483" s="439"/>
      <c r="D483" s="439"/>
      <c r="E483" s="439"/>
      <c r="F483" s="439"/>
      <c r="G483" s="440"/>
    </row>
    <row r="484" spans="2:7">
      <c r="B484" s="431" t="s">
        <v>8</v>
      </c>
      <c r="C484" s="432"/>
      <c r="D484" s="433" t="s">
        <v>9</v>
      </c>
      <c r="E484" s="433"/>
      <c r="F484" s="433"/>
      <c r="G484" s="432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30" t="str">
        <f>AÑO!A45</f>
        <v>OTROS</v>
      </c>
      <c r="C502" s="436"/>
      <c r="D502" s="436"/>
      <c r="E502" s="436"/>
      <c r="F502" s="436"/>
      <c r="G502" s="437"/>
    </row>
    <row r="503" spans="2:7" ht="15" customHeight="1" thickBot="1">
      <c r="B503" s="438"/>
      <c r="C503" s="439"/>
      <c r="D503" s="439"/>
      <c r="E503" s="439"/>
      <c r="F503" s="439"/>
      <c r="G503" s="440"/>
    </row>
    <row r="504" spans="2:7">
      <c r="B504" s="431" t="s">
        <v>8</v>
      </c>
      <c r="C504" s="432"/>
      <c r="D504" s="431" t="s">
        <v>9</v>
      </c>
      <c r="E504" s="433"/>
      <c r="F504" s="433"/>
      <c r="G504" s="432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" location="Trimestre!C39:F40" display="TELÉFONO" xr:uid="{3DA59B46-24BF-496A-AC74-B5E756B39091}"/>
    <hyperlink ref="I2:L3" location="AÑO!AA4:AD5" display="SALDO REAL" xr:uid="{1C99B46B-F75F-4CF4-941B-29448D0E9056}"/>
    <hyperlink ref="I22" location="Trimestre!C39:F40" display="TELÉFONO" xr:uid="{A7B1CA3C-6C16-4F87-906B-0189AFCA49D8}"/>
    <hyperlink ref="I22:L23" location="AÑO!AA7:AD17" display="INGRESOS" xr:uid="{1D123B88-52F4-44CF-9F33-561082ACB86F}"/>
    <hyperlink ref="B2" location="Trimestre!C25:F26" display="HIPOTECA" xr:uid="{053FDFC4-D24F-4493-BC10-5CEFDC465A0D}"/>
    <hyperlink ref="B2:G3" location="AÑO!AA20:AD20" display="AÑO!AA20:AD20" xr:uid="{B0037B1E-A836-445C-8895-C4C9246A5B72}"/>
    <hyperlink ref="B22" location="Trimestre!C25:F26" display="HIPOTECA" xr:uid="{36B88377-6877-4989-8556-CD17B38926B6}"/>
    <hyperlink ref="B22:G23" location="AÑO!AA21:AD21" display="AÑO!AA21:AD21" xr:uid="{4BF0FD77-DC2E-498F-BBA7-657D275D274A}"/>
    <hyperlink ref="B42" location="Trimestre!C25:F26" display="HIPOTECA" xr:uid="{30ADBC39-4E51-48EA-A26F-60FFA18C2BDD}"/>
    <hyperlink ref="B42:G43" location="AÑO!AA22:AD22" display="AÑO!AA22:AD22" xr:uid="{C5C69B82-C203-4258-8E85-E568AEBDEF1A}"/>
    <hyperlink ref="B62" location="Trimestre!C25:F26" display="HIPOTECA" xr:uid="{620B36F7-FF67-479E-8B38-1E475B4D21DE}"/>
    <hyperlink ref="B62:G63" location="AÑO!AA23:AD23" display="AÑO!AA23:AD23" xr:uid="{05D51832-5663-4FBA-8264-06E0CC774391}"/>
    <hyperlink ref="B82" location="Trimestre!C25:F26" display="HIPOTECA" xr:uid="{806F9CA7-BEE1-4EC4-9E1F-0A556948096C}"/>
    <hyperlink ref="B82:G83" location="AÑO!AA24:AD24" display="AÑO!AA24:AD24" xr:uid="{DA76A9D0-E06E-4678-9228-36DC32521A6B}"/>
    <hyperlink ref="B102" location="Trimestre!C25:F26" display="HIPOTECA" xr:uid="{0E6825BF-2FD9-444A-9E8C-861DD6E18F10}"/>
    <hyperlink ref="B102:G103" location="AÑO!AA25:AD25" display="AÑO!AA25:AD25" xr:uid="{E4F0D320-76CC-4643-B558-470B4A191267}"/>
    <hyperlink ref="B122" location="Trimestre!C25:F26" display="HIPOTECA" xr:uid="{FD958644-DB29-4AB7-8D6F-D46D23AA36FE}"/>
    <hyperlink ref="B122:G123" location="AÑO!AA26:AD26" display="AÑO!AA26:AD26" xr:uid="{670994AC-F608-4AEE-B2BF-76AA7DB6AC29}"/>
    <hyperlink ref="B142" location="Trimestre!C25:F26" display="HIPOTECA" xr:uid="{7E22F324-1BE3-466B-B922-3D588F6848B9}"/>
    <hyperlink ref="B142:G143" location="AÑO!AA27:AD27" display="AÑO!AA27:AD27" xr:uid="{769E85C0-9040-4603-BD78-84C74359543F}"/>
    <hyperlink ref="B162" location="Trimestre!C25:F26" display="HIPOTECA" xr:uid="{37B1F8F7-2D82-41BA-B0EF-E3734125120A}"/>
    <hyperlink ref="B162:G163" location="AÑO!AA28:AD28" display="AÑO!AA28:AD28" xr:uid="{147F4B0D-12C1-4F4F-9A26-05C0AFC3AEA5}"/>
    <hyperlink ref="B182" location="Trimestre!C25:F26" display="HIPOTECA" xr:uid="{D714F192-37CA-4D30-BFFC-79B48A641FAA}"/>
    <hyperlink ref="B182:G183" location="AÑO!AA29:AD29" display="AÑO!AA29:AD29" xr:uid="{4884802A-7329-45FE-810B-B71454971149}"/>
    <hyperlink ref="B202" location="Trimestre!C25:F26" display="HIPOTECA" xr:uid="{A734EE1A-A101-476D-9A8D-E78EAA30AC68}"/>
    <hyperlink ref="B202:G203" location="AÑO!AA30:AD30" display="AÑO!AA30:AD30" xr:uid="{7FE8C2B1-4063-4376-8057-A66A57C28AFA}"/>
    <hyperlink ref="B222" location="Trimestre!C25:F26" display="HIPOTECA" xr:uid="{3B486C95-047E-4C78-A1AC-A4E50D35B6C3}"/>
    <hyperlink ref="B222:G223" location="AÑO!AA31:AD31" display="AÑO!AA31:AD31" xr:uid="{6F5B9531-413A-452F-90D3-A70853B231F3}"/>
    <hyperlink ref="B242" location="Trimestre!C25:F26" display="HIPOTECA" xr:uid="{E752454C-0908-4D43-AE11-D2EF3EE6DA21}"/>
    <hyperlink ref="B242:G243" location="AÑO!AA32:AD32" display="AÑO!AA32:AD32" xr:uid="{D9376917-4F8C-4CE3-8751-DA7849DBEC48}"/>
    <hyperlink ref="B262" location="Trimestre!C25:F26" display="HIPOTECA" xr:uid="{54D2B679-F9E8-4745-852E-E11E53E3E669}"/>
    <hyperlink ref="B262:G263" location="AÑO!AA33:AD33" display="AÑO!AA33:AD33" xr:uid="{B1A6D1BA-DE06-4DD4-BE25-C712128A2142}"/>
    <hyperlink ref="B282" location="Trimestre!C25:F26" display="HIPOTECA" xr:uid="{CC7A1AEF-D269-4F56-B068-352A9385CC42}"/>
    <hyperlink ref="B282:G283" location="AÑO!AA34:AD34" display="AÑO!AA34:AD34" xr:uid="{E67AB6C9-4E93-4E6F-86A0-E3D360F16D61}"/>
    <hyperlink ref="B302" location="Trimestre!C25:F26" display="HIPOTECA" xr:uid="{4D170730-B86F-4F62-BC6F-94E90EE8C4F0}"/>
    <hyperlink ref="B302:G303" location="AÑO!AA35:AD35" display="AÑO!AA35:AD35" xr:uid="{B0ECA6DA-65BF-4E9F-8785-3B0CAB87C87C}"/>
    <hyperlink ref="B322" location="Trimestre!C25:F26" display="HIPOTECA" xr:uid="{2B73894B-6A3C-4D87-98FD-F7C7AEEE1DC6}"/>
    <hyperlink ref="B322:G323" location="AÑO!AA36:AD36" display="AÑO!AA36:AD36" xr:uid="{A225E443-6F80-4045-BD5E-03F60FF4E7F2}"/>
    <hyperlink ref="B342" location="Trimestre!C25:F26" display="HIPOTECA" xr:uid="{2CCC7AC3-F369-45A1-926C-091B0143B9BB}"/>
    <hyperlink ref="B342:G343" location="AÑO!AA37:AD37" display="AÑO!AA37:AD37" xr:uid="{D73735A3-28DD-4A17-8CEC-59D911D8A2B8}"/>
    <hyperlink ref="B362" location="Trimestre!C25:F26" display="HIPOTECA" xr:uid="{6671C6FE-1210-4F7C-9E65-8192B58FAD6A}"/>
    <hyperlink ref="B362:G363" location="AÑO!AA38:AD38" display="AÑO!AA38:AD38" xr:uid="{1BA747A1-BFBA-4380-98E5-E0A4F2B4CC35}"/>
    <hyperlink ref="B382" location="Trimestre!C25:F26" display="HIPOTECA" xr:uid="{FE0C6214-B231-4343-A94E-7395839DC9BD}"/>
    <hyperlink ref="B382:G383" location="AÑO!AA39:AD39" display="AÑO!AA39:AD39" xr:uid="{8487126F-4FD9-421B-A0D9-FFEA319717C0}"/>
    <hyperlink ref="B402" location="Trimestre!C25:F26" display="HIPOTECA" xr:uid="{12B2989E-3438-48D1-AEAF-AEE7AB222B5B}"/>
    <hyperlink ref="B402:G403" location="AÑO!AA40:AD40" display="AÑO!AA40:AD40" xr:uid="{45272D3F-C298-4A58-8F48-F874A1208FE9}"/>
    <hyperlink ref="B422" location="Trimestre!C25:F26" display="HIPOTECA" xr:uid="{01D790D5-D5F0-4D4B-8391-106B061AAAC5}"/>
    <hyperlink ref="B422:G423" location="AÑO!AA41:AD41" display="AÑO!AA41:AD41" xr:uid="{F6054C58-6F49-4F42-871D-98B7E6E2025A}"/>
    <hyperlink ref="B442" location="Trimestre!C25:F26" display="HIPOTECA" xr:uid="{C75DD882-590C-461A-94F9-671B87BF5A09}"/>
    <hyperlink ref="B442:G443" location="AÑO!AA42:AD42" display="AÑO!AA42:AD42" xr:uid="{9C8693AF-6886-48F0-99CD-2955C9C94B2C}"/>
    <hyperlink ref="B462" location="Trimestre!C25:F26" display="HIPOTECA" xr:uid="{FBEC4B66-1D0A-4784-B5DF-96445A686479}"/>
    <hyperlink ref="B462:G463" location="AÑO!AA43:AD43" display="AÑO!AA43:AD43" xr:uid="{A4904F71-124A-431F-9A06-4C9BE74343E2}"/>
    <hyperlink ref="B482" location="Trimestre!C25:F26" display="HIPOTECA" xr:uid="{3BEC8488-6503-483F-951E-CFA3B1E0DA4A}"/>
    <hyperlink ref="B482:G483" location="AÑO!AA44:AD44" display="AÑO!AA44:AD44" xr:uid="{20D44EFB-9743-4522-A3B7-24E89A8B1DCF}"/>
    <hyperlink ref="B502" location="Trimestre!C25:F26" display="HIPOTECA" xr:uid="{78170763-CBD6-4EA0-AEE1-1C25583440DF}"/>
    <hyperlink ref="B502:G503" location="AÑO!AA45:AD45" display="AÑO!AA45:AD45" xr:uid="{E850677F-3040-4139-AA39-528FA694E0DE}"/>
  </hyperlink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V520"/>
  <sheetViews>
    <sheetView topLeftCell="A337" workbookViewId="0">
      <selection activeCell="F359" sqref="F359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227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30" t="str">
        <f>AÑO!A20</f>
        <v>Cártama Gastos</v>
      </c>
      <c r="C2" s="419"/>
      <c r="D2" s="419"/>
      <c r="E2" s="419"/>
      <c r="F2" s="419"/>
      <c r="G2" s="420"/>
      <c r="H2" s="222"/>
      <c r="I2" s="418" t="s">
        <v>4</v>
      </c>
      <c r="J2" s="419"/>
      <c r="K2" s="419"/>
      <c r="L2" s="420"/>
      <c r="M2" s="1"/>
      <c r="N2" s="1"/>
      <c r="R2" s="3"/>
    </row>
    <row r="3" spans="1:22" ht="16.5" thickBot="1">
      <c r="A3" s="1"/>
      <c r="B3" s="421"/>
      <c r="C3" s="422"/>
      <c r="D3" s="422"/>
      <c r="E3" s="422"/>
      <c r="F3" s="422"/>
      <c r="G3" s="423"/>
      <c r="H3" s="1"/>
      <c r="I3" s="421"/>
      <c r="J3" s="422"/>
      <c r="K3" s="422"/>
      <c r="L3" s="423"/>
      <c r="M3" s="1"/>
      <c r="N3" s="1"/>
      <c r="R3" s="3"/>
    </row>
    <row r="4" spans="1:22" ht="15.75">
      <c r="A4" s="1"/>
      <c r="B4" s="431" t="s">
        <v>8</v>
      </c>
      <c r="C4" s="432"/>
      <c r="D4" s="431" t="s">
        <v>9</v>
      </c>
      <c r="E4" s="433"/>
      <c r="F4" s="433"/>
      <c r="G4" s="432"/>
      <c r="H4" s="222"/>
      <c r="I4" s="40" t="s">
        <v>57</v>
      </c>
      <c r="J4" s="105" t="s">
        <v>58</v>
      </c>
      <c r="K4" s="424" t="s">
        <v>59</v>
      </c>
      <c r="L4" s="425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26">
        <f>2939.95</f>
        <v>2939.95</v>
      </c>
      <c r="L5" s="427"/>
      <c r="M5" s="1"/>
      <c r="N5" s="1"/>
      <c r="R5" s="3"/>
    </row>
    <row r="6" spans="1:22" ht="15.75">
      <c r="A6" s="112">
        <f>'07'!A6+(B6-SUM(D6:F6))</f>
        <v>812.16</v>
      </c>
      <c r="B6" s="133">
        <v>403.08</v>
      </c>
      <c r="C6" s="19" t="s">
        <v>377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428">
        <v>620.1</v>
      </c>
      <c r="L6" s="429"/>
      <c r="M6" s="1" t="s">
        <v>165</v>
      </c>
      <c r="N6" s="1"/>
      <c r="R6" s="3"/>
    </row>
    <row r="7" spans="1:22" ht="15.75">
      <c r="A7" s="112">
        <f>'07'!A7+(B7-SUM(D7:F7))</f>
        <v>237.20999999999998</v>
      </c>
      <c r="B7" s="134">
        <v>67.180000000000007</v>
      </c>
      <c r="C7" s="16" t="s">
        <v>401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28">
        <v>8049.26</v>
      </c>
      <c r="L7" s="429"/>
      <c r="M7" s="1"/>
      <c r="N7" s="1"/>
      <c r="R7" s="3"/>
    </row>
    <row r="8" spans="1:22" ht="15.75">
      <c r="A8" s="112">
        <f>'07'!A8+(B8-SUM(D8:F8))</f>
        <v>9.0000000000017621E-2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28">
        <v>6305.62</v>
      </c>
      <c r="L8" s="429"/>
      <c r="M8" s="1"/>
      <c r="N8" s="1"/>
      <c r="R8" s="3"/>
    </row>
    <row r="9" spans="1:22" ht="15.75">
      <c r="A9" s="112">
        <f>'07'!A9+(B9-SUM(D9:F9))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/>
      <c r="I9" s="108" t="s">
        <v>63</v>
      </c>
      <c r="J9" s="107" t="s">
        <v>157</v>
      </c>
      <c r="K9" s="428">
        <v>169.67</v>
      </c>
      <c r="L9" s="429"/>
      <c r="M9" s="1"/>
      <c r="N9" s="1"/>
      <c r="R9" s="3"/>
    </row>
    <row r="10" spans="1:22" ht="15.75">
      <c r="A10" s="112">
        <f>'07'!A10+(B10-SUM(D10:F10))</f>
        <v>24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428">
        <v>1802.02</v>
      </c>
      <c r="L10" s="429"/>
      <c r="M10" s="1" t="s">
        <v>156</v>
      </c>
      <c r="N10" s="1"/>
      <c r="R10" s="3"/>
    </row>
    <row r="11" spans="1:22" ht="15.75">
      <c r="A11" s="112">
        <f>'07'!A11+(B11-SUM(D11:F11))</f>
        <v>30.220000000000002</v>
      </c>
      <c r="B11" s="134">
        <v>30.24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428">
        <v>260</v>
      </c>
      <c r="L11" s="429"/>
      <c r="M11" s="1"/>
      <c r="N11" s="1"/>
      <c r="R11" s="3"/>
    </row>
    <row r="12" spans="1:22" ht="15.75">
      <c r="A12" s="112">
        <f>'07'!A12+(B12-SUM(D12:F12))</f>
        <v>238.04000000000002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28">
        <f>5092.08+4044.26</f>
        <v>9136.34</v>
      </c>
      <c r="L12" s="429"/>
      <c r="M12" s="92"/>
      <c r="N12" s="1"/>
      <c r="R12" s="3"/>
    </row>
    <row r="13" spans="1:22" ht="15.75">
      <c r="A13" s="112">
        <f>'07'!A13+(B13-SUM(D13:F13))</f>
        <v>37.5</v>
      </c>
      <c r="B13" s="134">
        <v>6.5</v>
      </c>
      <c r="C13" s="16" t="s">
        <v>326</v>
      </c>
      <c r="D13" s="137"/>
      <c r="E13" s="138"/>
      <c r="F13" s="138"/>
      <c r="G13" s="16"/>
      <c r="H13" s="1"/>
      <c r="I13" s="108"/>
      <c r="J13" s="107"/>
      <c r="K13" s="428"/>
      <c r="L13" s="429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8"/>
      <c r="L14" s="429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8"/>
      <c r="L15" s="429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8"/>
      <c r="L16" s="429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8"/>
      <c r="L17" s="429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4"/>
      <c r="L18" s="435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43">
        <f>SUM(K5:K18)</f>
        <v>29282.959999999999</v>
      </c>
      <c r="L19" s="444"/>
      <c r="M19" s="1"/>
      <c r="N19" s="1"/>
      <c r="R19" s="3"/>
    </row>
    <row r="20" spans="1:18" ht="16.5" thickBot="1">
      <c r="A20" s="112">
        <f>SUM(A6:A15)</f>
        <v>1379.2199999999998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18344.599999999999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30" t="str">
        <f>AÑO!A21</f>
        <v>Waterloo</v>
      </c>
      <c r="C22" s="419"/>
      <c r="D22" s="419"/>
      <c r="E22" s="419"/>
      <c r="F22" s="419"/>
      <c r="G22" s="420"/>
      <c r="H22" s="1"/>
      <c r="I22" s="418" t="s">
        <v>6</v>
      </c>
      <c r="J22" s="419"/>
      <c r="K22" s="419"/>
      <c r="L22" s="420"/>
      <c r="M22" s="1"/>
      <c r="R22" s="3"/>
    </row>
    <row r="23" spans="1:18" ht="16.149999999999999" customHeight="1" thickBot="1">
      <c r="A23" s="1"/>
      <c r="B23" s="421"/>
      <c r="C23" s="422"/>
      <c r="D23" s="422"/>
      <c r="E23" s="422"/>
      <c r="F23" s="422"/>
      <c r="G23" s="423"/>
      <c r="H23" s="1"/>
      <c r="I23" s="421"/>
      <c r="J23" s="422"/>
      <c r="K23" s="422"/>
      <c r="L23" s="423"/>
      <c r="M23" s="1"/>
      <c r="R23" s="3"/>
    </row>
    <row r="24" spans="1:18" ht="15.75">
      <c r="A24" s="1"/>
      <c r="B24" s="431" t="s">
        <v>8</v>
      </c>
      <c r="C24" s="432"/>
      <c r="D24" s="431" t="s">
        <v>9</v>
      </c>
      <c r="E24" s="433"/>
      <c r="F24" s="433"/>
      <c r="G24" s="432"/>
      <c r="H24" s="1"/>
      <c r="I24" s="40" t="s">
        <v>31</v>
      </c>
      <c r="J24" s="403" t="s">
        <v>87</v>
      </c>
      <c r="K24" s="404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05" t="str">
        <f>AÑO!A8</f>
        <v>Manolo Salario</v>
      </c>
      <c r="J25" s="408"/>
      <c r="K25" s="409"/>
      <c r="L25" s="231"/>
      <c r="M25" s="1"/>
      <c r="R25" s="3"/>
    </row>
    <row r="26" spans="1:18" ht="15.75">
      <c r="A26" s="112">
        <f>'07'!A26+(B26-SUM(D26:F26))</f>
        <v>900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406"/>
      <c r="J26" s="410"/>
      <c r="K26" s="411"/>
      <c r="L26" s="229"/>
      <c r="M26" s="1"/>
      <c r="R26" s="3"/>
    </row>
    <row r="27" spans="1:18" ht="15.75">
      <c r="A27" s="112">
        <f>'07'!A27+(B27-SUM(D27:F27))</f>
        <v>224.03999999999996</v>
      </c>
      <c r="B27" s="134">
        <v>190</v>
      </c>
      <c r="C27" s="27" t="s">
        <v>40</v>
      </c>
      <c r="D27" s="137"/>
      <c r="E27" s="138"/>
      <c r="F27" s="138"/>
      <c r="G27" s="16" t="s">
        <v>40</v>
      </c>
      <c r="H27" s="1"/>
      <c r="I27" s="406"/>
      <c r="J27" s="410"/>
      <c r="K27" s="411"/>
      <c r="L27" s="229"/>
      <c r="M27" s="1"/>
      <c r="R27" s="3"/>
    </row>
    <row r="28" spans="1:18" ht="15.75">
      <c r="A28" s="112">
        <f>'07'!A28+(B28-SUM(D28:F28))</f>
        <v>198.3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06"/>
      <c r="J28" s="410"/>
      <c r="K28" s="411"/>
      <c r="L28" s="229"/>
      <c r="M28" s="1"/>
      <c r="R28" s="3"/>
    </row>
    <row r="29" spans="1:18" ht="15.75">
      <c r="A29" s="112">
        <f>'07'!A29+(B29-SUM(D29:F29))</f>
        <v>19.530000000000005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414"/>
      <c r="J29" s="415"/>
      <c r="K29" s="416"/>
      <c r="L29" s="230"/>
      <c r="M29" s="1"/>
      <c r="R29" s="3"/>
    </row>
    <row r="30" spans="1:18" ht="15.75" customHeight="1">
      <c r="A30" s="112">
        <f>'07'!A30+(B30-SUM(D30:F30))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05" t="str">
        <f>AÑO!A9</f>
        <v>Rocío Salario</v>
      </c>
      <c r="J30" s="408"/>
      <c r="K30" s="409"/>
      <c r="L30" s="231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6"/>
      <c r="J31" s="410"/>
      <c r="K31" s="411"/>
      <c r="L31" s="22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6"/>
      <c r="J32" s="410"/>
      <c r="K32" s="411"/>
      <c r="L32" s="22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6"/>
      <c r="J33" s="410"/>
      <c r="K33" s="411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4"/>
      <c r="J34" s="415"/>
      <c r="K34" s="416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5" t="s">
        <v>218</v>
      </c>
      <c r="J35" s="408"/>
      <c r="K35" s="409"/>
      <c r="L35" s="231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6"/>
      <c r="J36" s="410"/>
      <c r="K36" s="411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6"/>
      <c r="J37" s="410"/>
      <c r="K37" s="411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6"/>
      <c r="J38" s="410"/>
      <c r="K38" s="411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4"/>
      <c r="J39" s="415"/>
      <c r="K39" s="416"/>
      <c r="L39" s="230"/>
      <c r="M39" s="1"/>
      <c r="R39" s="3"/>
    </row>
    <row r="40" spans="1:18" ht="16.5" thickBot="1">
      <c r="A40" s="112">
        <f>SUM(A26:A35)</f>
        <v>1528.1499999999999</v>
      </c>
      <c r="B40" s="135">
        <f>SUM(B26:B39)</f>
        <v>1148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05" t="str">
        <f>AÑO!A11</f>
        <v>Finanazas</v>
      </c>
      <c r="J40" s="408"/>
      <c r="K40" s="409"/>
      <c r="L40" s="231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6"/>
      <c r="J41" s="410"/>
      <c r="K41" s="411"/>
      <c r="L41" s="229"/>
      <c r="M41" s="1"/>
      <c r="R41" s="3"/>
    </row>
    <row r="42" spans="1:18" ht="15.6" customHeight="1">
      <c r="A42" s="1"/>
      <c r="B42" s="430" t="str">
        <f>AÑO!A22</f>
        <v>Comida+Limpieza</v>
      </c>
      <c r="C42" s="419"/>
      <c r="D42" s="419"/>
      <c r="E42" s="419"/>
      <c r="F42" s="419"/>
      <c r="G42" s="420"/>
      <c r="H42" s="1"/>
      <c r="I42" s="406"/>
      <c r="J42" s="410"/>
      <c r="K42" s="411"/>
      <c r="L42" s="229"/>
      <c r="M42" s="1"/>
      <c r="R42" s="3"/>
    </row>
    <row r="43" spans="1:18" ht="16.149999999999999" customHeight="1" thickBot="1">
      <c r="A43" s="1"/>
      <c r="B43" s="421"/>
      <c r="C43" s="422"/>
      <c r="D43" s="422"/>
      <c r="E43" s="422"/>
      <c r="F43" s="422"/>
      <c r="G43" s="423"/>
      <c r="H43" s="1"/>
      <c r="I43" s="406"/>
      <c r="J43" s="410"/>
      <c r="K43" s="411"/>
      <c r="L43" s="229"/>
      <c r="M43" s="1"/>
      <c r="R43" s="3"/>
    </row>
    <row r="44" spans="1:18" ht="15.75">
      <c r="A44" s="1"/>
      <c r="B44" s="431" t="s">
        <v>8</v>
      </c>
      <c r="C44" s="432"/>
      <c r="D44" s="431" t="s">
        <v>9</v>
      </c>
      <c r="E44" s="433"/>
      <c r="F44" s="433"/>
      <c r="G44" s="432"/>
      <c r="H44" s="1"/>
      <c r="I44" s="414"/>
      <c r="J44" s="415"/>
      <c r="K44" s="416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05" t="str">
        <f>AÑO!A12</f>
        <v>Regalos</v>
      </c>
      <c r="J45" s="408"/>
      <c r="K45" s="409"/>
      <c r="L45" s="231"/>
      <c r="M45" s="1"/>
      <c r="R45" s="3"/>
    </row>
    <row r="46" spans="1:18" ht="15.75">
      <c r="A46" s="1"/>
      <c r="B46" s="133">
        <v>300</v>
      </c>
      <c r="C46" s="19"/>
      <c r="D46" s="137"/>
      <c r="E46" s="138"/>
      <c r="F46" s="138"/>
      <c r="G46" s="30"/>
      <c r="H46" s="1"/>
      <c r="I46" s="406"/>
      <c r="J46" s="410"/>
      <c r="K46" s="411"/>
      <c r="L46" s="229"/>
      <c r="M46" s="1"/>
      <c r="R46" s="3"/>
    </row>
    <row r="47" spans="1:18" ht="15.75">
      <c r="A47" s="1"/>
      <c r="B47" s="134"/>
      <c r="C47" s="16" t="s">
        <v>78</v>
      </c>
      <c r="D47" s="137"/>
      <c r="E47" s="138"/>
      <c r="F47" s="138"/>
      <c r="G47" s="16"/>
      <c r="H47" s="1"/>
      <c r="I47" s="406"/>
      <c r="J47" s="410"/>
      <c r="K47" s="411"/>
      <c r="L47" s="229"/>
      <c r="M47" s="1"/>
      <c r="R47" s="3"/>
    </row>
    <row r="48" spans="1:18" ht="15.75">
      <c r="A48" s="1"/>
      <c r="B48" s="134"/>
      <c r="C48" s="16" t="s">
        <v>620</v>
      </c>
      <c r="D48" s="137"/>
      <c r="E48" s="138"/>
      <c r="F48" s="138"/>
      <c r="G48" s="16"/>
      <c r="H48" s="1"/>
      <c r="I48" s="406"/>
      <c r="J48" s="410"/>
      <c r="K48" s="411"/>
      <c r="L48" s="22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414"/>
      <c r="J49" s="415"/>
      <c r="K49" s="416"/>
      <c r="L49" s="230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405" t="str">
        <f>AÑO!A13</f>
        <v>Gubernamental</v>
      </c>
      <c r="J50" s="408"/>
      <c r="K50" s="409"/>
      <c r="L50" s="231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406"/>
      <c r="J51" s="410"/>
      <c r="K51" s="411"/>
      <c r="L51" s="22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06"/>
      <c r="J52" s="410"/>
      <c r="K52" s="411"/>
      <c r="L52" s="22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06"/>
      <c r="J53" s="410"/>
      <c r="K53" s="411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14"/>
      <c r="J54" s="415"/>
      <c r="K54" s="416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05" t="str">
        <f>AÑO!A14</f>
        <v>Mutualite/DKV</v>
      </c>
      <c r="J55" s="408"/>
      <c r="K55" s="409"/>
      <c r="L55" s="231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6"/>
      <c r="J56" s="410"/>
      <c r="K56" s="411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6"/>
      <c r="J57" s="410"/>
      <c r="K57" s="411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6"/>
      <c r="J58" s="410"/>
      <c r="K58" s="411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4"/>
      <c r="J59" s="415"/>
      <c r="K59" s="416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05" t="str">
        <f>AÑO!A15</f>
        <v>Alquiler Cartama</v>
      </c>
      <c r="J60" s="408"/>
      <c r="K60" s="409"/>
      <c r="L60" s="231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6"/>
      <c r="J61" s="410"/>
      <c r="K61" s="411"/>
      <c r="L61" s="229"/>
      <c r="M61" s="1"/>
      <c r="R61" s="3"/>
    </row>
    <row r="62" spans="1:18" ht="15.6" customHeight="1">
      <c r="A62" s="1"/>
      <c r="B62" s="430" t="str">
        <f>AÑO!A23</f>
        <v>Ocio</v>
      </c>
      <c r="C62" s="419"/>
      <c r="D62" s="419"/>
      <c r="E62" s="419"/>
      <c r="F62" s="419"/>
      <c r="G62" s="420"/>
      <c r="H62" s="1"/>
      <c r="I62" s="406"/>
      <c r="J62" s="410"/>
      <c r="K62" s="411"/>
      <c r="L62" s="229"/>
      <c r="M62" s="1"/>
      <c r="R62" s="3"/>
    </row>
    <row r="63" spans="1:18" ht="16.149999999999999" customHeight="1" thickBot="1">
      <c r="A63" s="1"/>
      <c r="B63" s="421"/>
      <c r="C63" s="422"/>
      <c r="D63" s="422"/>
      <c r="E63" s="422"/>
      <c r="F63" s="422"/>
      <c r="G63" s="423"/>
      <c r="H63" s="1"/>
      <c r="I63" s="406"/>
      <c r="J63" s="410"/>
      <c r="K63" s="411"/>
      <c r="L63" s="229"/>
      <c r="M63" s="1"/>
      <c r="R63" s="3"/>
    </row>
    <row r="64" spans="1:18" ht="15.75">
      <c r="A64" s="1"/>
      <c r="B64" s="431" t="s">
        <v>8</v>
      </c>
      <c r="C64" s="432"/>
      <c r="D64" s="431" t="s">
        <v>9</v>
      </c>
      <c r="E64" s="433"/>
      <c r="F64" s="433"/>
      <c r="G64" s="432"/>
      <c r="H64" s="1"/>
      <c r="I64" s="414"/>
      <c r="J64" s="415"/>
      <c r="K64" s="416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05" t="str">
        <f>AÑO!A16</f>
        <v>Otros</v>
      </c>
      <c r="J65" s="408"/>
      <c r="K65" s="409"/>
      <c r="L65" s="231"/>
      <c r="M65" s="1"/>
      <c r="R65" s="3"/>
    </row>
    <row r="66" spans="1:18" ht="15.75">
      <c r="A66" s="112">
        <f>'07'!A66+(B66-SUM(D66:F78))+B67</f>
        <v>208.38000000000002</v>
      </c>
      <c r="B66" s="133">
        <v>160</v>
      </c>
      <c r="C66" s="19" t="s">
        <v>33</v>
      </c>
      <c r="D66" s="137"/>
      <c r="E66" s="138"/>
      <c r="F66" s="138"/>
      <c r="G66" s="19"/>
      <c r="H66" s="1"/>
      <c r="I66" s="406"/>
      <c r="J66" s="410"/>
      <c r="K66" s="411"/>
      <c r="L66" s="22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406"/>
      <c r="J67" s="410"/>
      <c r="K67" s="411"/>
      <c r="L67" s="22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406"/>
      <c r="J68" s="410"/>
      <c r="K68" s="411"/>
      <c r="L68" s="22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407"/>
      <c r="J69" s="412"/>
      <c r="K69" s="413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'07'!A79+(B79-SUM(D79:F79))</f>
        <v>100</v>
      </c>
      <c r="B79" s="233">
        <v>10</v>
      </c>
      <c r="C79" s="17" t="s">
        <v>237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308.38</v>
      </c>
      <c r="B80" s="233">
        <f>SUM(B66:B79)</f>
        <v>170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30" t="str">
        <f>AÑO!A24</f>
        <v>Transportes</v>
      </c>
      <c r="C82" s="419"/>
      <c r="D82" s="419"/>
      <c r="E82" s="419"/>
      <c r="F82" s="419"/>
      <c r="G82" s="420"/>
      <c r="H82" s="1"/>
      <c r="M82" s="1"/>
      <c r="R82" s="3"/>
    </row>
    <row r="83" spans="1:18" ht="16.149999999999999" customHeight="1" thickBot="1">
      <c r="A83" s="1"/>
      <c r="B83" s="421"/>
      <c r="C83" s="422"/>
      <c r="D83" s="422"/>
      <c r="E83" s="422"/>
      <c r="F83" s="422"/>
      <c r="G83" s="423"/>
      <c r="H83" s="1"/>
      <c r="M83" s="1"/>
      <c r="R83" s="3"/>
    </row>
    <row r="84" spans="1:18" ht="15.75">
      <c r="A84" s="1"/>
      <c r="B84" s="431" t="s">
        <v>8</v>
      </c>
      <c r="C84" s="432"/>
      <c r="D84" s="431" t="s">
        <v>9</v>
      </c>
      <c r="E84" s="433"/>
      <c r="F84" s="433"/>
      <c r="G84" s="432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202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30" t="str">
        <f>AÑO!A25</f>
        <v>Coche</v>
      </c>
      <c r="C102" s="419"/>
      <c r="D102" s="419"/>
      <c r="E102" s="419"/>
      <c r="F102" s="419"/>
      <c r="G102" s="420"/>
      <c r="H102" s="1"/>
      <c r="M102" s="1"/>
      <c r="R102" s="3"/>
    </row>
    <row r="103" spans="1:18" ht="16.149999999999999" customHeight="1" thickBot="1">
      <c r="A103" s="1"/>
      <c r="B103" s="421"/>
      <c r="C103" s="422"/>
      <c r="D103" s="422"/>
      <c r="E103" s="422"/>
      <c r="F103" s="422"/>
      <c r="G103" s="423"/>
      <c r="H103" s="1"/>
      <c r="M103" s="1"/>
      <c r="R103" s="3"/>
    </row>
    <row r="104" spans="1:18" ht="15.75">
      <c r="A104" s="1"/>
      <c r="B104" s="431" t="s">
        <v>8</v>
      </c>
      <c r="C104" s="432"/>
      <c r="D104" s="431" t="s">
        <v>9</v>
      </c>
      <c r="E104" s="433"/>
      <c r="F104" s="433"/>
      <c r="G104" s="432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'07'!A106+(B106-SUM(D106:F106))</f>
        <v>258.47000000000003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'07'!A107+(B107-SUM(D107:F107))</f>
        <v>71.020000000000039</v>
      </c>
      <c r="B107" s="134">
        <v>69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'07'!A108+(B108-SUM(D108:F108))</f>
        <v>533.09999999999991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'07'!A109+(B109-SUM(D109:F109))</f>
        <v>2672.650000000001</v>
      </c>
      <c r="B109" s="134">
        <v>67.53</v>
      </c>
      <c r="C109" s="18" t="s">
        <v>456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862.58999999999992</v>
      </c>
      <c r="B120" s="135">
        <f>SUM(B106:B119)</f>
        <v>445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30" t="str">
        <f>AÑO!A26</f>
        <v>Teléfono</v>
      </c>
      <c r="C122" s="419"/>
      <c r="D122" s="419"/>
      <c r="E122" s="419"/>
      <c r="F122" s="419"/>
      <c r="G122" s="420"/>
      <c r="H122" s="1"/>
      <c r="M122" s="1"/>
      <c r="R122" s="3"/>
    </row>
    <row r="123" spans="1:18" ht="16.149999999999999" customHeight="1" thickBot="1">
      <c r="A123" s="1"/>
      <c r="B123" s="421"/>
      <c r="C123" s="422"/>
      <c r="D123" s="422"/>
      <c r="E123" s="422"/>
      <c r="F123" s="422"/>
      <c r="G123" s="423"/>
      <c r="H123" s="1"/>
      <c r="M123" s="1"/>
      <c r="R123" s="3"/>
    </row>
    <row r="124" spans="1:18" ht="15.75">
      <c r="A124" s="1"/>
      <c r="B124" s="431" t="s">
        <v>8</v>
      </c>
      <c r="C124" s="432"/>
      <c r="D124" s="431" t="s">
        <v>9</v>
      </c>
      <c r="E124" s="433"/>
      <c r="F124" s="433"/>
      <c r="G124" s="432"/>
      <c r="H124" s="1"/>
      <c r="M124" s="1"/>
      <c r="R124" s="3"/>
    </row>
    <row r="125" spans="1:18" ht="15.75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12">
        <f>'07'!A126+(B126-SUM(D126:F126))</f>
        <v>67.5</v>
      </c>
      <c r="B126" s="133">
        <v>30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12">
        <f>'07'!A127+(B127-SUM(D127:F128))</f>
        <v>37.5</v>
      </c>
      <c r="B127" s="134">
        <v>15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12">
        <f>'07'!A129+(B129-SUM(D129:F129))</f>
        <v>8.0399999999999991</v>
      </c>
      <c r="B129" s="134">
        <v>8</v>
      </c>
      <c r="C129" s="16" t="s">
        <v>162</v>
      </c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105</v>
      </c>
      <c r="B140" s="135">
        <f>SUM(B126:B139)</f>
        <v>53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30" t="str">
        <f>AÑO!A27</f>
        <v>Gatos</v>
      </c>
      <c r="C142" s="419"/>
      <c r="D142" s="419"/>
      <c r="E142" s="419"/>
      <c r="F142" s="419"/>
      <c r="G142" s="420"/>
      <c r="H142" s="1"/>
      <c r="M142" s="1"/>
      <c r="R142" s="3"/>
    </row>
    <row r="143" spans="1:18" ht="16.149999999999999" customHeight="1" thickBot="1">
      <c r="A143" s="1"/>
      <c r="B143" s="421"/>
      <c r="C143" s="422"/>
      <c r="D143" s="422"/>
      <c r="E143" s="422"/>
      <c r="F143" s="422"/>
      <c r="G143" s="423"/>
      <c r="H143" s="1"/>
      <c r="M143" s="1"/>
      <c r="R143" s="3"/>
    </row>
    <row r="144" spans="1:18" ht="15.75">
      <c r="A144" s="1"/>
      <c r="B144" s="431" t="s">
        <v>8</v>
      </c>
      <c r="C144" s="432"/>
      <c r="D144" s="431" t="s">
        <v>9</v>
      </c>
      <c r="E144" s="433"/>
      <c r="F144" s="433"/>
      <c r="G144" s="432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30" t="str">
        <f>AÑO!A28</f>
        <v>Vacaciones</v>
      </c>
      <c r="C162" s="419"/>
      <c r="D162" s="419"/>
      <c r="E162" s="419"/>
      <c r="F162" s="419"/>
      <c r="G162" s="420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21"/>
      <c r="C163" s="422"/>
      <c r="D163" s="422"/>
      <c r="E163" s="422"/>
      <c r="F163" s="422"/>
      <c r="G163" s="423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31" t="s">
        <v>8</v>
      </c>
      <c r="C164" s="432"/>
      <c r="D164" s="431" t="s">
        <v>9</v>
      </c>
      <c r="E164" s="433"/>
      <c r="F164" s="433"/>
      <c r="G164" s="432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 t="s">
        <v>696</v>
      </c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30" t="str">
        <f>AÑO!A29</f>
        <v>Ropa</v>
      </c>
      <c r="C182" s="419"/>
      <c r="D182" s="419"/>
      <c r="E182" s="419"/>
      <c r="F182" s="419"/>
      <c r="G182" s="42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21"/>
      <c r="C183" s="422"/>
      <c r="D183" s="422"/>
      <c r="E183" s="422"/>
      <c r="F183" s="422"/>
      <c r="G183" s="42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31" t="s">
        <v>8</v>
      </c>
      <c r="C184" s="432"/>
      <c r="D184" s="431" t="s">
        <v>9</v>
      </c>
      <c r="E184" s="433"/>
      <c r="F184" s="433"/>
      <c r="G184" s="432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30" t="str">
        <f>AÑO!A30</f>
        <v>Belleza</v>
      </c>
      <c r="C202" s="419"/>
      <c r="D202" s="419"/>
      <c r="E202" s="419"/>
      <c r="F202" s="419"/>
      <c r="G202" s="420"/>
    </row>
    <row r="203" spans="2:12" ht="15" customHeight="1" thickBot="1">
      <c r="B203" s="421"/>
      <c r="C203" s="422"/>
      <c r="D203" s="422"/>
      <c r="E203" s="422"/>
      <c r="F203" s="422"/>
      <c r="G203" s="423"/>
    </row>
    <row r="204" spans="2:12">
      <c r="B204" s="431" t="s">
        <v>8</v>
      </c>
      <c r="C204" s="432"/>
      <c r="D204" s="431" t="s">
        <v>9</v>
      </c>
      <c r="E204" s="433"/>
      <c r="F204" s="433"/>
      <c r="G204" s="432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/>
      <c r="F206" s="138"/>
      <c r="G206" s="16" t="s">
        <v>697</v>
      </c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30" t="str">
        <f>AÑO!A31</f>
        <v>Deportes</v>
      </c>
      <c r="C222" s="419"/>
      <c r="D222" s="419"/>
      <c r="E222" s="419"/>
      <c r="F222" s="419"/>
      <c r="G222" s="420"/>
    </row>
    <row r="223" spans="2:7" ht="15" customHeight="1" thickBot="1">
      <c r="B223" s="421"/>
      <c r="C223" s="422"/>
      <c r="D223" s="422"/>
      <c r="E223" s="422"/>
      <c r="F223" s="422"/>
      <c r="G223" s="423"/>
    </row>
    <row r="224" spans="2:7">
      <c r="B224" s="431" t="s">
        <v>8</v>
      </c>
      <c r="C224" s="432"/>
      <c r="D224" s="431" t="s">
        <v>9</v>
      </c>
      <c r="E224" s="433"/>
      <c r="F224" s="433"/>
      <c r="G224" s="432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.75" thickBot="1">
      <c r="B241" s="5"/>
      <c r="C241" s="3"/>
      <c r="D241" s="5"/>
      <c r="E241" s="5"/>
    </row>
    <row r="242" spans="1:7" ht="14.45" customHeight="1">
      <c r="B242" s="430" t="str">
        <f>AÑO!A32</f>
        <v>Hogar</v>
      </c>
      <c r="C242" s="419"/>
      <c r="D242" s="419"/>
      <c r="E242" s="419"/>
      <c r="F242" s="419"/>
      <c r="G242" s="420"/>
    </row>
    <row r="243" spans="1:7" ht="15" customHeight="1" thickBot="1">
      <c r="B243" s="421"/>
      <c r="C243" s="422"/>
      <c r="D243" s="422"/>
      <c r="E243" s="422"/>
      <c r="F243" s="422"/>
      <c r="G243" s="423"/>
    </row>
    <row r="244" spans="1:7" ht="15" customHeight="1">
      <c r="B244" s="431" t="s">
        <v>8</v>
      </c>
      <c r="C244" s="432"/>
      <c r="D244" s="431" t="s">
        <v>9</v>
      </c>
      <c r="E244" s="433"/>
      <c r="F244" s="433"/>
      <c r="G244" s="432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'07'!A246+(B246-SUM(D246:F255))</f>
        <v>111.5</v>
      </c>
      <c r="B246" s="134">
        <v>45</v>
      </c>
      <c r="C246" s="27" t="s">
        <v>403</v>
      </c>
      <c r="D246" s="137"/>
      <c r="E246" s="138"/>
      <c r="F246" s="138"/>
      <c r="G246" s="16"/>
    </row>
    <row r="247" spans="1:7" ht="15" customHeight="1">
      <c r="A247" s="112"/>
      <c r="B247" s="134"/>
      <c r="C247" s="16"/>
      <c r="D247" s="137"/>
      <c r="E247" s="138"/>
      <c r="F247" s="138"/>
      <c r="G247" s="16"/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'07'!A256+(B256-SUM(D256:F256))</f>
        <v>35</v>
      </c>
      <c r="B256" s="134">
        <v>5</v>
      </c>
      <c r="C256" s="16" t="s">
        <v>410</v>
      </c>
      <c r="D256" s="137"/>
      <c r="E256" s="138"/>
      <c r="F256" s="138"/>
      <c r="G256" s="16"/>
    </row>
    <row r="257" spans="1:8" ht="15.75">
      <c r="A257" s="112">
        <f>'07'!A257+(B257-SUM(D257:F257))</f>
        <v>681.79000000000008</v>
      </c>
      <c r="B257" s="134">
        <v>25</v>
      </c>
      <c r="C257" s="16" t="s">
        <v>714</v>
      </c>
      <c r="D257" s="137"/>
      <c r="E257" s="138"/>
      <c r="F257" s="138"/>
      <c r="G257" s="16"/>
      <c r="H257" s="89">
        <f>1208-(100.67*3)</f>
        <v>905.99</v>
      </c>
    </row>
    <row r="258" spans="1:8" ht="15.75">
      <c r="A258" s="112">
        <f>'07'!A258+(B258-SUM(D258:F258))</f>
        <v>-109.37</v>
      </c>
      <c r="B258" s="134">
        <v>25</v>
      </c>
      <c r="C258" s="16" t="s">
        <v>404</v>
      </c>
      <c r="D258" s="137"/>
      <c r="E258" s="138"/>
      <c r="F258" s="138"/>
      <c r="G258" s="16"/>
    </row>
    <row r="259" spans="1:8" ht="16.5" thickBot="1">
      <c r="A259" s="112"/>
      <c r="B259" s="135"/>
      <c r="C259" s="17"/>
      <c r="D259" s="135"/>
      <c r="E259" s="139"/>
      <c r="F259" s="139"/>
      <c r="G259" s="17"/>
    </row>
    <row r="260" spans="1:8" ht="16.5" thickBot="1">
      <c r="A260" s="112">
        <f>SUM(A246:A259)</f>
        <v>718.92000000000007</v>
      </c>
      <c r="B260" s="135">
        <f>SUM(B246:B259)</f>
        <v>100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1:8" ht="15.75" thickBot="1">
      <c r="B261" s="5"/>
      <c r="C261" s="3"/>
      <c r="D261" s="5"/>
      <c r="E261" s="5"/>
    </row>
    <row r="262" spans="1:8" ht="14.45" customHeight="1">
      <c r="B262" s="430" t="str">
        <f>AÑO!A33</f>
        <v>Formación</v>
      </c>
      <c r="C262" s="419"/>
      <c r="D262" s="419"/>
      <c r="E262" s="419"/>
      <c r="F262" s="419"/>
      <c r="G262" s="420"/>
    </row>
    <row r="263" spans="1:8" ht="15" customHeight="1" thickBot="1">
      <c r="B263" s="421"/>
      <c r="C263" s="422"/>
      <c r="D263" s="422"/>
      <c r="E263" s="422"/>
      <c r="F263" s="422"/>
      <c r="G263" s="423"/>
    </row>
    <row r="264" spans="1:8">
      <c r="B264" s="431" t="s">
        <v>8</v>
      </c>
      <c r="C264" s="432"/>
      <c r="D264" s="431" t="s">
        <v>9</v>
      </c>
      <c r="E264" s="433"/>
      <c r="F264" s="433"/>
      <c r="G264" s="432"/>
    </row>
    <row r="265" spans="1:8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8">
      <c r="B266" s="133">
        <v>50</v>
      </c>
      <c r="C266" s="19"/>
      <c r="D266" s="137"/>
      <c r="E266" s="138"/>
      <c r="F266" s="138"/>
      <c r="G266" s="16"/>
    </row>
    <row r="267" spans="1:8">
      <c r="B267" s="134"/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430" t="str">
        <f>AÑO!A34</f>
        <v>Regalos</v>
      </c>
      <c r="C282" s="419"/>
      <c r="D282" s="419"/>
      <c r="E282" s="419"/>
      <c r="F282" s="419"/>
      <c r="G282" s="420"/>
    </row>
    <row r="283" spans="2:8" ht="15" customHeight="1" thickBot="1">
      <c r="B283" s="421"/>
      <c r="C283" s="422"/>
      <c r="D283" s="422"/>
      <c r="E283" s="422"/>
      <c r="F283" s="422"/>
      <c r="G283" s="423"/>
    </row>
    <row r="284" spans="2:8">
      <c r="B284" s="431" t="s">
        <v>8</v>
      </c>
      <c r="C284" s="432"/>
      <c r="D284" s="431" t="s">
        <v>9</v>
      </c>
      <c r="E284" s="433"/>
      <c r="F284" s="433"/>
      <c r="G284" s="432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 t="s">
        <v>696</v>
      </c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30" t="str">
        <f>AÑO!A35</f>
        <v>Salud</v>
      </c>
      <c r="C302" s="419"/>
      <c r="D302" s="419"/>
      <c r="E302" s="419"/>
      <c r="F302" s="419"/>
      <c r="G302" s="420"/>
    </row>
    <row r="303" spans="2:8" ht="15" customHeight="1" thickBot="1">
      <c r="B303" s="421"/>
      <c r="C303" s="422"/>
      <c r="D303" s="422"/>
      <c r="E303" s="422"/>
      <c r="F303" s="422"/>
      <c r="G303" s="423"/>
    </row>
    <row r="304" spans="2:8">
      <c r="B304" s="431" t="s">
        <v>8</v>
      </c>
      <c r="C304" s="432"/>
      <c r="D304" s="431" t="s">
        <v>9</v>
      </c>
      <c r="E304" s="433"/>
      <c r="F304" s="433"/>
      <c r="G304" s="432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115</v>
      </c>
      <c r="C306" s="19" t="s">
        <v>233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130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430" t="str">
        <f>AÑO!A36</f>
        <v>Nenas</v>
      </c>
      <c r="C322" s="436"/>
      <c r="D322" s="436"/>
      <c r="E322" s="436"/>
      <c r="F322" s="436"/>
      <c r="G322" s="437"/>
    </row>
    <row r="323" spans="2:7" ht="15" customHeight="1" thickBot="1">
      <c r="B323" s="438"/>
      <c r="C323" s="439"/>
      <c r="D323" s="439"/>
      <c r="E323" s="439"/>
      <c r="F323" s="439"/>
      <c r="G323" s="440"/>
    </row>
    <row r="324" spans="2:7">
      <c r="B324" s="431" t="s">
        <v>8</v>
      </c>
      <c r="C324" s="432"/>
      <c r="D324" s="431" t="s">
        <v>9</v>
      </c>
      <c r="E324" s="433"/>
      <c r="F324" s="433"/>
      <c r="G324" s="432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1:7" ht="15.75" thickBot="1">
      <c r="B341" s="5"/>
      <c r="C341" s="3"/>
      <c r="D341" s="5"/>
      <c r="E341" s="5"/>
    </row>
    <row r="342" spans="1:7" ht="14.45" customHeight="1">
      <c r="B342" s="430" t="str">
        <f>AÑO!A37</f>
        <v>Impuestos</v>
      </c>
      <c r="C342" s="419"/>
      <c r="D342" s="419"/>
      <c r="E342" s="419"/>
      <c r="F342" s="419"/>
      <c r="G342" s="420"/>
    </row>
    <row r="343" spans="1:7" ht="15" customHeight="1" thickBot="1">
      <c r="B343" s="421"/>
      <c r="C343" s="422"/>
      <c r="D343" s="422"/>
      <c r="E343" s="422"/>
      <c r="F343" s="422"/>
      <c r="G343" s="423"/>
    </row>
    <row r="344" spans="1:7">
      <c r="B344" s="431" t="s">
        <v>8</v>
      </c>
      <c r="C344" s="432"/>
      <c r="D344" s="431" t="s">
        <v>9</v>
      </c>
      <c r="E344" s="433"/>
      <c r="F344" s="433"/>
      <c r="G344" s="432"/>
    </row>
    <row r="345" spans="1:7" ht="15.75">
      <c r="A345" s="1" t="s">
        <v>184</v>
      </c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1:7" ht="15.75">
      <c r="A346" s="112">
        <f>'07'!A346+(B346-SUM(D346:F357))</f>
        <v>275.73</v>
      </c>
      <c r="B346" s="133">
        <v>45</v>
      </c>
      <c r="C346" s="19" t="s">
        <v>199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'07'!A358+(B358-SUM(D358:F358))+B359</f>
        <v>-14.299999999999997</v>
      </c>
      <c r="B358" s="134">
        <v>5</v>
      </c>
      <c r="C358" s="16" t="s">
        <v>618</v>
      </c>
      <c r="D358" s="137"/>
      <c r="E358" s="138"/>
      <c r="F358" s="138"/>
      <c r="G358" s="16"/>
    </row>
    <row r="359" spans="1:7" ht="16.5" thickBot="1">
      <c r="A359" s="112"/>
      <c r="B359" s="135"/>
      <c r="C359" s="17"/>
      <c r="D359" s="135"/>
      <c r="E359" s="139"/>
      <c r="F359" s="139"/>
      <c r="G359" s="17"/>
    </row>
    <row r="360" spans="1:7" ht="16.5" thickBot="1">
      <c r="A360" s="112">
        <f>SUM(A346:A359)</f>
        <v>261.43</v>
      </c>
      <c r="B360" s="135">
        <f>SUM(B346:B359)</f>
        <v>50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1:7" ht="15.75" thickBot="1">
      <c r="B361" s="5"/>
      <c r="C361" s="3"/>
      <c r="D361" s="5"/>
      <c r="E361" s="5"/>
    </row>
    <row r="362" spans="1:7" ht="14.45" customHeight="1">
      <c r="B362" s="430" t="str">
        <f>AÑO!A38</f>
        <v>Gastos Curros</v>
      </c>
      <c r="C362" s="419"/>
      <c r="D362" s="419"/>
      <c r="E362" s="419"/>
      <c r="F362" s="419"/>
      <c r="G362" s="420"/>
    </row>
    <row r="363" spans="1:7" ht="15" customHeight="1" thickBot="1">
      <c r="B363" s="421"/>
      <c r="C363" s="422"/>
      <c r="D363" s="422"/>
      <c r="E363" s="422"/>
      <c r="F363" s="422"/>
      <c r="G363" s="423"/>
    </row>
    <row r="364" spans="1:7">
      <c r="B364" s="431" t="s">
        <v>8</v>
      </c>
      <c r="C364" s="432"/>
      <c r="D364" s="431" t="s">
        <v>9</v>
      </c>
      <c r="E364" s="433"/>
      <c r="F364" s="433"/>
      <c r="G364" s="432"/>
    </row>
    <row r="365" spans="1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1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1:7">
      <c r="B367" s="134"/>
      <c r="C367" s="16"/>
      <c r="D367" s="137"/>
      <c r="E367" s="138"/>
      <c r="F367" s="138"/>
      <c r="G367" s="31"/>
    </row>
    <row r="368" spans="1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30" t="str">
        <f>AÑO!A39</f>
        <v>Dreamed Holidays</v>
      </c>
      <c r="C382" s="436"/>
      <c r="D382" s="436"/>
      <c r="E382" s="436"/>
      <c r="F382" s="436"/>
      <c r="G382" s="437"/>
    </row>
    <row r="383" spans="2:7" ht="15" customHeight="1" thickBot="1">
      <c r="B383" s="438"/>
      <c r="C383" s="439"/>
      <c r="D383" s="439"/>
      <c r="E383" s="439"/>
      <c r="F383" s="439"/>
      <c r="G383" s="440"/>
    </row>
    <row r="384" spans="2:7">
      <c r="B384" s="431" t="s">
        <v>8</v>
      </c>
      <c r="C384" s="432"/>
      <c r="D384" s="431" t="s">
        <v>9</v>
      </c>
      <c r="E384" s="433"/>
      <c r="F384" s="433"/>
      <c r="G384" s="432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30" t="str">
        <f>AÑO!A40</f>
        <v>Financieros</v>
      </c>
      <c r="C402" s="419"/>
      <c r="D402" s="419"/>
      <c r="E402" s="419"/>
      <c r="F402" s="419"/>
      <c r="G402" s="420"/>
    </row>
    <row r="403" spans="2:7" ht="15" customHeight="1" thickBot="1">
      <c r="B403" s="421"/>
      <c r="C403" s="422"/>
      <c r="D403" s="422"/>
      <c r="E403" s="422"/>
      <c r="F403" s="422"/>
      <c r="G403" s="423"/>
    </row>
    <row r="404" spans="2:7">
      <c r="B404" s="431" t="s">
        <v>8</v>
      </c>
      <c r="C404" s="432"/>
      <c r="D404" s="431" t="s">
        <v>9</v>
      </c>
      <c r="E404" s="433"/>
      <c r="F404" s="433"/>
      <c r="G404" s="432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50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30" t="str">
        <f>AÑO!A41</f>
        <v>Ahorros Colchón</v>
      </c>
      <c r="C422" s="436"/>
      <c r="D422" s="436"/>
      <c r="E422" s="436"/>
      <c r="F422" s="436"/>
      <c r="G422" s="437"/>
    </row>
    <row r="423" spans="1:7" ht="15" customHeight="1" thickBot="1">
      <c r="B423" s="438"/>
      <c r="C423" s="439"/>
      <c r="D423" s="439"/>
      <c r="E423" s="439"/>
      <c r="F423" s="439"/>
      <c r="G423" s="440"/>
    </row>
    <row r="424" spans="1:7">
      <c r="B424" s="431" t="s">
        <v>8</v>
      </c>
      <c r="C424" s="432"/>
      <c r="D424" s="431" t="s">
        <v>9</v>
      </c>
      <c r="E424" s="433"/>
      <c r="F424" s="433"/>
      <c r="G424" s="432"/>
    </row>
    <row r="425" spans="1:7">
      <c r="A425" s="113">
        <f>AÑO!AE17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-3900</v>
      </c>
      <c r="C426" s="19" t="s">
        <v>234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30" t="str">
        <f>AÑO!A42</f>
        <v>Dinero Bloqueado</v>
      </c>
      <c r="C442" s="436"/>
      <c r="D442" s="436"/>
      <c r="E442" s="436"/>
      <c r="F442" s="436"/>
      <c r="G442" s="437"/>
    </row>
    <row r="443" spans="2:7" ht="15" customHeight="1" thickBot="1">
      <c r="B443" s="438"/>
      <c r="C443" s="439"/>
      <c r="D443" s="439"/>
      <c r="E443" s="439"/>
      <c r="F443" s="439"/>
      <c r="G443" s="440"/>
    </row>
    <row r="444" spans="2:7">
      <c r="B444" s="431" t="s">
        <v>8</v>
      </c>
      <c r="C444" s="432"/>
      <c r="D444" s="433" t="s">
        <v>9</v>
      </c>
      <c r="E444" s="433"/>
      <c r="F444" s="433"/>
      <c r="G444" s="432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30" t="str">
        <f>AÑO!A43</f>
        <v>Cartama Finanazas</v>
      </c>
      <c r="C462" s="436"/>
      <c r="D462" s="436"/>
      <c r="E462" s="436"/>
      <c r="F462" s="436"/>
      <c r="G462" s="437"/>
    </row>
    <row r="463" spans="2:7" ht="15" customHeight="1" thickBot="1">
      <c r="B463" s="438"/>
      <c r="C463" s="439"/>
      <c r="D463" s="439"/>
      <c r="E463" s="439"/>
      <c r="F463" s="439"/>
      <c r="G463" s="440"/>
    </row>
    <row r="464" spans="2:7">
      <c r="B464" s="431" t="s">
        <v>8</v>
      </c>
      <c r="C464" s="432"/>
      <c r="D464" s="433" t="s">
        <v>9</v>
      </c>
      <c r="E464" s="433"/>
      <c r="F464" s="433"/>
      <c r="G464" s="432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'07'!A466+(B466-SUM(D466:F466))</f>
        <v>0</v>
      </c>
      <c r="B466" s="134">
        <v>0</v>
      </c>
      <c r="C466" s="16" t="s">
        <v>348</v>
      </c>
      <c r="D466" s="137"/>
      <c r="E466" s="138"/>
      <c r="F466" s="138"/>
      <c r="G466" s="16"/>
    </row>
    <row r="467" spans="1:7" ht="15.75">
      <c r="A467" s="112">
        <f>'07'!A467+(B467-SUM(D467:F467))</f>
        <v>525.23</v>
      </c>
      <c r="B467" s="134">
        <v>50</v>
      </c>
      <c r="C467" s="16" t="s">
        <v>454</v>
      </c>
      <c r="D467" s="137"/>
      <c r="E467" s="138"/>
      <c r="F467" s="138"/>
      <c r="G467" s="16"/>
    </row>
    <row r="468" spans="1:7" ht="15.75">
      <c r="A468" s="112">
        <f>'07'!A468+(B468-SUM(D468:F468))</f>
        <v>183.4</v>
      </c>
      <c r="B468" s="134">
        <f>15</f>
        <v>15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708.63</v>
      </c>
      <c r="B480" s="135">
        <f>SUM(B466:B479)</f>
        <v>65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30" t="str">
        <f>AÑO!A44</f>
        <v>NULO</v>
      </c>
      <c r="C482" s="436"/>
      <c r="D482" s="436"/>
      <c r="E482" s="436"/>
      <c r="F482" s="436"/>
      <c r="G482" s="437"/>
    </row>
    <row r="483" spans="2:7" ht="15" customHeight="1" thickBot="1">
      <c r="B483" s="438"/>
      <c r="C483" s="439"/>
      <c r="D483" s="439"/>
      <c r="E483" s="439"/>
      <c r="F483" s="439"/>
      <c r="G483" s="440"/>
    </row>
    <row r="484" spans="2:7">
      <c r="B484" s="431" t="s">
        <v>8</v>
      </c>
      <c r="C484" s="432"/>
      <c r="D484" s="433" t="s">
        <v>9</v>
      </c>
      <c r="E484" s="433"/>
      <c r="F484" s="433"/>
      <c r="G484" s="432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30" t="str">
        <f>AÑO!A45</f>
        <v>OTROS</v>
      </c>
      <c r="C502" s="436"/>
      <c r="D502" s="436"/>
      <c r="E502" s="436"/>
      <c r="F502" s="436"/>
      <c r="G502" s="437"/>
    </row>
    <row r="503" spans="2:7" ht="15" customHeight="1" thickBot="1">
      <c r="B503" s="438"/>
      <c r="C503" s="439"/>
      <c r="D503" s="439"/>
      <c r="E503" s="439"/>
      <c r="F503" s="439"/>
      <c r="G503" s="440"/>
    </row>
    <row r="504" spans="2:7">
      <c r="B504" s="431" t="s">
        <v>8</v>
      </c>
      <c r="C504" s="432"/>
      <c r="D504" s="431" t="s">
        <v>9</v>
      </c>
      <c r="E504" s="433"/>
      <c r="F504" s="433"/>
      <c r="G504" s="432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" location="Trimestre!C39:F40" display="TELÉFONO" xr:uid="{F8A0D7D2-67C9-4F5C-A694-FA41CDCC024E}"/>
    <hyperlink ref="I2:L3" location="AÑO!AA4:AD5" display="SALDO REAL" xr:uid="{D06507F8-F5BC-49C5-BD40-684A3F3EBFAB}"/>
    <hyperlink ref="I22" location="Trimestre!C39:F40" display="TELÉFONO" xr:uid="{48D75FAF-009D-4718-8A65-00BBF81456E5}"/>
    <hyperlink ref="I22:L23" location="AÑO!AA7:AD17" display="INGRESOS" xr:uid="{8CF46B9E-FF85-475E-887B-7815FD645C67}"/>
    <hyperlink ref="B2" location="Trimestre!C25:F26" display="HIPOTECA" xr:uid="{0D3F6DAC-494C-48CC-8617-FFCD7E208AA0}"/>
    <hyperlink ref="B2:G3" location="AÑO!AA20:AD20" display="AÑO!AA20:AD20" xr:uid="{D2A3883D-7443-42C6-9C2D-ADC1D0607761}"/>
    <hyperlink ref="B22" location="Trimestre!C25:F26" display="HIPOTECA" xr:uid="{73986B72-FB1E-4FE5-9DE2-895BDC1EAA17}"/>
    <hyperlink ref="B22:G23" location="AÑO!AA21:AD21" display="AÑO!AA21:AD21" xr:uid="{23887E4D-C5A1-4BA5-8279-3C04DB54A113}"/>
    <hyperlink ref="B42" location="Trimestre!C25:F26" display="HIPOTECA" xr:uid="{CF8CDB12-24E3-46CF-829D-5D16215615C3}"/>
    <hyperlink ref="B42:G43" location="AÑO!AA22:AD22" display="AÑO!AA22:AD22" xr:uid="{EB2F77AF-7C3A-4364-9507-ACC51DCF2B57}"/>
    <hyperlink ref="B62" location="Trimestre!C25:F26" display="HIPOTECA" xr:uid="{91648149-7544-422C-9B1A-5B0BE59AAF2B}"/>
    <hyperlink ref="B62:G63" location="AÑO!AA23:AD23" display="AÑO!AA23:AD23" xr:uid="{B6DFA8D8-8579-4F56-8092-0F49B15D7A05}"/>
    <hyperlink ref="B82" location="Trimestre!C25:F26" display="HIPOTECA" xr:uid="{0851ECF5-FF71-4E7F-8298-411B1670F9B6}"/>
    <hyperlink ref="B82:G83" location="AÑO!AA24:AD24" display="AÑO!AA24:AD24" xr:uid="{C480D7B0-C21B-4EA7-ABD5-D0692A92E052}"/>
    <hyperlink ref="B102" location="Trimestre!C25:F26" display="HIPOTECA" xr:uid="{F8812EAD-03A1-4397-AF5F-38D2E8C0B57C}"/>
    <hyperlink ref="B102:G103" location="AÑO!AA25:AD25" display="AÑO!AA25:AD25" xr:uid="{65497E89-749C-4602-95D9-8F716A72DF6E}"/>
    <hyperlink ref="B122" location="Trimestre!C25:F26" display="HIPOTECA" xr:uid="{F9EAFA77-E240-4615-8290-ACBB27A72C52}"/>
    <hyperlink ref="B122:G123" location="AÑO!AA26:AD26" display="AÑO!AA26:AD26" xr:uid="{643E0580-B644-41F3-A043-DB16397B7A73}"/>
    <hyperlink ref="B142" location="Trimestre!C25:F26" display="HIPOTECA" xr:uid="{651811A0-17CA-4233-A455-6C4BD6EF1F7E}"/>
    <hyperlink ref="B142:G143" location="AÑO!AA27:AD27" display="AÑO!AA27:AD27" xr:uid="{B0995BF4-42BC-4276-BFD8-8C9B7D5499BE}"/>
    <hyperlink ref="B162" location="Trimestre!C25:F26" display="HIPOTECA" xr:uid="{A329CBCD-6E7B-4CD2-93C3-8D1EA7FC67C4}"/>
    <hyperlink ref="B162:G163" location="AÑO!AA28:AD28" display="AÑO!AA28:AD28" xr:uid="{FEE67257-A452-4791-AF3E-0867F8D8E6A2}"/>
    <hyperlink ref="B182" location="Trimestre!C25:F26" display="HIPOTECA" xr:uid="{0048AE46-8B1C-4E58-9CE3-87D388766360}"/>
    <hyperlink ref="B182:G183" location="AÑO!AA29:AD29" display="AÑO!AA29:AD29" xr:uid="{34E4C4F2-C5BE-4549-A224-E9AE303F8023}"/>
    <hyperlink ref="B202" location="Trimestre!C25:F26" display="HIPOTECA" xr:uid="{053CC7BD-938E-42F5-83EC-E4CBD34A45A8}"/>
    <hyperlink ref="B202:G203" location="AÑO!AA30:AD30" display="AÑO!AA30:AD30" xr:uid="{8C9F7837-C04F-4BA0-94D2-2006B7856F05}"/>
    <hyperlink ref="B222" location="Trimestre!C25:F26" display="HIPOTECA" xr:uid="{C67B716D-D87E-4225-A0DF-FA1FAEA6665B}"/>
    <hyperlink ref="B222:G223" location="AÑO!AA31:AD31" display="AÑO!AA31:AD31" xr:uid="{50E91530-1497-4AA8-8091-64311C0F1EA2}"/>
    <hyperlink ref="B242" location="Trimestre!C25:F26" display="HIPOTECA" xr:uid="{8597E469-7EE1-4ACE-BCFF-7F3234BB0FED}"/>
    <hyperlink ref="B242:G243" location="AÑO!AA32:AD32" display="AÑO!AA32:AD32" xr:uid="{143A92D9-7A37-4FFC-B531-F578ABD1F804}"/>
    <hyperlink ref="B262" location="Trimestre!C25:F26" display="HIPOTECA" xr:uid="{00569E18-A111-4540-A31C-0995625496BC}"/>
    <hyperlink ref="B262:G263" location="AÑO!AA33:AD33" display="AÑO!AA33:AD33" xr:uid="{9464E9A9-7460-4182-B6E5-50DCCFA7D971}"/>
    <hyperlink ref="B282" location="Trimestre!C25:F26" display="HIPOTECA" xr:uid="{0A227465-7216-4622-8BCA-73A1E7D848B3}"/>
    <hyperlink ref="B282:G283" location="AÑO!AA34:AD34" display="AÑO!AA34:AD34" xr:uid="{76436B7E-4B40-4476-9CE6-51FAF7CE7F09}"/>
    <hyperlink ref="B302" location="Trimestre!C25:F26" display="HIPOTECA" xr:uid="{4E1F72DF-F0BF-48D1-BBCF-6903E9142E3F}"/>
    <hyperlink ref="B302:G303" location="AÑO!AA35:AD35" display="AÑO!AA35:AD35" xr:uid="{BFBCBDE2-FB6C-4EC9-9702-505BB4D94450}"/>
    <hyperlink ref="B322" location="Trimestre!C25:F26" display="HIPOTECA" xr:uid="{882A6476-D682-47ED-B1AC-DB33B57BAB7E}"/>
    <hyperlink ref="B322:G323" location="AÑO!AA36:AD36" display="AÑO!AA36:AD36" xr:uid="{5A51FB34-A735-4684-828B-A1C5A9F553E5}"/>
    <hyperlink ref="B342" location="Trimestre!C25:F26" display="HIPOTECA" xr:uid="{59F9533F-4BAC-408C-A56E-C02AB3A1E843}"/>
    <hyperlink ref="B342:G343" location="AÑO!AA37:AD37" display="AÑO!AA37:AD37" xr:uid="{378D1EE7-703E-4F1E-97A9-6E6E13AFC46D}"/>
    <hyperlink ref="B362" location="Trimestre!C25:F26" display="HIPOTECA" xr:uid="{D75E4C53-9159-476A-A0D0-37DAF29B14E8}"/>
    <hyperlink ref="B362:G363" location="AÑO!AA38:AD38" display="AÑO!AA38:AD38" xr:uid="{75ACA36B-2C89-4EAA-9411-E2261A935683}"/>
    <hyperlink ref="B382" location="Trimestre!C25:F26" display="HIPOTECA" xr:uid="{95D69DC8-ABA0-4B4A-8EAF-06D1E8727EA0}"/>
    <hyperlink ref="B382:G383" location="AÑO!AA39:AD39" display="AÑO!AA39:AD39" xr:uid="{F91A68B0-FB80-4AA3-A612-D0073137E017}"/>
    <hyperlink ref="B402" location="Trimestre!C25:F26" display="HIPOTECA" xr:uid="{25A8193D-4925-4466-ACCE-737AB2562BE3}"/>
    <hyperlink ref="B402:G403" location="AÑO!AA40:AD40" display="AÑO!AA40:AD40" xr:uid="{AF17FBF1-B98C-4DFA-8654-1ACB895D8994}"/>
    <hyperlink ref="B422" location="Trimestre!C25:F26" display="HIPOTECA" xr:uid="{C2F1147F-1D3B-4F57-8455-A7961B449592}"/>
    <hyperlink ref="B422:G423" location="AÑO!AA41:AD41" display="AÑO!AA41:AD41" xr:uid="{5BFFA817-4742-4653-90B7-088D36C48735}"/>
    <hyperlink ref="B442" location="Trimestre!C25:F26" display="HIPOTECA" xr:uid="{DFC42081-7932-4D54-880A-4DFBD9E0EC21}"/>
    <hyperlink ref="B442:G443" location="AÑO!AA42:AD42" display="AÑO!AA42:AD42" xr:uid="{FF8CC689-70B3-4BCE-A192-E2F983A30D0C}"/>
    <hyperlink ref="B462" location="Trimestre!C25:F26" display="HIPOTECA" xr:uid="{4AC228CF-13D1-4949-8D5B-10C3F21FB47A}"/>
    <hyperlink ref="B462:G463" location="AÑO!AA43:AD43" display="AÑO!AA43:AD43" xr:uid="{C508228D-3DF9-48FE-B791-5D292ECDF883}"/>
    <hyperlink ref="B482" location="Trimestre!C25:F26" display="HIPOTECA" xr:uid="{615C788D-2BCB-4DA4-AC73-450C45236667}"/>
    <hyperlink ref="B482:G483" location="AÑO!AA44:AD44" display="AÑO!AA44:AD44" xr:uid="{B26533B9-21C8-41F3-8667-1C647DEAB0CA}"/>
    <hyperlink ref="B502" location="Trimestre!C25:F26" display="HIPOTECA" xr:uid="{284A8D82-789A-4D77-9F69-CD253B7A72B9}"/>
    <hyperlink ref="B502:G503" location="AÑO!AA45:AD45" display="AÑO!AA45:AD45" xr:uid="{FCC6DF57-30D7-41DA-94AC-A5689D1E4141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AÑO</vt:lpstr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Hipoteca</vt:lpstr>
      <vt:lpstr>Coche</vt:lpstr>
      <vt:lpstr>Historico</vt:lpstr>
      <vt:lpstr>Bolsa1</vt:lpstr>
      <vt:lpstr>Bolsa2</vt:lpstr>
      <vt:lpstr>NOTAS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2019-07-24T15:11:11Z</dcterms:modified>
</cp:coreProperties>
</file>