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6B085690-F8A7-4984-8CAC-40A0C4595CD4}" xr6:coauthVersionLast="31" xr6:coauthVersionMax="31" xr10:uidLastSave="{00000000-0000-0000-0000-000000000000}"/>
  <bookViews>
    <workbookView xWindow="240" yWindow="105" windowWidth="14805" windowHeight="7785" activeTab="10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107" i="12" l="1"/>
  <c r="A120" i="12" s="1"/>
  <c r="A108" i="12"/>
  <c r="A106" i="12"/>
  <c r="A108" i="11"/>
  <c r="A107" i="11"/>
  <c r="A106" i="11"/>
  <c r="A120" i="10"/>
  <c r="A466" i="12"/>
  <c r="A466" i="11"/>
  <c r="A480" i="11" s="1"/>
  <c r="A480" i="10"/>
  <c r="A27" i="12"/>
  <c r="A28" i="12"/>
  <c r="A29" i="12"/>
  <c r="A30" i="12"/>
  <c r="A26" i="12"/>
  <c r="A20" i="12"/>
  <c r="A30" i="11"/>
  <c r="A40" i="11" s="1"/>
  <c r="A30" i="10"/>
  <c r="A20" i="11"/>
  <c r="A28" i="10"/>
  <c r="A27" i="11"/>
  <c r="A28" i="11"/>
  <c r="A29" i="11"/>
  <c r="A26" i="11"/>
  <c r="A29" i="10"/>
  <c r="A27" i="10"/>
  <c r="A8" i="12"/>
  <c r="A9" i="12"/>
  <c r="A8" i="11"/>
  <c r="A9" i="11"/>
  <c r="A11" i="12"/>
  <c r="A12" i="12"/>
  <c r="A13" i="12"/>
  <c r="A10" i="12"/>
  <c r="A6" i="12"/>
  <c r="A7" i="12"/>
  <c r="A13" i="10"/>
  <c r="A13" i="11" s="1"/>
  <c r="A12" i="10"/>
  <c r="A12" i="11" s="1"/>
  <c r="A7" i="10"/>
  <c r="A15" i="10"/>
  <c r="A14" i="10"/>
  <c r="A9" i="10"/>
  <c r="A120" i="11" l="1"/>
  <c r="A40" i="12"/>
  <c r="A40" i="10"/>
  <c r="A468" i="12"/>
  <c r="A467" i="12"/>
  <c r="D67" i="10" l="1"/>
  <c r="F366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l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10" i="11"/>
  <c r="A20" i="10"/>
  <c r="A11" i="11"/>
</calcChain>
</file>

<file path=xl/sharedStrings.xml><?xml version="1.0" encoding="utf-8"?>
<sst xmlns="http://schemas.openxmlformats.org/spreadsheetml/2006/main" count="5241" uniqueCount="615">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</sst>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19" zoomScaleNormal="100" workbookViewId="0">
      <pane xSplit="1" topLeftCell="AE1" activePane="topRight" state="frozen"/>
      <selection pane="topRight" activeCell="AM25" sqref="AM2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8" t="s">
        <v>0</v>
      </c>
      <c r="D4" s="259"/>
      <c r="E4" s="259"/>
      <c r="F4" s="260"/>
      <c r="G4" s="258" t="s">
        <v>1</v>
      </c>
      <c r="H4" s="259"/>
      <c r="I4" s="259"/>
      <c r="J4" s="260"/>
      <c r="K4" s="258" t="s">
        <v>2</v>
      </c>
      <c r="L4" s="259"/>
      <c r="M4" s="259"/>
      <c r="N4" s="260"/>
      <c r="O4" s="258" t="s">
        <v>3</v>
      </c>
      <c r="P4" s="259"/>
      <c r="Q4" s="259"/>
      <c r="R4" s="260"/>
      <c r="S4" s="258" t="s">
        <v>99</v>
      </c>
      <c r="T4" s="259"/>
      <c r="U4" s="259"/>
      <c r="V4" s="260"/>
      <c r="W4" s="258" t="s">
        <v>95</v>
      </c>
      <c r="X4" s="259"/>
      <c r="Y4" s="259"/>
      <c r="Z4" s="260"/>
      <c r="AA4" s="258" t="s">
        <v>103</v>
      </c>
      <c r="AB4" s="259"/>
      <c r="AC4" s="259"/>
      <c r="AD4" s="260"/>
      <c r="AE4" s="258" t="s">
        <v>104</v>
      </c>
      <c r="AF4" s="259"/>
      <c r="AG4" s="259"/>
      <c r="AH4" s="260"/>
      <c r="AI4" s="258" t="s">
        <v>107</v>
      </c>
      <c r="AJ4" s="259"/>
      <c r="AK4" s="259"/>
      <c r="AL4" s="260"/>
      <c r="AM4" s="258" t="s">
        <v>109</v>
      </c>
      <c r="AN4" s="259"/>
      <c r="AO4" s="259"/>
      <c r="AP4" s="260"/>
      <c r="AQ4" s="258" t="s">
        <v>113</v>
      </c>
      <c r="AR4" s="259"/>
      <c r="AS4" s="259"/>
      <c r="AT4" s="260"/>
      <c r="AU4" s="258" t="s">
        <v>118</v>
      </c>
      <c r="AV4" s="259"/>
      <c r="AW4" s="259"/>
      <c r="AX4" s="260"/>
      <c r="AY4" s="1"/>
      <c r="AZ4" s="1"/>
      <c r="BA4" s="1"/>
      <c r="BB4" s="1"/>
    </row>
    <row r="5" spans="1:54" ht="16.5" thickBot="1">
      <c r="A5" s="6" t="s">
        <v>5</v>
      </c>
      <c r="B5" s="78"/>
      <c r="C5" s="270">
        <f>'01'!K19</f>
        <v>17336.68</v>
      </c>
      <c r="D5" s="268"/>
      <c r="E5" s="268"/>
      <c r="F5" s="269"/>
      <c r="G5" s="270">
        <f>'02'!K19</f>
        <v>20217</v>
      </c>
      <c r="H5" s="268"/>
      <c r="I5" s="268"/>
      <c r="J5" s="269"/>
      <c r="K5" s="267">
        <f>'03'!K19</f>
        <v>21214.57</v>
      </c>
      <c r="L5" s="268"/>
      <c r="M5" s="268"/>
      <c r="N5" s="269"/>
      <c r="O5" s="267">
        <f>'04'!K19</f>
        <v>20719.909999999996</v>
      </c>
      <c r="P5" s="268"/>
      <c r="Q5" s="268"/>
      <c r="R5" s="269"/>
      <c r="S5" s="267">
        <f>'05'!K19</f>
        <v>22905.86</v>
      </c>
      <c r="T5" s="268"/>
      <c r="U5" s="268"/>
      <c r="V5" s="269"/>
      <c r="W5" s="267">
        <f>'06'!K19</f>
        <v>23622.14</v>
      </c>
      <c r="X5" s="268"/>
      <c r="Y5" s="268"/>
      <c r="Z5" s="269"/>
      <c r="AA5" s="267">
        <f>'07'!K19</f>
        <v>24911.559999999998</v>
      </c>
      <c r="AB5" s="268"/>
      <c r="AC5" s="268"/>
      <c r="AD5" s="269"/>
      <c r="AE5" s="267">
        <f>'08'!K19</f>
        <v>24488.75</v>
      </c>
      <c r="AF5" s="268"/>
      <c r="AG5" s="268"/>
      <c r="AH5" s="269"/>
      <c r="AI5" s="267">
        <f>'09'!K19</f>
        <v>24613.260000000002</v>
      </c>
      <c r="AJ5" s="268"/>
      <c r="AK5" s="268"/>
      <c r="AL5" s="269"/>
      <c r="AM5" s="267">
        <f>'10'!K19</f>
        <v>15101.890000000001</v>
      </c>
      <c r="AN5" s="268"/>
      <c r="AO5" s="268"/>
      <c r="AP5" s="269"/>
      <c r="AQ5" s="267">
        <f>'11'!K19</f>
        <v>15101.890000000001</v>
      </c>
      <c r="AR5" s="268"/>
      <c r="AS5" s="268"/>
      <c r="AT5" s="269"/>
      <c r="AU5" s="267">
        <f>'12'!K19</f>
        <v>13551.890000000001</v>
      </c>
      <c r="AV5" s="268"/>
      <c r="AW5" s="268"/>
      <c r="AX5" s="26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61" t="s">
        <v>7</v>
      </c>
      <c r="D7" s="262"/>
      <c r="E7" s="262"/>
      <c r="F7" s="263"/>
      <c r="G7" s="261" t="s">
        <v>7</v>
      </c>
      <c r="H7" s="262"/>
      <c r="I7" s="262"/>
      <c r="J7" s="263"/>
      <c r="K7" s="261" t="s">
        <v>7</v>
      </c>
      <c r="L7" s="262"/>
      <c r="M7" s="262"/>
      <c r="N7" s="263"/>
      <c r="O7" s="261" t="s">
        <v>7</v>
      </c>
      <c r="P7" s="262"/>
      <c r="Q7" s="262"/>
      <c r="R7" s="263"/>
      <c r="S7" s="261" t="s">
        <v>7</v>
      </c>
      <c r="T7" s="262"/>
      <c r="U7" s="262"/>
      <c r="V7" s="263"/>
      <c r="W7" s="261" t="s">
        <v>7</v>
      </c>
      <c r="X7" s="262"/>
      <c r="Y7" s="262"/>
      <c r="Z7" s="263"/>
      <c r="AA7" s="261" t="s">
        <v>7</v>
      </c>
      <c r="AB7" s="262"/>
      <c r="AC7" s="262"/>
      <c r="AD7" s="263"/>
      <c r="AE7" s="261" t="s">
        <v>7</v>
      </c>
      <c r="AF7" s="262"/>
      <c r="AG7" s="262"/>
      <c r="AH7" s="263"/>
      <c r="AI7" s="261" t="s">
        <v>7</v>
      </c>
      <c r="AJ7" s="262"/>
      <c r="AK7" s="262"/>
      <c r="AL7" s="263"/>
      <c r="AM7" s="261" t="s">
        <v>7</v>
      </c>
      <c r="AN7" s="262"/>
      <c r="AO7" s="262"/>
      <c r="AP7" s="263"/>
      <c r="AQ7" s="261" t="s">
        <v>7</v>
      </c>
      <c r="AR7" s="262"/>
      <c r="AS7" s="262"/>
      <c r="AT7" s="263"/>
      <c r="AU7" s="261" t="s">
        <v>7</v>
      </c>
      <c r="AV7" s="262"/>
      <c r="AW7" s="262"/>
      <c r="AX7" s="26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64">
        <v>2317.46</v>
      </c>
      <c r="D8" s="265"/>
      <c r="E8" s="265"/>
      <c r="F8" s="266"/>
      <c r="G8" s="264">
        <f>2317.46+1638.24</f>
        <v>3955.7</v>
      </c>
      <c r="H8" s="265"/>
      <c r="I8" s="265"/>
      <c r="J8" s="266"/>
      <c r="K8" s="264">
        <v>2320.84</v>
      </c>
      <c r="L8" s="265"/>
      <c r="M8" s="265"/>
      <c r="N8" s="266"/>
      <c r="O8" s="264">
        <v>2325.9</v>
      </c>
      <c r="P8" s="265"/>
      <c r="Q8" s="265"/>
      <c r="R8" s="266"/>
      <c r="S8" s="264">
        <v>2321.1799999999998</v>
      </c>
      <c r="T8" s="265"/>
      <c r="U8" s="265"/>
      <c r="V8" s="266"/>
      <c r="W8" s="264">
        <v>3973.79</v>
      </c>
      <c r="X8" s="265"/>
      <c r="Y8" s="265"/>
      <c r="Z8" s="266"/>
      <c r="AA8" s="264">
        <v>2328.91</v>
      </c>
      <c r="AB8" s="265"/>
      <c r="AC8" s="265"/>
      <c r="AD8" s="266"/>
      <c r="AE8" s="264">
        <v>2318.6999999999998</v>
      </c>
      <c r="AF8" s="265"/>
      <c r="AG8" s="265"/>
      <c r="AH8" s="266"/>
      <c r="AI8" s="264"/>
      <c r="AJ8" s="265"/>
      <c r="AK8" s="265"/>
      <c r="AL8" s="266"/>
      <c r="AM8" s="264"/>
      <c r="AN8" s="265"/>
      <c r="AO8" s="265"/>
      <c r="AP8" s="266"/>
      <c r="AQ8" s="264"/>
      <c r="AR8" s="265"/>
      <c r="AS8" s="265"/>
      <c r="AT8" s="266"/>
      <c r="AU8" s="264"/>
      <c r="AV8" s="265"/>
      <c r="AW8" s="265"/>
      <c r="AX8" s="266"/>
      <c r="AY8" s="12">
        <f>SUM(C8:AU8)</f>
        <v>21862.48</v>
      </c>
      <c r="AZ8" s="2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54">
        <v>4981.99</v>
      </c>
      <c r="C9" s="252">
        <f>72.66+314.12</f>
        <v>386.78</v>
      </c>
      <c r="D9" s="253"/>
      <c r="E9" s="253"/>
      <c r="F9" s="254"/>
      <c r="G9" s="252">
        <f>176.46</f>
        <v>176.46</v>
      </c>
      <c r="H9" s="253"/>
      <c r="I9" s="253"/>
      <c r="J9" s="254"/>
      <c r="K9" s="252">
        <f>259.63+176.46</f>
        <v>436.09000000000003</v>
      </c>
      <c r="L9" s="253"/>
      <c r="M9" s="253"/>
      <c r="N9" s="254"/>
      <c r="O9" s="252">
        <f>249.22+197.22+325.64</f>
        <v>772.07999999999993</v>
      </c>
      <c r="P9" s="253"/>
      <c r="Q9" s="253"/>
      <c r="R9" s="254"/>
      <c r="S9" s="252">
        <f>155.7+267.29</f>
        <v>422.99</v>
      </c>
      <c r="T9" s="253"/>
      <c r="U9" s="253"/>
      <c r="V9" s="254"/>
      <c r="W9" s="252">
        <f>197.22</f>
        <v>197.22</v>
      </c>
      <c r="X9" s="253"/>
      <c r="Y9" s="253"/>
      <c r="Z9" s="254"/>
      <c r="AA9" s="252">
        <f>786.42+134.94+83.04</f>
        <v>1004.3999999999999</v>
      </c>
      <c r="AB9" s="253"/>
      <c r="AC9" s="253"/>
      <c r="AD9" s="254"/>
      <c r="AE9" s="252">
        <f>269.88</f>
        <v>269.88</v>
      </c>
      <c r="AF9" s="253"/>
      <c r="AG9" s="253"/>
      <c r="AH9" s="254"/>
      <c r="AI9" s="252">
        <v>280.26</v>
      </c>
      <c r="AJ9" s="253"/>
      <c r="AK9" s="253"/>
      <c r="AL9" s="254"/>
      <c r="AM9" s="252"/>
      <c r="AN9" s="253"/>
      <c r="AO9" s="253"/>
      <c r="AP9" s="254"/>
      <c r="AQ9" s="252"/>
      <c r="AR9" s="253"/>
      <c r="AS9" s="253"/>
      <c r="AT9" s="254"/>
      <c r="AU9" s="252"/>
      <c r="AV9" s="253"/>
      <c r="AW9" s="253"/>
      <c r="AX9" s="254"/>
      <c r="AY9" s="14">
        <f t="shared" ref="AY9:AY15" si="1">SUM(C9:AX9)</f>
        <v>3946.16</v>
      </c>
      <c r="AZ9" s="2">
        <f t="shared" ca="1" si="0"/>
        <v>438.46222222222218</v>
      </c>
      <c r="BA9" s="1"/>
      <c r="BB9" s="1"/>
    </row>
    <row r="10" spans="1:54" ht="15.75">
      <c r="A10" s="15" t="s">
        <v>126</v>
      </c>
      <c r="B10" s="55">
        <v>723.38</v>
      </c>
      <c r="C10" s="255">
        <v>90.43</v>
      </c>
      <c r="D10" s="256"/>
      <c r="E10" s="256"/>
      <c r="F10" s="257"/>
      <c r="G10" s="255">
        <f>1117.39-956.06</f>
        <v>161.33000000000015</v>
      </c>
      <c r="H10" s="256"/>
      <c r="I10" s="256"/>
      <c r="J10" s="257"/>
      <c r="K10" s="255">
        <v>285.58</v>
      </c>
      <c r="L10" s="256"/>
      <c r="M10" s="256"/>
      <c r="N10" s="257"/>
      <c r="O10" s="255">
        <f>275.29+42.8</f>
        <v>318.09000000000003</v>
      </c>
      <c r="P10" s="256"/>
      <c r="Q10" s="256"/>
      <c r="R10" s="257"/>
      <c r="S10" s="255">
        <f>421.56</f>
        <v>421.56</v>
      </c>
      <c r="T10" s="256"/>
      <c r="U10" s="256"/>
      <c r="V10" s="257"/>
      <c r="W10" s="255">
        <v>341.74</v>
      </c>
      <c r="X10" s="256"/>
      <c r="Y10" s="256"/>
      <c r="Z10" s="257"/>
      <c r="AA10" s="255">
        <v>234.71</v>
      </c>
      <c r="AB10" s="256"/>
      <c r="AC10" s="256"/>
      <c r="AD10" s="257"/>
      <c r="AE10" s="255">
        <v>83.23</v>
      </c>
      <c r="AF10" s="256"/>
      <c r="AG10" s="256"/>
      <c r="AH10" s="257"/>
      <c r="AI10" s="255">
        <v>300</v>
      </c>
      <c r="AJ10" s="256"/>
      <c r="AK10" s="256"/>
      <c r="AL10" s="257"/>
      <c r="AM10" s="255"/>
      <c r="AN10" s="256"/>
      <c r="AO10" s="256"/>
      <c r="AP10" s="257"/>
      <c r="AQ10" s="255"/>
      <c r="AR10" s="256"/>
      <c r="AS10" s="256"/>
      <c r="AT10" s="257"/>
      <c r="AU10" s="255"/>
      <c r="AV10" s="256"/>
      <c r="AW10" s="256"/>
      <c r="AX10" s="257"/>
      <c r="AY10" s="16">
        <f t="shared" si="1"/>
        <v>2236.67</v>
      </c>
      <c r="AZ10" s="2">
        <f t="shared" ca="1" si="0"/>
        <v>248.51888888888891</v>
      </c>
      <c r="BA10" s="1"/>
      <c r="BB10" s="1"/>
    </row>
    <row r="11" spans="1:54" ht="15.75">
      <c r="A11" s="13" t="s">
        <v>127</v>
      </c>
      <c r="B11" s="54">
        <v>180.64</v>
      </c>
      <c r="C11" s="252">
        <f>1.01+0.04+2831.41+0.05</f>
        <v>2832.51</v>
      </c>
      <c r="D11" s="253"/>
      <c r="E11" s="253"/>
      <c r="F11" s="254"/>
      <c r="G11" s="252"/>
      <c r="H11" s="253"/>
      <c r="I11" s="253"/>
      <c r="J11" s="254"/>
      <c r="K11" s="252"/>
      <c r="L11" s="253"/>
      <c r="M11" s="253"/>
      <c r="N11" s="254"/>
      <c r="O11" s="252">
        <v>0.03</v>
      </c>
      <c r="P11" s="253"/>
      <c r="Q11" s="253"/>
      <c r="R11" s="254"/>
      <c r="S11" s="252">
        <f>38.64</f>
        <v>38.64</v>
      </c>
      <c r="T11" s="253"/>
      <c r="U11" s="253"/>
      <c r="V11" s="254"/>
      <c r="W11" s="252"/>
      <c r="X11" s="253"/>
      <c r="Y11" s="253"/>
      <c r="Z11" s="254"/>
      <c r="AA11" s="252">
        <f>0.02</f>
        <v>0.02</v>
      </c>
      <c r="AB11" s="253"/>
      <c r="AC11" s="253"/>
      <c r="AD11" s="254"/>
      <c r="AE11" s="252"/>
      <c r="AF11" s="253"/>
      <c r="AG11" s="253"/>
      <c r="AH11" s="254"/>
      <c r="AI11" s="252"/>
      <c r="AJ11" s="253"/>
      <c r="AK11" s="253"/>
      <c r="AL11" s="254"/>
      <c r="AM11" s="252"/>
      <c r="AN11" s="253"/>
      <c r="AO11" s="253"/>
      <c r="AP11" s="254"/>
      <c r="AQ11" s="252"/>
      <c r="AR11" s="253"/>
      <c r="AS11" s="253"/>
      <c r="AT11" s="254"/>
      <c r="AU11" s="252"/>
      <c r="AV11" s="253"/>
      <c r="AW11" s="253"/>
      <c r="AX11" s="254"/>
      <c r="AY11" s="14">
        <f t="shared" si="1"/>
        <v>2871.2000000000003</v>
      </c>
      <c r="AZ11" s="2">
        <f t="shared" ca="1" si="0"/>
        <v>319.02222222222224</v>
      </c>
      <c r="BA11" s="1"/>
      <c r="BB11" s="1"/>
    </row>
    <row r="12" spans="1:54" ht="15.75">
      <c r="A12" s="15" t="s">
        <v>128</v>
      </c>
      <c r="B12" s="55">
        <v>626.6</v>
      </c>
      <c r="C12" s="255">
        <f>700+50+449</f>
        <v>1199</v>
      </c>
      <c r="D12" s="256"/>
      <c r="E12" s="256"/>
      <c r="F12" s="257"/>
      <c r="G12" s="255">
        <v>447.43</v>
      </c>
      <c r="H12" s="256"/>
      <c r="I12" s="256"/>
      <c r="J12" s="257"/>
      <c r="K12" s="255"/>
      <c r="L12" s="256"/>
      <c r="M12" s="256"/>
      <c r="N12" s="257"/>
      <c r="O12" s="255">
        <f>80.1</f>
        <v>80.099999999999994</v>
      </c>
      <c r="P12" s="256"/>
      <c r="Q12" s="256"/>
      <c r="R12" s="257"/>
      <c r="S12" s="255"/>
      <c r="T12" s="256"/>
      <c r="U12" s="256"/>
      <c r="V12" s="257"/>
      <c r="W12" s="255">
        <f>200</f>
        <v>200</v>
      </c>
      <c r="X12" s="256"/>
      <c r="Y12" s="256"/>
      <c r="Z12" s="257"/>
      <c r="AA12" s="255">
        <f>106.3</f>
        <v>106.3</v>
      </c>
      <c r="AB12" s="256"/>
      <c r="AC12" s="256"/>
      <c r="AD12" s="257"/>
      <c r="AE12" s="255"/>
      <c r="AF12" s="256"/>
      <c r="AG12" s="256"/>
      <c r="AH12" s="257"/>
      <c r="AI12" s="255"/>
      <c r="AJ12" s="256"/>
      <c r="AK12" s="256"/>
      <c r="AL12" s="257"/>
      <c r="AM12" s="255"/>
      <c r="AN12" s="256"/>
      <c r="AO12" s="256"/>
      <c r="AP12" s="257"/>
      <c r="AQ12" s="255"/>
      <c r="AR12" s="256"/>
      <c r="AS12" s="256"/>
      <c r="AT12" s="257"/>
      <c r="AU12" s="255"/>
      <c r="AV12" s="256"/>
      <c r="AW12" s="256"/>
      <c r="AX12" s="257"/>
      <c r="AY12" s="16">
        <f t="shared" si="1"/>
        <v>2032.83</v>
      </c>
      <c r="AZ12" s="2">
        <f t="shared" ca="1" si="0"/>
        <v>225.87</v>
      </c>
      <c r="BA12" s="1"/>
      <c r="BB12" s="1"/>
    </row>
    <row r="13" spans="1:54" ht="15.75">
      <c r="A13" s="13" t="s">
        <v>129</v>
      </c>
      <c r="B13" s="56">
        <v>3448.3199999999993</v>
      </c>
      <c r="C13" s="252">
        <f>93.93</f>
        <v>93.93</v>
      </c>
      <c r="D13" s="253"/>
      <c r="E13" s="253"/>
      <c r="F13" s="254"/>
      <c r="G13" s="252">
        <f>93.93</f>
        <v>93.93</v>
      </c>
      <c r="H13" s="253"/>
      <c r="I13" s="253"/>
      <c r="J13" s="254"/>
      <c r="K13" s="252">
        <f>93.93</f>
        <v>93.93</v>
      </c>
      <c r="L13" s="253"/>
      <c r="M13" s="253"/>
      <c r="N13" s="254"/>
      <c r="O13" s="252">
        <f>93.93+2290.23</f>
        <v>2384.16</v>
      </c>
      <c r="P13" s="253"/>
      <c r="Q13" s="253"/>
      <c r="R13" s="254"/>
      <c r="S13" s="252">
        <f>93.93</f>
        <v>93.93</v>
      </c>
      <c r="T13" s="253"/>
      <c r="U13" s="253"/>
      <c r="V13" s="254"/>
      <c r="W13" s="252">
        <f>93.93</f>
        <v>93.93</v>
      </c>
      <c r="X13" s="253"/>
      <c r="Y13" s="253"/>
      <c r="Z13" s="254"/>
      <c r="AA13" s="252">
        <f>93.93</f>
        <v>93.93</v>
      </c>
      <c r="AB13" s="253"/>
      <c r="AC13" s="253"/>
      <c r="AD13" s="254"/>
      <c r="AE13" s="252">
        <v>114.74</v>
      </c>
      <c r="AF13" s="253"/>
      <c r="AG13" s="253"/>
      <c r="AH13" s="254"/>
      <c r="AI13" s="252">
        <v>93.93</v>
      </c>
      <c r="AJ13" s="253"/>
      <c r="AK13" s="253"/>
      <c r="AL13" s="254"/>
      <c r="AM13" s="252"/>
      <c r="AN13" s="253"/>
      <c r="AO13" s="253"/>
      <c r="AP13" s="254"/>
      <c r="AQ13" s="252"/>
      <c r="AR13" s="253"/>
      <c r="AS13" s="253"/>
      <c r="AT13" s="254"/>
      <c r="AU13" s="252"/>
      <c r="AV13" s="253"/>
      <c r="AW13" s="253"/>
      <c r="AX13" s="254"/>
      <c r="AY13" s="17">
        <f t="shared" si="1"/>
        <v>3156.4099999999989</v>
      </c>
      <c r="AZ13" s="2">
        <f t="shared" ca="1" si="0"/>
        <v>350.71222222222212</v>
      </c>
      <c r="BA13" s="1"/>
      <c r="BB13" s="1"/>
    </row>
    <row r="14" spans="1:54" ht="15.75">
      <c r="A14" s="15" t="s">
        <v>130</v>
      </c>
      <c r="B14" s="55">
        <v>795.41</v>
      </c>
      <c r="C14" s="255"/>
      <c r="D14" s="256"/>
      <c r="E14" s="256"/>
      <c r="F14" s="257"/>
      <c r="G14" s="255">
        <f>27.27+13.86+8.75+34.09</f>
        <v>83.97</v>
      </c>
      <c r="H14" s="256"/>
      <c r="I14" s="256"/>
      <c r="J14" s="257"/>
      <c r="K14" s="255"/>
      <c r="L14" s="256"/>
      <c r="M14" s="256"/>
      <c r="N14" s="257"/>
      <c r="O14" s="255">
        <f>25+27.27+16.9+26.12</f>
        <v>95.289999999999992</v>
      </c>
      <c r="P14" s="256"/>
      <c r="Q14" s="256"/>
      <c r="R14" s="257"/>
      <c r="S14" s="255">
        <f>22.09+27.27</f>
        <v>49.36</v>
      </c>
      <c r="T14" s="256"/>
      <c r="U14" s="256"/>
      <c r="V14" s="257"/>
      <c r="W14" s="255">
        <f>8.75+27.27+27.27</f>
        <v>63.289999999999992</v>
      </c>
      <c r="X14" s="256"/>
      <c r="Y14" s="256"/>
      <c r="Z14" s="257"/>
      <c r="AA14" s="255"/>
      <c r="AB14" s="256"/>
      <c r="AC14" s="256"/>
      <c r="AD14" s="257"/>
      <c r="AE14" s="255"/>
      <c r="AF14" s="256"/>
      <c r="AG14" s="256"/>
      <c r="AH14" s="257"/>
      <c r="AI14" s="255"/>
      <c r="AJ14" s="256"/>
      <c r="AK14" s="256"/>
      <c r="AL14" s="257"/>
      <c r="AM14" s="255"/>
      <c r="AN14" s="256"/>
      <c r="AO14" s="256"/>
      <c r="AP14" s="257"/>
      <c r="AQ14" s="255"/>
      <c r="AR14" s="256"/>
      <c r="AS14" s="256"/>
      <c r="AT14" s="257"/>
      <c r="AU14" s="255"/>
      <c r="AV14" s="256"/>
      <c r="AW14" s="256"/>
      <c r="AX14" s="257"/>
      <c r="AY14" s="16">
        <f t="shared" si="1"/>
        <v>291.90999999999997</v>
      </c>
      <c r="AZ14" s="2">
        <f t="shared" ca="1" si="0"/>
        <v>32.434444444444438</v>
      </c>
      <c r="BA14" s="3"/>
      <c r="BB14" s="3"/>
    </row>
    <row r="15" spans="1:54" ht="15.75">
      <c r="A15" s="13" t="s">
        <v>131</v>
      </c>
      <c r="B15" s="54">
        <v>2461.34</v>
      </c>
      <c r="C15" s="252">
        <v>648.49</v>
      </c>
      <c r="D15" s="253"/>
      <c r="E15" s="253"/>
      <c r="F15" s="254"/>
      <c r="G15" s="252">
        <v>550</v>
      </c>
      <c r="H15" s="253"/>
      <c r="I15" s="253"/>
      <c r="J15" s="254"/>
      <c r="K15" s="252">
        <v>690</v>
      </c>
      <c r="L15" s="253"/>
      <c r="M15" s="253"/>
      <c r="N15" s="254"/>
      <c r="O15" s="252">
        <f>550</f>
        <v>550</v>
      </c>
      <c r="P15" s="253"/>
      <c r="Q15" s="253"/>
      <c r="R15" s="254"/>
      <c r="S15" s="252">
        <v>650.01</v>
      </c>
      <c r="T15" s="253"/>
      <c r="U15" s="253"/>
      <c r="V15" s="254"/>
      <c r="W15" s="252">
        <v>568.34</v>
      </c>
      <c r="X15" s="253"/>
      <c r="Y15" s="253"/>
      <c r="Z15" s="254"/>
      <c r="AA15" s="252">
        <v>632.86</v>
      </c>
      <c r="AB15" s="253"/>
      <c r="AC15" s="253"/>
      <c r="AD15" s="254"/>
      <c r="AE15" s="252">
        <v>550</v>
      </c>
      <c r="AF15" s="253"/>
      <c r="AG15" s="253"/>
      <c r="AH15" s="254"/>
      <c r="AI15" s="252">
        <v>586.85</v>
      </c>
      <c r="AJ15" s="253"/>
      <c r="AK15" s="253"/>
      <c r="AL15" s="254"/>
      <c r="AM15" s="252"/>
      <c r="AN15" s="253"/>
      <c r="AO15" s="253"/>
      <c r="AP15" s="254"/>
      <c r="AQ15" s="252"/>
      <c r="AR15" s="253"/>
      <c r="AS15" s="253"/>
      <c r="AT15" s="254"/>
      <c r="AU15" s="252"/>
      <c r="AV15" s="253"/>
      <c r="AW15" s="253"/>
      <c r="AX15" s="254"/>
      <c r="AY15" s="14">
        <f t="shared" si="1"/>
        <v>5426.55</v>
      </c>
      <c r="AZ15" s="2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120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121">
        <f>SUM(C16:AX16)</f>
        <v>1918.96</v>
      </c>
      <c r="AZ16" s="2">
        <f t="shared" ca="1" si="0"/>
        <v>213.21777777777777</v>
      </c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5">
        <f>SUM(C8:C16)</f>
        <v>9364.27</v>
      </c>
      <c r="D17" s="246"/>
      <c r="E17" s="246"/>
      <c r="F17" s="247"/>
      <c r="G17" s="245">
        <f>SUM(G8:G16)</f>
        <v>5516.3400000000011</v>
      </c>
      <c r="H17" s="246"/>
      <c r="I17" s="246"/>
      <c r="J17" s="247"/>
      <c r="K17" s="245">
        <f>SUM(K8:K16)</f>
        <v>3826.44</v>
      </c>
      <c r="L17" s="246"/>
      <c r="M17" s="246"/>
      <c r="N17" s="247"/>
      <c r="O17" s="245">
        <f>SUM(O8:O16)</f>
        <v>6525.6500000000005</v>
      </c>
      <c r="P17" s="246"/>
      <c r="Q17" s="246"/>
      <c r="R17" s="247"/>
      <c r="S17" s="245">
        <f>SUM(S8:S16)</f>
        <v>3997.67</v>
      </c>
      <c r="T17" s="246"/>
      <c r="U17" s="246"/>
      <c r="V17" s="247"/>
      <c r="W17" s="245">
        <f>SUM(W8:W16)</f>
        <v>5438.31</v>
      </c>
      <c r="X17" s="246"/>
      <c r="Y17" s="246"/>
      <c r="Z17" s="247"/>
      <c r="AA17" s="245">
        <f>SUM(AA8:AA16)</f>
        <v>4427.8999999999996</v>
      </c>
      <c r="AB17" s="246"/>
      <c r="AC17" s="246"/>
      <c r="AD17" s="247"/>
      <c r="AE17" s="245">
        <f>SUM(AE8:AE16)</f>
        <v>3385.5499999999997</v>
      </c>
      <c r="AF17" s="246"/>
      <c r="AG17" s="246"/>
      <c r="AH17" s="247"/>
      <c r="AI17" s="245">
        <f>SUM(AI8:AI16)</f>
        <v>1261.04</v>
      </c>
      <c r="AJ17" s="246"/>
      <c r="AK17" s="246"/>
      <c r="AL17" s="247"/>
      <c r="AM17" s="245">
        <f>SUM(AM8:AM16)</f>
        <v>0</v>
      </c>
      <c r="AN17" s="246"/>
      <c r="AO17" s="246"/>
      <c r="AP17" s="247"/>
      <c r="AQ17" s="245">
        <f>SUM(AQ8:AQ16)</f>
        <v>0</v>
      </c>
      <c r="AR17" s="246"/>
      <c r="AS17" s="246"/>
      <c r="AT17" s="247"/>
      <c r="AU17" s="245">
        <f>SUM(AU8:AU16)</f>
        <v>0</v>
      </c>
      <c r="AV17" s="246"/>
      <c r="AW17" s="246"/>
      <c r="AX17" s="247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 t="s">
        <v>479</v>
      </c>
      <c r="AV18" s="248"/>
      <c r="AW18" s="248"/>
      <c r="AX18" s="248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499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2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3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4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5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6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7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8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9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10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1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2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3">AT20+AV20-AW20</f>
        <v>2036.1099999999997</v>
      </c>
      <c r="AY20" s="40">
        <f t="shared" ref="AY20:AY27" si="14">E20+I20+M20+Q20+U20+Y20+AC20+AG20+AK20+AO20+AS20+AW20</f>
        <v>6099.9</v>
      </c>
      <c r="AZ20" s="41">
        <f t="shared" ref="AZ20:AZ45" si="15">AY20/AY$46</f>
        <v>0.15603664516736351</v>
      </c>
      <c r="BA20" s="42">
        <f>_xlfn.RANK.EQ(AZ20,$AZ$20:$AZ$45,)</f>
        <v>2</v>
      </c>
      <c r="BB20" s="42">
        <f t="shared" ref="BB20:BB45" ca="1" si="16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2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3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4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5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6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7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8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9"/>
        <v>673.56</v>
      </c>
      <c r="AI21" s="27" t="s">
        <v>108</v>
      </c>
      <c r="AJ21" s="62">
        <f>'09'!B40</f>
        <v>1128</v>
      </c>
      <c r="AK21" s="63">
        <f>SUM('09'!D40:F40)</f>
        <v>917.46</v>
      </c>
      <c r="AL21" s="84">
        <f t="shared" si="10"/>
        <v>884.09999999999991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1"/>
        <v>2012.1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2"/>
        <v>3140.1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3"/>
        <v>4268.1000000000004</v>
      </c>
      <c r="AY21" s="45">
        <f t="shared" si="14"/>
        <v>9694.82</v>
      </c>
      <c r="AZ21" s="41">
        <f t="shared" si="15"/>
        <v>0.24799540784299076</v>
      </c>
      <c r="BA21" s="42">
        <f t="shared" ref="BA21:BA45" si="17">_xlfn.RANK.EQ(AZ21,$AZ$20:$AZ$45,)</f>
        <v>1</v>
      </c>
      <c r="BB21" s="42">
        <f t="shared" ca="1" si="16"/>
        <v>1077.2022222222222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2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3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4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5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6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7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8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9"/>
        <v>95.840000000000146</v>
      </c>
      <c r="AI22" s="26" t="s">
        <v>108</v>
      </c>
      <c r="AJ22" s="59">
        <f>'09'!B60</f>
        <v>460</v>
      </c>
      <c r="AK22" s="59">
        <f>SUM('09'!D60:F60)</f>
        <v>286.53999999999996</v>
      </c>
      <c r="AL22" s="85">
        <f t="shared" si="10"/>
        <v>269.30000000000018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1"/>
        <v>769.30000000000018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2"/>
        <v>1269.3000000000002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3"/>
        <v>1779.3000000000002</v>
      </c>
      <c r="AY22" s="43">
        <f t="shared" si="14"/>
        <v>3800.16</v>
      </c>
      <c r="AZ22" s="41">
        <f t="shared" si="15"/>
        <v>9.7208842357941638E-2</v>
      </c>
      <c r="BA22" s="42">
        <f t="shared" si="17"/>
        <v>3</v>
      </c>
      <c r="BB22" s="42">
        <f t="shared" ca="1" si="16"/>
        <v>422.24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2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3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4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5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6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7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8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9"/>
        <v>-59.039999999999992</v>
      </c>
      <c r="AI23" s="27" t="s">
        <v>108</v>
      </c>
      <c r="AJ23" s="62">
        <f>'09'!B80</f>
        <v>150</v>
      </c>
      <c r="AK23" s="63">
        <f>SUM('09'!D80:F80)</f>
        <v>66.009999999999991</v>
      </c>
      <c r="AL23" s="84">
        <f t="shared" si="10"/>
        <v>24.950000000000017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1"/>
        <v>174.95000000000002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2"/>
        <v>324.95000000000005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3"/>
        <v>474.95000000000005</v>
      </c>
      <c r="AY23" s="45">
        <f t="shared" si="14"/>
        <v>1718.1499999999999</v>
      </c>
      <c r="AZ23" s="41">
        <f t="shared" si="15"/>
        <v>4.3950615894409031E-2</v>
      </c>
      <c r="BA23" s="42">
        <f t="shared" si="17"/>
        <v>7</v>
      </c>
      <c r="BB23" s="42">
        <f t="shared" ca="1" si="16"/>
        <v>190.90555555555554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2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3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4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5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6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7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8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9"/>
        <v>23.150000000000034</v>
      </c>
      <c r="AI24" s="26" t="s">
        <v>108</v>
      </c>
      <c r="AJ24" s="59">
        <f>'09'!B100</f>
        <v>150</v>
      </c>
      <c r="AK24" s="59">
        <f>SUM('09'!D100:F100)</f>
        <v>63.169999999999995</v>
      </c>
      <c r="AL24" s="85">
        <f t="shared" si="10"/>
        <v>109.98000000000005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1"/>
        <v>259.98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2"/>
        <v>409.98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3"/>
        <v>559.98</v>
      </c>
      <c r="AY24" s="43">
        <f t="shared" si="14"/>
        <v>1304.5800000000002</v>
      </c>
      <c r="AZ24" s="41">
        <f t="shared" si="15"/>
        <v>3.3371413720296915E-2</v>
      </c>
      <c r="BA24" s="42">
        <f t="shared" si="17"/>
        <v>9</v>
      </c>
      <c r="BB24" s="42">
        <f t="shared" ca="1" si="16"/>
        <v>144.95333333333335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2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3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4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5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6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7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8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9"/>
        <v>3644.2599999999984</v>
      </c>
      <c r="AI25" s="27" t="s">
        <v>108</v>
      </c>
      <c r="AJ25" s="62">
        <f>'09'!B120</f>
        <v>400</v>
      </c>
      <c r="AK25" s="63">
        <f>SUM('09'!D120:F120)</f>
        <v>328.82000000000005</v>
      </c>
      <c r="AL25" s="84">
        <f t="shared" si="10"/>
        <v>3715.4399999999982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1"/>
        <v>4115.4399999999987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2"/>
        <v>4515.4399999999987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3"/>
        <v>4915.4399999999987</v>
      </c>
      <c r="AY25" s="45">
        <f t="shared" si="14"/>
        <v>2959.380000000001</v>
      </c>
      <c r="AZ25" s="41">
        <f t="shared" si="15"/>
        <v>7.5701524119312191E-2</v>
      </c>
      <c r="BA25" s="42">
        <f t="shared" si="17"/>
        <v>5</v>
      </c>
      <c r="BB25" s="42">
        <f t="shared" ca="1" si="16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2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3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4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5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6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7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8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9"/>
        <v>29.50999999999997</v>
      </c>
      <c r="AI26" s="26" t="s">
        <v>108</v>
      </c>
      <c r="AJ26" s="59">
        <f>'09'!B140</f>
        <v>48</v>
      </c>
      <c r="AK26" s="59">
        <f>SUM('09'!D140:F140)</f>
        <v>7.99</v>
      </c>
      <c r="AL26" s="85">
        <f t="shared" si="10"/>
        <v>69.519999999999968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1"/>
        <v>117.51999999999997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2"/>
        <v>165.51999999999998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3"/>
        <v>213.51999999999998</v>
      </c>
      <c r="AY26" s="43">
        <f t="shared" si="14"/>
        <v>387.95000000000005</v>
      </c>
      <c r="AZ26" s="41">
        <f t="shared" si="15"/>
        <v>9.923837520726354E-3</v>
      </c>
      <c r="BA26" s="42">
        <f t="shared" si="17"/>
        <v>16</v>
      </c>
      <c r="BB26" s="42">
        <f t="shared" ca="1" si="16"/>
        <v>43.105555555555561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2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3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4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5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6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7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8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9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10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1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2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3"/>
        <v>417.53000000000003</v>
      </c>
      <c r="AY27" s="45">
        <f t="shared" si="14"/>
        <v>337.86</v>
      </c>
      <c r="AZ27" s="41">
        <f t="shared" si="15"/>
        <v>8.6425254407851686E-3</v>
      </c>
      <c r="BA27" s="42">
        <f t="shared" si="17"/>
        <v>17</v>
      </c>
      <c r="BB27" s="42">
        <f t="shared" ca="1" si="16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2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3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4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5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6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7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8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9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10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1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2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3"/>
        <v>181.57000000000005</v>
      </c>
      <c r="AY28" s="40">
        <f t="shared" ref="AY28:AY45" si="18">E28+I28+M28+Q28+U28+Y28+AC28+AG28+AK28+AO28+AS28+AW28</f>
        <v>3498.32</v>
      </c>
      <c r="AZ28" s="41">
        <f t="shared" si="15"/>
        <v>8.9487715621877614E-2</v>
      </c>
      <c r="BA28" s="42">
        <f t="shared" si="17"/>
        <v>4</v>
      </c>
      <c r="BB28" s="42">
        <f t="shared" ca="1" si="16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2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3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4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5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6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7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8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9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10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1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2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3"/>
        <v>281.20000000000005</v>
      </c>
      <c r="AY29" s="45">
        <f t="shared" si="18"/>
        <v>809.12999999999988</v>
      </c>
      <c r="AZ29" s="41">
        <f t="shared" si="15"/>
        <v>2.0697704995863677E-2</v>
      </c>
      <c r="BA29" s="42">
        <f t="shared" si="17"/>
        <v>11</v>
      </c>
      <c r="BB29" s="42">
        <f t="shared" ca="1" si="16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2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3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4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5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6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7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8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9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10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1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2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3"/>
        <v>137.66000000000003</v>
      </c>
      <c r="AY30" s="43">
        <f t="shared" si="18"/>
        <v>326.21000000000004</v>
      </c>
      <c r="AZ30" s="41">
        <f t="shared" si="15"/>
        <v>8.344516142895074E-3</v>
      </c>
      <c r="BA30" s="42">
        <f t="shared" si="17"/>
        <v>18</v>
      </c>
      <c r="BB30" s="42">
        <f t="shared" ca="1" si="16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2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3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4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5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6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7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8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9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10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1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2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3"/>
        <v>162</v>
      </c>
      <c r="AY31" s="45">
        <f t="shared" si="18"/>
        <v>655</v>
      </c>
      <c r="AZ31" s="41">
        <f t="shared" si="15"/>
        <v>1.6755029194679111E-2</v>
      </c>
      <c r="BA31" s="42">
        <f t="shared" si="17"/>
        <v>13</v>
      </c>
      <c r="BB31" s="42">
        <f t="shared" ca="1" si="16"/>
        <v>72.777777777777771</v>
      </c>
    </row>
    <row r="32" spans="1:55" ht="15.75">
      <c r="A32" s="46" t="s">
        <v>205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2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3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4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5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6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7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8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9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10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1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2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3"/>
        <v>233.97</v>
      </c>
      <c r="AY32" s="43">
        <f t="shared" si="18"/>
        <v>1092.6200000000003</v>
      </c>
      <c r="AZ32" s="41">
        <f t="shared" si="15"/>
        <v>2.7949435112504271E-2</v>
      </c>
      <c r="BA32" s="42">
        <f t="shared" si="17"/>
        <v>10</v>
      </c>
      <c r="BB32" s="42">
        <f t="shared" ca="1" si="16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2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3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4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5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6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7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8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9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10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1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2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3"/>
        <v>380</v>
      </c>
      <c r="AY33" s="45">
        <f t="shared" si="18"/>
        <v>31.54</v>
      </c>
      <c r="AZ33" s="41">
        <f t="shared" si="15"/>
        <v>8.0679942106897588E-4</v>
      </c>
      <c r="BA33" s="42">
        <f t="shared" si="17"/>
        <v>22</v>
      </c>
      <c r="BB33" s="42">
        <f t="shared" ca="1" si="16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2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3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4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5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6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7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8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9"/>
        <v>449.42999999999995</v>
      </c>
      <c r="AI34" s="26" t="s">
        <v>108</v>
      </c>
      <c r="AJ34" s="59">
        <f>'09'!B300</f>
        <v>100</v>
      </c>
      <c r="AK34" s="59">
        <f>SUM('09'!D300:F300)</f>
        <v>38.549999999999997</v>
      </c>
      <c r="AL34" s="89">
        <f t="shared" si="10"/>
        <v>510.87999999999994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1"/>
        <v>570.87999999999988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2"/>
        <v>670.87999999999988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3"/>
        <v>790.87999999999988</v>
      </c>
      <c r="AY34" s="43">
        <f>E34+I34+M34+Q34+U34+Y34+AC34+AG34+AK34+AO34+AS34+AW34+(E36+I36+M36)</f>
        <v>2630.3</v>
      </c>
      <c r="AZ34" s="41">
        <f t="shared" si="15"/>
        <v>6.7283592810327433E-2</v>
      </c>
      <c r="BA34" s="42">
        <f t="shared" si="17"/>
        <v>6</v>
      </c>
      <c r="BB34" s="42">
        <f t="shared" ca="1" si="16"/>
        <v>292.25555555555559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2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3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4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5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6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7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8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9"/>
        <v>1366.0000000000002</v>
      </c>
      <c r="AI35" s="27" t="s">
        <v>108</v>
      </c>
      <c r="AJ35" s="62">
        <f>'09'!B320</f>
        <v>110</v>
      </c>
      <c r="AK35" s="62">
        <f>SUM('09'!D320:F320)</f>
        <v>69.47</v>
      </c>
      <c r="AL35" s="86">
        <f t="shared" si="10"/>
        <v>1406.5300000000002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1"/>
        <v>1516.5300000000002</v>
      </c>
      <c r="AQ35" s="27" t="s">
        <v>114</v>
      </c>
      <c r="AR35" s="62">
        <f>'11'!B320</f>
        <v>115</v>
      </c>
      <c r="AS35" s="62">
        <f>SUM('11'!D320:F320)</f>
        <v>0</v>
      </c>
      <c r="AT35" s="86">
        <f t="shared" si="12"/>
        <v>1631.5300000000002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3"/>
        <v>1731.5300000000002</v>
      </c>
      <c r="AY35" s="45">
        <f t="shared" si="18"/>
        <v>1582.5700000000002</v>
      </c>
      <c r="AZ35" s="41">
        <f t="shared" si="15"/>
        <v>4.0482452752096679E-2</v>
      </c>
      <c r="BA35" s="42">
        <f t="shared" si="17"/>
        <v>8</v>
      </c>
      <c r="BB35" s="42">
        <f t="shared" ca="1" si="16"/>
        <v>175.84111111111113</v>
      </c>
    </row>
    <row r="36" spans="1:54" ht="15.75">
      <c r="A36" s="47" t="s">
        <v>388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2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3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4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5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6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7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8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9"/>
        <v>85.670000000000044</v>
      </c>
      <c r="AI36" s="26" t="s">
        <v>108</v>
      </c>
      <c r="AJ36" s="64">
        <f>'09'!B340</f>
        <v>90</v>
      </c>
      <c r="AK36" s="64">
        <f>SUM('09'!D340:F340)</f>
        <v>348</v>
      </c>
      <c r="AL36" s="85">
        <f t="shared" si="10"/>
        <v>-172.32999999999996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1"/>
        <v>-82.329999999999956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2"/>
        <v>7.6700000000000443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3"/>
        <v>77.69000000000004</v>
      </c>
      <c r="AY36" s="40">
        <f>Q36+U36+Y36+AC36+AG36+AK36+AO36+AS36+AW36</f>
        <v>618.06000000000006</v>
      </c>
      <c r="AZ36" s="41">
        <f t="shared" si="15"/>
        <v>1.58100967084937E-2</v>
      </c>
      <c r="BA36" s="42">
        <f t="shared" si="17"/>
        <v>14</v>
      </c>
      <c r="BB36" s="42">
        <f t="shared" ca="1" si="16"/>
        <v>68.673333333333346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2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3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4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5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6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7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8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9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10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1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2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3"/>
        <v>361.38</v>
      </c>
      <c r="AY37" s="45">
        <f t="shared" si="18"/>
        <v>567.13</v>
      </c>
      <c r="AZ37" s="41">
        <f t="shared" si="15"/>
        <v>1.4507297262867732E-2</v>
      </c>
      <c r="BA37" s="42">
        <f t="shared" si="17"/>
        <v>15</v>
      </c>
      <c r="BB37" s="42">
        <f t="shared" ca="1" si="16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2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3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4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5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6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7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8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9"/>
        <v>-69.989999999999966</v>
      </c>
      <c r="AI38" s="26" t="s">
        <v>108</v>
      </c>
      <c r="AJ38" s="61">
        <f>'09'!B380</f>
        <v>70</v>
      </c>
      <c r="AK38" s="61">
        <f>SUM('09'!D380:F380)</f>
        <v>38.090000000000003</v>
      </c>
      <c r="AL38" s="85">
        <f t="shared" si="10"/>
        <v>-38.07999999999997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1"/>
        <v>31.92000000000003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2"/>
        <v>101.92000000000003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3"/>
        <v>161.92000000000002</v>
      </c>
      <c r="AY38" s="43">
        <f t="shared" si="18"/>
        <v>688.87</v>
      </c>
      <c r="AZ38" s="41">
        <f t="shared" si="15"/>
        <v>1.7621430475326105E-2</v>
      </c>
      <c r="BA38" s="42">
        <f t="shared" si="17"/>
        <v>12</v>
      </c>
      <c r="BB38" s="42">
        <f t="shared" ca="1" si="16"/>
        <v>76.541111111111107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2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3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4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5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6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7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8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9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10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1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2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3"/>
        <v>1160</v>
      </c>
      <c r="AY39" s="45">
        <f t="shared" si="18"/>
        <v>0</v>
      </c>
      <c r="AZ39" s="41">
        <f t="shared" si="15"/>
        <v>0</v>
      </c>
      <c r="BA39" s="42">
        <f t="shared" si="17"/>
        <v>23</v>
      </c>
      <c r="BB39" s="42">
        <f t="shared" ca="1" si="16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2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3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5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6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7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8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9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10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1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2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3"/>
        <v>758.89000000000044</v>
      </c>
      <c r="AY40" s="43">
        <f t="shared" si="18"/>
        <v>118.89</v>
      </c>
      <c r="AZ40" s="41">
        <f t="shared" si="15"/>
        <v>3.0412296503135872E-3</v>
      </c>
      <c r="BA40" s="42">
        <f t="shared" si="17"/>
        <v>19</v>
      </c>
      <c r="BB40" s="42">
        <f t="shared" ca="1" si="16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2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3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4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5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6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7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8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9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10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1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2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3"/>
        <v>8337.159999999998</v>
      </c>
      <c r="AY41" s="45">
        <f t="shared" si="18"/>
        <v>0</v>
      </c>
      <c r="AZ41" s="41">
        <f t="shared" si="15"/>
        <v>0</v>
      </c>
      <c r="BA41" s="42">
        <f t="shared" si="17"/>
        <v>23</v>
      </c>
      <c r="BB41" s="42">
        <f t="shared" ca="1" si="16"/>
        <v>0</v>
      </c>
    </row>
    <row r="42" spans="1:54" ht="15.75">
      <c r="A42" s="46" t="s">
        <v>264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2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3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4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5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6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7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8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9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10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1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2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3"/>
        <v>6892.12</v>
      </c>
      <c r="AY42" s="43">
        <f t="shared" si="18"/>
        <v>0</v>
      </c>
      <c r="AZ42" s="41">
        <f t="shared" si="15"/>
        <v>0</v>
      </c>
      <c r="BA42" s="42">
        <f t="shared" si="17"/>
        <v>23</v>
      </c>
      <c r="BB42" s="42">
        <f t="shared" ca="1" si="16"/>
        <v>0</v>
      </c>
    </row>
    <row r="43" spans="1:54" ht="15.75">
      <c r="A43" s="51" t="s">
        <v>469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2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3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4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5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6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7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8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9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10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1"/>
        <v>326</v>
      </c>
      <c r="AQ43" s="27" t="s">
        <v>114</v>
      </c>
      <c r="AR43" s="62">
        <f>'11'!B480</f>
        <v>50</v>
      </c>
      <c r="AS43" s="62">
        <f>SUM('11'!D480:F480)</f>
        <v>0</v>
      </c>
      <c r="AT43" s="84">
        <f t="shared" si="12"/>
        <v>376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3"/>
        <v>691</v>
      </c>
      <c r="AY43" s="45">
        <f t="shared" si="18"/>
        <v>100</v>
      </c>
      <c r="AZ43" s="41">
        <f t="shared" si="15"/>
        <v>2.5580197243784903E-3</v>
      </c>
      <c r="BA43" s="42">
        <f t="shared" si="17"/>
        <v>20</v>
      </c>
      <c r="BB43" s="42">
        <f t="shared" ca="1" si="16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2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3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4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5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6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7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8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9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10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1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2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3"/>
        <v>0</v>
      </c>
      <c r="AY44" s="43">
        <f t="shared" si="18"/>
        <v>0</v>
      </c>
      <c r="AZ44" s="41">
        <f t="shared" si="15"/>
        <v>0</v>
      </c>
      <c r="BA44" s="42">
        <f t="shared" si="17"/>
        <v>23</v>
      </c>
      <c r="BB44" s="42">
        <f t="shared" ca="1" si="16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2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3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4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5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6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7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8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9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10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1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2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3"/>
        <v>95.92000000000003</v>
      </c>
      <c r="AY45" s="104">
        <f t="shared" si="18"/>
        <v>71.3</v>
      </c>
      <c r="AZ45" s="41">
        <f t="shared" si="15"/>
        <v>1.8238680634818636E-3</v>
      </c>
      <c r="BA45" s="42">
        <f t="shared" si="17"/>
        <v>21</v>
      </c>
      <c r="BB45" s="42">
        <f t="shared" ca="1" si="16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3888.1900000000005</v>
      </c>
      <c r="AL46" s="116">
        <f>SUM(AL20:AL45)</f>
        <v>21986.109999999993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25914.249999999996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29814.249999999996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37099.819999999992</v>
      </c>
      <c r="AY46" s="28">
        <f>SUM(AY20:AY45)</f>
        <v>39092.740000000005</v>
      </c>
      <c r="AZ46" s="1"/>
      <c r="BA46" s="1"/>
      <c r="BB46" s="29">
        <f ca="1">SUM(BB20:BB45)</f>
        <v>4343.637777777777</v>
      </c>
    </row>
    <row r="47" spans="1:54" s="81" customFormat="1" ht="12.75">
      <c r="A47" s="80" t="s">
        <v>315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-2627.1500000000005</v>
      </c>
      <c r="AL47" s="82"/>
      <c r="AM47" s="82">
        <f>AM5-AL46</f>
        <v>-6884.2199999999921</v>
      </c>
      <c r="AN47" s="82">
        <f>AM17-AN46</f>
        <v>-3928.14</v>
      </c>
      <c r="AO47" s="82">
        <f>AM17-AO46</f>
        <v>0</v>
      </c>
      <c r="AP47" s="82"/>
      <c r="AQ47" s="82">
        <f>AQ5-AP46</f>
        <v>-10812.359999999995</v>
      </c>
      <c r="AR47" s="82">
        <f>AQ17-AR46</f>
        <v>-3900</v>
      </c>
      <c r="AS47" s="82">
        <f>AQ17-AS46</f>
        <v>0</v>
      </c>
      <c r="AT47" s="82"/>
      <c r="AU47" s="82">
        <f>AU5-AT46</f>
        <v>-16262.359999999995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203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252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314.53999999999996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8" t="s">
        <v>197</v>
      </c>
      <c r="D52" s="219"/>
      <c r="E52" s="219"/>
      <c r="F52" s="220"/>
      <c r="G52" s="218" t="s">
        <v>197</v>
      </c>
      <c r="H52" s="219"/>
      <c r="I52" s="219"/>
      <c r="J52" s="220"/>
      <c r="K52" s="218" t="s">
        <v>197</v>
      </c>
      <c r="L52" s="219"/>
      <c r="M52" s="219"/>
      <c r="N52" s="220"/>
      <c r="O52" s="218" t="s">
        <v>197</v>
      </c>
      <c r="P52" s="219"/>
      <c r="Q52" s="219"/>
      <c r="R52" s="220"/>
      <c r="S52" s="218" t="s">
        <v>197</v>
      </c>
      <c r="T52" s="219"/>
      <c r="U52" s="219"/>
      <c r="V52" s="220"/>
      <c r="W52" s="218" t="s">
        <v>197</v>
      </c>
      <c r="X52" s="219"/>
      <c r="Y52" s="219"/>
      <c r="Z52" s="220"/>
      <c r="AA52" s="218" t="s">
        <v>197</v>
      </c>
      <c r="AB52" s="219"/>
      <c r="AC52" s="219"/>
      <c r="AD52" s="220"/>
      <c r="AE52" s="218" t="s">
        <v>197</v>
      </c>
      <c r="AF52" s="219"/>
      <c r="AG52" s="219"/>
      <c r="AH52" s="220"/>
      <c r="AI52" s="218" t="s">
        <v>197</v>
      </c>
      <c r="AJ52" s="219"/>
      <c r="AK52" s="219"/>
      <c r="AL52" s="220"/>
      <c r="AM52" s="218" t="s">
        <v>197</v>
      </c>
      <c r="AN52" s="219"/>
      <c r="AO52" s="219"/>
      <c r="AP52" s="220"/>
      <c r="AQ52" s="218" t="s">
        <v>197</v>
      </c>
      <c r="AR52" s="219"/>
      <c r="AS52" s="219"/>
      <c r="AT52" s="220"/>
      <c r="AU52" s="218" t="s">
        <v>197</v>
      </c>
      <c r="AV52" s="219"/>
      <c r="AW52" s="219"/>
      <c r="AX52" s="220"/>
    </row>
    <row r="53" spans="1:51" ht="15.75" thickBot="1">
      <c r="C53" s="179" t="s">
        <v>198</v>
      </c>
      <c r="D53" s="221" t="s">
        <v>33</v>
      </c>
      <c r="E53" s="222"/>
      <c r="F53" s="180" t="s">
        <v>134</v>
      </c>
      <c r="G53" s="179" t="s">
        <v>198</v>
      </c>
      <c r="H53" s="221" t="s">
        <v>33</v>
      </c>
      <c r="I53" s="222"/>
      <c r="J53" s="180" t="s">
        <v>134</v>
      </c>
      <c r="K53" s="179" t="s">
        <v>198</v>
      </c>
      <c r="L53" s="221" t="s">
        <v>33</v>
      </c>
      <c r="M53" s="222"/>
      <c r="N53" s="180" t="s">
        <v>134</v>
      </c>
      <c r="O53" s="179" t="s">
        <v>198</v>
      </c>
      <c r="P53" s="221" t="s">
        <v>33</v>
      </c>
      <c r="Q53" s="222"/>
      <c r="R53" s="180" t="s">
        <v>134</v>
      </c>
      <c r="S53" s="179" t="s">
        <v>198</v>
      </c>
      <c r="T53" s="221" t="s">
        <v>33</v>
      </c>
      <c r="U53" s="222"/>
      <c r="V53" s="180" t="s">
        <v>134</v>
      </c>
      <c r="W53" s="179" t="s">
        <v>198</v>
      </c>
      <c r="X53" s="221" t="s">
        <v>33</v>
      </c>
      <c r="Y53" s="222"/>
      <c r="Z53" s="180" t="s">
        <v>134</v>
      </c>
      <c r="AA53" s="179" t="s">
        <v>198</v>
      </c>
      <c r="AB53" s="221" t="s">
        <v>33</v>
      </c>
      <c r="AC53" s="222"/>
      <c r="AD53" s="180" t="s">
        <v>134</v>
      </c>
      <c r="AE53" s="179" t="s">
        <v>198</v>
      </c>
      <c r="AF53" s="221" t="s">
        <v>33</v>
      </c>
      <c r="AG53" s="222"/>
      <c r="AH53" s="180" t="s">
        <v>134</v>
      </c>
      <c r="AI53" s="179" t="s">
        <v>198</v>
      </c>
      <c r="AJ53" s="221" t="s">
        <v>33</v>
      </c>
      <c r="AK53" s="222"/>
      <c r="AL53" s="180" t="s">
        <v>134</v>
      </c>
      <c r="AM53" s="179" t="s">
        <v>198</v>
      </c>
      <c r="AN53" s="221" t="s">
        <v>33</v>
      </c>
      <c r="AO53" s="222"/>
      <c r="AP53" s="180" t="s">
        <v>134</v>
      </c>
      <c r="AQ53" s="179" t="s">
        <v>198</v>
      </c>
      <c r="AR53" s="221" t="s">
        <v>33</v>
      </c>
      <c r="AS53" s="222"/>
      <c r="AT53" s="180" t="s">
        <v>134</v>
      </c>
      <c r="AU53" s="179" t="s">
        <v>198</v>
      </c>
      <c r="AV53" s="221" t="s">
        <v>33</v>
      </c>
      <c r="AW53" s="222"/>
      <c r="AX53" s="180" t="s">
        <v>134</v>
      </c>
    </row>
    <row r="54" spans="1:51">
      <c r="C54" s="181">
        <v>43112</v>
      </c>
      <c r="D54" s="223" t="s">
        <v>199</v>
      </c>
      <c r="E54" s="224"/>
      <c r="F54" s="184">
        <v>10</v>
      </c>
      <c r="G54" s="181">
        <v>43137</v>
      </c>
      <c r="H54" s="223" t="s">
        <v>220</v>
      </c>
      <c r="I54" s="224"/>
      <c r="J54" s="186">
        <v>10</v>
      </c>
      <c r="K54" s="181">
        <v>43166</v>
      </c>
      <c r="L54" s="241" t="s">
        <v>288</v>
      </c>
      <c r="M54" s="242"/>
      <c r="N54" s="186"/>
      <c r="O54" s="181">
        <v>43195</v>
      </c>
      <c r="P54" s="241" t="s">
        <v>220</v>
      </c>
      <c r="Q54" s="242"/>
      <c r="R54" s="192">
        <v>10</v>
      </c>
      <c r="S54" s="181">
        <v>43224</v>
      </c>
      <c r="T54" s="241" t="s">
        <v>288</v>
      </c>
      <c r="U54" s="242"/>
      <c r="V54" s="193"/>
      <c r="W54" s="182">
        <v>43264</v>
      </c>
      <c r="X54" s="237" t="s">
        <v>199</v>
      </c>
      <c r="Y54" s="238"/>
      <c r="Z54" s="194">
        <v>15</v>
      </c>
      <c r="AA54" s="181"/>
      <c r="AB54" s="233" t="s">
        <v>371</v>
      </c>
      <c r="AC54" s="234"/>
      <c r="AD54" s="186">
        <f>1452-580.8</f>
        <v>871.2</v>
      </c>
      <c r="AE54" s="181"/>
      <c r="AF54" s="229"/>
      <c r="AG54" s="230"/>
      <c r="AH54" s="186"/>
      <c r="AI54" s="181">
        <v>43370</v>
      </c>
      <c r="AJ54" s="231" t="s">
        <v>220</v>
      </c>
      <c r="AK54" s="232"/>
      <c r="AL54" s="186">
        <v>10</v>
      </c>
      <c r="AM54" s="181"/>
      <c r="AN54" s="229"/>
      <c r="AO54" s="230"/>
      <c r="AP54" s="186"/>
      <c r="AQ54" s="181"/>
      <c r="AR54" s="223"/>
      <c r="AS54" s="224"/>
      <c r="AT54" s="186"/>
      <c r="AU54" s="181"/>
      <c r="AV54" s="223"/>
      <c r="AW54" s="224"/>
      <c r="AX54" s="186"/>
    </row>
    <row r="55" spans="1:51">
      <c r="C55" s="182"/>
      <c r="D55" s="214"/>
      <c r="E55" s="215"/>
      <c r="F55" s="184"/>
      <c r="G55" s="182">
        <v>43146</v>
      </c>
      <c r="H55" s="214" t="s">
        <v>273</v>
      </c>
      <c r="I55" s="215"/>
      <c r="J55" s="186">
        <v>10</v>
      </c>
      <c r="K55" s="182">
        <v>43168</v>
      </c>
      <c r="L55" s="243" t="s">
        <v>273</v>
      </c>
      <c r="M55" s="244"/>
      <c r="N55" s="186">
        <v>15</v>
      </c>
      <c r="O55" s="182">
        <v>43209</v>
      </c>
      <c r="P55" s="237" t="s">
        <v>199</v>
      </c>
      <c r="Q55" s="238"/>
      <c r="R55" s="192">
        <v>15</v>
      </c>
      <c r="S55" s="182">
        <v>43238</v>
      </c>
      <c r="T55" s="237" t="s">
        <v>360</v>
      </c>
      <c r="U55" s="238"/>
      <c r="V55" s="186"/>
      <c r="W55" s="182">
        <v>43253</v>
      </c>
      <c r="X55" s="237" t="s">
        <v>220</v>
      </c>
      <c r="Y55" s="238"/>
      <c r="Z55" s="186">
        <v>10</v>
      </c>
      <c r="AA55" s="182"/>
      <c r="AB55" s="214" t="s">
        <v>372</v>
      </c>
      <c r="AC55" s="215"/>
      <c r="AD55" s="186">
        <f>200-43.62+(76.38*6)</f>
        <v>614.66</v>
      </c>
      <c r="AE55" s="182">
        <v>43318</v>
      </c>
      <c r="AF55" s="237" t="s">
        <v>199</v>
      </c>
      <c r="AG55" s="238"/>
      <c r="AH55" s="186">
        <v>15</v>
      </c>
      <c r="AI55" s="182">
        <v>43361</v>
      </c>
      <c r="AJ55" s="233" t="s">
        <v>199</v>
      </c>
      <c r="AK55" s="234"/>
      <c r="AL55" s="186">
        <v>15</v>
      </c>
      <c r="AM55" s="182"/>
      <c r="AN55" s="225"/>
      <c r="AO55" s="226"/>
      <c r="AP55" s="186"/>
      <c r="AQ55" s="182"/>
      <c r="AR55" s="214"/>
      <c r="AS55" s="215"/>
      <c r="AT55" s="186"/>
      <c r="AU55" s="182"/>
      <c r="AV55" s="214"/>
      <c r="AW55" s="215"/>
      <c r="AX55" s="186"/>
    </row>
    <row r="56" spans="1:51">
      <c r="C56" s="182">
        <v>43117</v>
      </c>
      <c r="D56" s="214" t="s">
        <v>200</v>
      </c>
      <c r="E56" s="215"/>
      <c r="F56" s="184"/>
      <c r="G56" s="182">
        <v>43147</v>
      </c>
      <c r="H56" s="214" t="s">
        <v>284</v>
      </c>
      <c r="I56" s="215"/>
      <c r="J56" s="186"/>
      <c r="K56" s="182">
        <v>43189</v>
      </c>
      <c r="L56" s="214" t="s">
        <v>293</v>
      </c>
      <c r="M56" s="215"/>
      <c r="N56" s="186"/>
      <c r="O56" s="182">
        <v>43193</v>
      </c>
      <c r="P56" s="237" t="s">
        <v>329</v>
      </c>
      <c r="Q56" s="238"/>
      <c r="R56" s="192">
        <v>258.52</v>
      </c>
      <c r="S56" s="182">
        <v>43249</v>
      </c>
      <c r="T56" s="214" t="s">
        <v>375</v>
      </c>
      <c r="U56" s="215"/>
      <c r="V56" s="186"/>
      <c r="W56" s="182">
        <v>43249</v>
      </c>
      <c r="X56" s="214" t="s">
        <v>380</v>
      </c>
      <c r="Y56" s="215"/>
      <c r="Z56" s="186"/>
      <c r="AA56" s="182"/>
      <c r="AB56" s="214" t="s">
        <v>373</v>
      </c>
      <c r="AC56" s="215"/>
      <c r="AD56" s="186">
        <f>AD54-AD55</f>
        <v>256.54000000000008</v>
      </c>
      <c r="AE56" s="182">
        <v>43341</v>
      </c>
      <c r="AF56" s="237" t="s">
        <v>288</v>
      </c>
      <c r="AG56" s="238"/>
      <c r="AH56" s="186"/>
      <c r="AI56" s="182">
        <v>43347</v>
      </c>
      <c r="AJ56" s="235" t="s">
        <v>379</v>
      </c>
      <c r="AK56" s="236"/>
      <c r="AL56" s="186"/>
      <c r="AM56" s="182"/>
      <c r="AN56" s="225"/>
      <c r="AO56" s="226"/>
      <c r="AP56" s="186"/>
      <c r="AQ56" s="182"/>
      <c r="AR56" s="214"/>
      <c r="AS56" s="215"/>
      <c r="AT56" s="186"/>
      <c r="AU56" s="182"/>
      <c r="AV56" s="214"/>
      <c r="AW56" s="215"/>
      <c r="AX56" s="186"/>
    </row>
    <row r="57" spans="1:51">
      <c r="C57" s="182"/>
      <c r="D57" s="214" t="s">
        <v>201</v>
      </c>
      <c r="E57" s="215"/>
      <c r="F57" s="184"/>
      <c r="G57" s="182"/>
      <c r="H57" s="214" t="s">
        <v>285</v>
      </c>
      <c r="I57" s="215"/>
      <c r="J57" s="186"/>
      <c r="K57" s="182"/>
      <c r="L57" s="214" t="s">
        <v>294</v>
      </c>
      <c r="M57" s="215"/>
      <c r="N57" s="186"/>
      <c r="O57" s="182"/>
      <c r="P57" s="237" t="s">
        <v>300</v>
      </c>
      <c r="Q57" s="238"/>
      <c r="R57" s="186">
        <v>2290.23</v>
      </c>
      <c r="S57" s="182"/>
      <c r="T57" s="214" t="s">
        <v>376</v>
      </c>
      <c r="U57" s="215"/>
      <c r="V57" s="186"/>
      <c r="W57" s="182"/>
      <c r="X57" s="214" t="s">
        <v>381</v>
      </c>
      <c r="Y57" s="215"/>
      <c r="Z57" s="186"/>
      <c r="AA57" s="182">
        <v>43282</v>
      </c>
      <c r="AB57" s="237" t="s">
        <v>288</v>
      </c>
      <c r="AC57" s="238"/>
      <c r="AD57" s="186"/>
      <c r="AE57" s="182">
        <v>43189</v>
      </c>
      <c r="AF57" s="214" t="s">
        <v>384</v>
      </c>
      <c r="AG57" s="215"/>
      <c r="AH57" s="186"/>
      <c r="AI57" s="182"/>
      <c r="AJ57" s="225"/>
      <c r="AK57" s="226"/>
      <c r="AL57" s="186"/>
      <c r="AM57" s="182"/>
      <c r="AN57" s="225"/>
      <c r="AO57" s="226"/>
      <c r="AP57" s="186"/>
      <c r="AQ57" s="182"/>
      <c r="AR57" s="214"/>
      <c r="AS57" s="215"/>
      <c r="AT57" s="186"/>
      <c r="AU57" s="182"/>
      <c r="AV57" s="214"/>
      <c r="AW57" s="215"/>
      <c r="AX57" s="186"/>
    </row>
    <row r="58" spans="1:51">
      <c r="C58" s="182"/>
      <c r="D58" s="214" t="s">
        <v>202</v>
      </c>
      <c r="E58" s="215"/>
      <c r="F58" s="184"/>
      <c r="G58" s="182"/>
      <c r="H58" s="214" t="s">
        <v>286</v>
      </c>
      <c r="I58" s="215"/>
      <c r="J58" s="186"/>
      <c r="K58" s="182"/>
      <c r="L58" s="214" t="s">
        <v>295</v>
      </c>
      <c r="M58" s="215"/>
      <c r="N58" s="186"/>
      <c r="O58" s="182"/>
      <c r="P58" s="214"/>
      <c r="Q58" s="215"/>
      <c r="R58" s="186"/>
      <c r="S58" s="182"/>
      <c r="T58" s="214" t="s">
        <v>377</v>
      </c>
      <c r="U58" s="215"/>
      <c r="V58" s="186"/>
      <c r="W58" s="182"/>
      <c r="X58" s="214" t="s">
        <v>382</v>
      </c>
      <c r="Y58" s="215"/>
      <c r="Z58" s="186"/>
      <c r="AA58" s="182"/>
      <c r="AB58" s="237" t="s">
        <v>360</v>
      </c>
      <c r="AC58" s="238"/>
      <c r="AD58" s="186"/>
      <c r="AE58" s="182"/>
      <c r="AF58" s="214" t="s">
        <v>385</v>
      </c>
      <c r="AG58" s="215"/>
      <c r="AH58" s="186"/>
      <c r="AI58" s="182"/>
      <c r="AJ58" s="225"/>
      <c r="AK58" s="226"/>
      <c r="AL58" s="186"/>
      <c r="AM58" s="182"/>
      <c r="AN58" s="225"/>
      <c r="AO58" s="226"/>
      <c r="AP58" s="186"/>
      <c r="AQ58" s="182"/>
      <c r="AR58" s="214"/>
      <c r="AS58" s="215"/>
      <c r="AT58" s="186"/>
      <c r="AU58" s="182"/>
      <c r="AV58" s="214"/>
      <c r="AW58" s="215"/>
      <c r="AX58" s="186"/>
    </row>
    <row r="59" spans="1:51">
      <c r="C59" s="182"/>
      <c r="D59" s="214"/>
      <c r="E59" s="215"/>
      <c r="F59" s="184"/>
      <c r="G59" s="182"/>
      <c r="H59" s="214"/>
      <c r="I59" s="215"/>
      <c r="J59" s="186"/>
      <c r="K59" s="182"/>
      <c r="L59" s="214"/>
      <c r="M59" s="215"/>
      <c r="N59" s="186"/>
      <c r="O59" s="182"/>
      <c r="P59" s="214"/>
      <c r="Q59" s="215"/>
      <c r="R59" s="186"/>
      <c r="S59" s="182">
        <v>43236</v>
      </c>
      <c r="T59" s="235" t="s">
        <v>379</v>
      </c>
      <c r="U59" s="236"/>
      <c r="V59" s="186"/>
      <c r="W59" s="182">
        <v>43263</v>
      </c>
      <c r="X59" s="235" t="s">
        <v>379</v>
      </c>
      <c r="Y59" s="236"/>
      <c r="Z59" s="186"/>
      <c r="AA59" s="182"/>
      <c r="AB59" s="235" t="s">
        <v>454</v>
      </c>
      <c r="AC59" s="236"/>
      <c r="AD59" s="186">
        <f>(50*7)-'01'!D13-'03'!E13</f>
        <v>285.02</v>
      </c>
      <c r="AE59" s="182"/>
      <c r="AF59" s="214" t="s">
        <v>386</v>
      </c>
      <c r="AG59" s="215"/>
      <c r="AH59" s="186"/>
      <c r="AI59" s="182"/>
      <c r="AJ59" s="225"/>
      <c r="AK59" s="226"/>
      <c r="AL59" s="186"/>
      <c r="AM59" s="182"/>
      <c r="AN59" s="225"/>
      <c r="AO59" s="226"/>
      <c r="AP59" s="186"/>
      <c r="AQ59" s="182"/>
      <c r="AR59" s="214"/>
      <c r="AS59" s="215"/>
      <c r="AT59" s="186"/>
      <c r="AU59" s="182">
        <v>43189</v>
      </c>
      <c r="AV59" s="214" t="s">
        <v>441</v>
      </c>
      <c r="AW59" s="215"/>
      <c r="AX59" s="186"/>
    </row>
    <row r="60" spans="1:51">
      <c r="C60" s="182"/>
      <c r="D60" s="214"/>
      <c r="E60" s="215"/>
      <c r="F60" s="184"/>
      <c r="G60" s="182"/>
      <c r="H60" s="214"/>
      <c r="I60" s="215"/>
      <c r="J60" s="186"/>
      <c r="K60" s="182"/>
      <c r="L60" s="214"/>
      <c r="M60" s="215"/>
      <c r="N60" s="186"/>
      <c r="O60" s="182"/>
      <c r="P60" s="214"/>
      <c r="Q60" s="215"/>
      <c r="R60" s="186"/>
      <c r="S60" s="182"/>
      <c r="T60" s="235"/>
      <c r="U60" s="236"/>
      <c r="V60" s="186"/>
      <c r="W60" s="182"/>
      <c r="X60" s="225" t="s">
        <v>309</v>
      </c>
      <c r="Y60" s="226"/>
      <c r="Z60" s="186">
        <f>622.46*2</f>
        <v>1244.92</v>
      </c>
      <c r="AA60" s="182"/>
      <c r="AB60" s="225"/>
      <c r="AC60" s="226"/>
      <c r="AD60" s="186"/>
      <c r="AE60" s="182">
        <v>43319</v>
      </c>
      <c r="AF60" s="235" t="s">
        <v>379</v>
      </c>
      <c r="AG60" s="236"/>
      <c r="AH60" s="186"/>
      <c r="AI60" s="182"/>
      <c r="AJ60" s="225"/>
      <c r="AK60" s="226"/>
      <c r="AL60" s="186"/>
      <c r="AM60" s="182"/>
      <c r="AN60" s="225"/>
      <c r="AO60" s="226"/>
      <c r="AP60" s="186"/>
      <c r="AQ60" s="182"/>
      <c r="AR60" s="214"/>
      <c r="AS60" s="215"/>
      <c r="AT60" s="186"/>
      <c r="AU60" s="182"/>
      <c r="AV60" s="214" t="s">
        <v>294</v>
      </c>
      <c r="AW60" s="215"/>
      <c r="AX60" s="186"/>
    </row>
    <row r="61" spans="1:51">
      <c r="C61" s="182"/>
      <c r="D61" s="214"/>
      <c r="E61" s="215"/>
      <c r="F61" s="184"/>
      <c r="G61" s="182"/>
      <c r="H61" s="214"/>
      <c r="I61" s="215"/>
      <c r="J61" s="186"/>
      <c r="K61" s="182"/>
      <c r="L61" s="214"/>
      <c r="M61" s="215"/>
      <c r="N61" s="186"/>
      <c r="O61" s="182"/>
      <c r="P61" s="214"/>
      <c r="Q61" s="215"/>
      <c r="R61" s="186"/>
      <c r="S61" s="182"/>
      <c r="T61" s="235"/>
      <c r="U61" s="236"/>
      <c r="V61" s="186"/>
      <c r="W61" s="182"/>
      <c r="X61" s="225"/>
      <c r="Y61" s="226"/>
      <c r="Z61" s="186"/>
      <c r="AA61" s="182"/>
      <c r="AB61" s="225"/>
      <c r="AC61" s="226"/>
      <c r="AD61" s="186"/>
      <c r="AE61" s="182"/>
      <c r="AF61" s="225"/>
      <c r="AG61" s="226"/>
      <c r="AH61" s="186"/>
      <c r="AI61" s="182"/>
      <c r="AJ61" s="225"/>
      <c r="AK61" s="226"/>
      <c r="AL61" s="186"/>
      <c r="AM61" s="182"/>
      <c r="AN61" s="225"/>
      <c r="AO61" s="226"/>
      <c r="AP61" s="186"/>
      <c r="AQ61" s="182"/>
      <c r="AR61" s="214"/>
      <c r="AS61" s="215"/>
      <c r="AT61" s="186"/>
      <c r="AU61" s="182"/>
      <c r="AV61" s="214" t="s">
        <v>442</v>
      </c>
      <c r="AW61" s="215"/>
      <c r="AX61" s="186"/>
    </row>
    <row r="62" spans="1:51">
      <c r="C62" s="182"/>
      <c r="D62" s="214"/>
      <c r="E62" s="215"/>
      <c r="F62" s="184"/>
      <c r="G62" s="182"/>
      <c r="H62" s="214"/>
      <c r="I62" s="215"/>
      <c r="J62" s="186"/>
      <c r="K62" s="182"/>
      <c r="L62" s="214"/>
      <c r="M62" s="215"/>
      <c r="N62" s="186"/>
      <c r="O62" s="182"/>
      <c r="P62" s="214"/>
      <c r="Q62" s="215"/>
      <c r="R62" s="186"/>
      <c r="S62" s="182"/>
      <c r="T62" s="235"/>
      <c r="U62" s="236"/>
      <c r="V62" s="186"/>
      <c r="W62" s="182"/>
      <c r="X62" s="225"/>
      <c r="Y62" s="226"/>
      <c r="Z62" s="186"/>
      <c r="AA62" s="182"/>
      <c r="AB62" s="225"/>
      <c r="AC62" s="226"/>
      <c r="AD62" s="186"/>
      <c r="AE62" s="182"/>
      <c r="AF62" s="225"/>
      <c r="AG62" s="226"/>
      <c r="AH62" s="186"/>
      <c r="AI62" s="182"/>
      <c r="AJ62" s="225"/>
      <c r="AK62" s="226"/>
      <c r="AL62" s="186"/>
      <c r="AM62" s="182"/>
      <c r="AN62" s="225"/>
      <c r="AO62" s="226"/>
      <c r="AP62" s="186"/>
      <c r="AQ62" s="182"/>
      <c r="AR62" s="214"/>
      <c r="AS62" s="215"/>
      <c r="AT62" s="186"/>
      <c r="AU62" s="182"/>
      <c r="AV62" s="214"/>
      <c r="AW62" s="215"/>
      <c r="AX62" s="186"/>
    </row>
    <row r="63" spans="1:51">
      <c r="C63" s="182"/>
      <c r="D63" s="214"/>
      <c r="E63" s="215"/>
      <c r="F63" s="184"/>
      <c r="G63" s="182"/>
      <c r="H63" s="214"/>
      <c r="I63" s="215"/>
      <c r="J63" s="186"/>
      <c r="K63" s="182"/>
      <c r="L63" s="214"/>
      <c r="M63" s="215"/>
      <c r="N63" s="186"/>
      <c r="O63" s="182"/>
      <c r="P63" s="214"/>
      <c r="Q63" s="215"/>
      <c r="R63" s="186"/>
      <c r="S63" s="182"/>
      <c r="T63" s="235"/>
      <c r="U63" s="236"/>
      <c r="V63" s="186"/>
      <c r="W63" s="182"/>
      <c r="X63" s="225"/>
      <c r="Y63" s="226"/>
      <c r="Z63" s="186"/>
      <c r="AA63" s="182"/>
      <c r="AB63" s="225"/>
      <c r="AC63" s="226"/>
      <c r="AD63" s="186"/>
      <c r="AE63" s="182"/>
      <c r="AF63" s="225"/>
      <c r="AG63" s="226"/>
      <c r="AH63" s="186"/>
      <c r="AI63" s="182"/>
      <c r="AJ63" s="225"/>
      <c r="AK63" s="226"/>
      <c r="AL63" s="186"/>
      <c r="AM63" s="182"/>
      <c r="AN63" s="225"/>
      <c r="AO63" s="226"/>
      <c r="AP63" s="186"/>
      <c r="AQ63" s="182"/>
      <c r="AR63" s="214"/>
      <c r="AS63" s="215"/>
      <c r="AT63" s="186"/>
      <c r="AU63" s="182"/>
      <c r="AV63" s="214"/>
      <c r="AW63" s="215"/>
      <c r="AX63" s="186"/>
    </row>
    <row r="64" spans="1:51">
      <c r="C64" s="182"/>
      <c r="D64" s="214"/>
      <c r="E64" s="215"/>
      <c r="F64" s="184"/>
      <c r="G64" s="182"/>
      <c r="H64" s="214"/>
      <c r="I64" s="215"/>
      <c r="J64" s="186"/>
      <c r="K64" s="182"/>
      <c r="L64" s="214"/>
      <c r="M64" s="215"/>
      <c r="N64" s="186"/>
      <c r="O64" s="182"/>
      <c r="P64" s="214"/>
      <c r="Q64" s="215"/>
      <c r="R64" s="186"/>
      <c r="S64" s="182"/>
      <c r="T64" s="235"/>
      <c r="U64" s="236"/>
      <c r="V64" s="186"/>
      <c r="W64" s="182"/>
      <c r="X64" s="225"/>
      <c r="Y64" s="226"/>
      <c r="Z64" s="186"/>
      <c r="AA64" s="182"/>
      <c r="AB64" s="225"/>
      <c r="AC64" s="226"/>
      <c r="AD64" s="186"/>
      <c r="AE64" s="182"/>
      <c r="AF64" s="225"/>
      <c r="AG64" s="226"/>
      <c r="AH64" s="186"/>
      <c r="AI64" s="182"/>
      <c r="AJ64" s="225"/>
      <c r="AK64" s="226"/>
      <c r="AL64" s="186"/>
      <c r="AM64" s="182"/>
      <c r="AN64" s="225"/>
      <c r="AO64" s="226"/>
      <c r="AP64" s="186"/>
      <c r="AQ64" s="182"/>
      <c r="AR64" s="214"/>
      <c r="AS64" s="215"/>
      <c r="AT64" s="186"/>
      <c r="AU64" s="182"/>
      <c r="AV64" s="214"/>
      <c r="AW64" s="215"/>
      <c r="AX64" s="186"/>
    </row>
    <row r="65" spans="3:50">
      <c r="C65" s="182"/>
      <c r="D65" s="214"/>
      <c r="E65" s="215"/>
      <c r="F65" s="184"/>
      <c r="G65" s="182"/>
      <c r="H65" s="214"/>
      <c r="I65" s="215"/>
      <c r="J65" s="186"/>
      <c r="K65" s="182"/>
      <c r="L65" s="214"/>
      <c r="M65" s="215"/>
      <c r="N65" s="186"/>
      <c r="O65" s="182"/>
      <c r="P65" s="214"/>
      <c r="Q65" s="215"/>
      <c r="R65" s="186"/>
      <c r="S65" s="182"/>
      <c r="T65" s="235"/>
      <c r="U65" s="236"/>
      <c r="V65" s="186"/>
      <c r="W65" s="182"/>
      <c r="X65" s="225"/>
      <c r="Y65" s="226"/>
      <c r="Z65" s="186"/>
      <c r="AA65" s="182"/>
      <c r="AB65" s="225"/>
      <c r="AC65" s="226"/>
      <c r="AD65" s="186"/>
      <c r="AE65" s="182"/>
      <c r="AF65" s="225"/>
      <c r="AG65" s="226"/>
      <c r="AH65" s="186"/>
      <c r="AI65" s="182"/>
      <c r="AJ65" s="225"/>
      <c r="AK65" s="226"/>
      <c r="AL65" s="186"/>
      <c r="AM65" s="182"/>
      <c r="AN65" s="225"/>
      <c r="AO65" s="226"/>
      <c r="AP65" s="186"/>
      <c r="AQ65" s="182"/>
      <c r="AR65" s="214"/>
      <c r="AS65" s="215"/>
      <c r="AT65" s="186"/>
      <c r="AU65" s="182"/>
      <c r="AV65" s="214"/>
      <c r="AW65" s="215"/>
      <c r="AX65" s="186"/>
    </row>
    <row r="66" spans="3:50">
      <c r="C66" s="182"/>
      <c r="D66" s="214"/>
      <c r="E66" s="215"/>
      <c r="F66" s="184"/>
      <c r="G66" s="182"/>
      <c r="H66" s="214"/>
      <c r="I66" s="215"/>
      <c r="J66" s="186"/>
      <c r="K66" s="182"/>
      <c r="L66" s="214"/>
      <c r="M66" s="215"/>
      <c r="N66" s="186"/>
      <c r="O66" s="182"/>
      <c r="P66" s="214"/>
      <c r="Q66" s="215"/>
      <c r="R66" s="186"/>
      <c r="S66" s="182"/>
      <c r="T66" s="225"/>
      <c r="U66" s="226"/>
      <c r="V66" s="186"/>
      <c r="W66" s="182"/>
      <c r="X66" s="225"/>
      <c r="Y66" s="226"/>
      <c r="Z66" s="186"/>
      <c r="AA66" s="182"/>
      <c r="AB66" s="225"/>
      <c r="AC66" s="226"/>
      <c r="AD66" s="186"/>
      <c r="AE66" s="182"/>
      <c r="AF66" s="225"/>
      <c r="AG66" s="226"/>
      <c r="AH66" s="186"/>
      <c r="AI66" s="182"/>
      <c r="AJ66" s="225"/>
      <c r="AK66" s="226"/>
      <c r="AL66" s="186"/>
      <c r="AM66" s="182"/>
      <c r="AN66" s="225"/>
      <c r="AO66" s="226"/>
      <c r="AP66" s="186"/>
      <c r="AQ66" s="182"/>
      <c r="AR66" s="214"/>
      <c r="AS66" s="215"/>
      <c r="AT66" s="186"/>
      <c r="AU66" s="182"/>
      <c r="AV66" s="214"/>
      <c r="AW66" s="215"/>
      <c r="AX66" s="186"/>
    </row>
    <row r="67" spans="3:50">
      <c r="C67" s="182"/>
      <c r="D67" s="214"/>
      <c r="E67" s="215"/>
      <c r="F67" s="184"/>
      <c r="G67" s="182"/>
      <c r="H67" s="214"/>
      <c r="I67" s="215"/>
      <c r="J67" s="186"/>
      <c r="K67" s="182"/>
      <c r="L67" s="214"/>
      <c r="M67" s="215"/>
      <c r="N67" s="186"/>
      <c r="O67" s="182"/>
      <c r="P67" s="214"/>
      <c r="Q67" s="215"/>
      <c r="R67" s="186"/>
      <c r="S67" s="182"/>
      <c r="T67" s="225"/>
      <c r="U67" s="226"/>
      <c r="V67" s="186"/>
      <c r="W67" s="182"/>
      <c r="X67" s="225"/>
      <c r="Y67" s="226"/>
      <c r="Z67" s="186"/>
      <c r="AA67" s="182"/>
      <c r="AB67" s="225"/>
      <c r="AC67" s="226"/>
      <c r="AD67" s="186"/>
      <c r="AE67" s="182"/>
      <c r="AF67" s="225"/>
      <c r="AG67" s="226"/>
      <c r="AH67" s="186"/>
      <c r="AI67" s="182"/>
      <c r="AJ67" s="225"/>
      <c r="AK67" s="226"/>
      <c r="AL67" s="186"/>
      <c r="AM67" s="182"/>
      <c r="AN67" s="225"/>
      <c r="AO67" s="226"/>
      <c r="AP67" s="186"/>
      <c r="AQ67" s="182"/>
      <c r="AR67" s="214"/>
      <c r="AS67" s="215"/>
      <c r="AT67" s="186"/>
      <c r="AU67" s="182"/>
      <c r="AV67" s="214"/>
      <c r="AW67" s="215"/>
      <c r="AX67" s="186"/>
    </row>
    <row r="68" spans="3:50">
      <c r="C68" s="182"/>
      <c r="D68" s="214"/>
      <c r="E68" s="215"/>
      <c r="F68" s="184"/>
      <c r="G68" s="182"/>
      <c r="H68" s="214"/>
      <c r="I68" s="215"/>
      <c r="J68" s="186"/>
      <c r="K68" s="182"/>
      <c r="L68" s="214"/>
      <c r="M68" s="215"/>
      <c r="N68" s="186"/>
      <c r="O68" s="182"/>
      <c r="P68" s="214"/>
      <c r="Q68" s="215"/>
      <c r="R68" s="186"/>
      <c r="S68" s="182"/>
      <c r="T68" s="225"/>
      <c r="U68" s="226"/>
      <c r="V68" s="186"/>
      <c r="W68" s="182"/>
      <c r="X68" s="225"/>
      <c r="Y68" s="226"/>
      <c r="Z68" s="186"/>
      <c r="AA68" s="182"/>
      <c r="AB68" s="225"/>
      <c r="AC68" s="226"/>
      <c r="AD68" s="186"/>
      <c r="AE68" s="182"/>
      <c r="AF68" s="225"/>
      <c r="AG68" s="226"/>
      <c r="AH68" s="186"/>
      <c r="AI68" s="182"/>
      <c r="AJ68" s="225"/>
      <c r="AK68" s="226"/>
      <c r="AL68" s="186"/>
      <c r="AM68" s="182"/>
      <c r="AN68" s="225"/>
      <c r="AO68" s="226"/>
      <c r="AP68" s="186"/>
      <c r="AQ68" s="182"/>
      <c r="AR68" s="214"/>
      <c r="AS68" s="215"/>
      <c r="AT68" s="186"/>
      <c r="AU68" s="182"/>
      <c r="AV68" s="214"/>
      <c r="AW68" s="215"/>
      <c r="AX68" s="186"/>
    </row>
    <row r="69" spans="3:50">
      <c r="C69" s="182"/>
      <c r="D69" s="214"/>
      <c r="E69" s="215"/>
      <c r="F69" s="184"/>
      <c r="G69" s="182"/>
      <c r="H69" s="214"/>
      <c r="I69" s="215"/>
      <c r="J69" s="186"/>
      <c r="K69" s="182"/>
      <c r="L69" s="214"/>
      <c r="M69" s="215"/>
      <c r="N69" s="186"/>
      <c r="O69" s="182"/>
      <c r="P69" s="214"/>
      <c r="Q69" s="215"/>
      <c r="R69" s="186"/>
      <c r="S69" s="182"/>
      <c r="T69" s="225"/>
      <c r="U69" s="226"/>
      <c r="V69" s="186"/>
      <c r="W69" s="182"/>
      <c r="X69" s="225"/>
      <c r="Y69" s="226"/>
      <c r="Z69" s="186"/>
      <c r="AA69" s="182"/>
      <c r="AB69" s="225"/>
      <c r="AC69" s="226"/>
      <c r="AD69" s="186"/>
      <c r="AE69" s="182"/>
      <c r="AF69" s="225"/>
      <c r="AG69" s="226"/>
      <c r="AH69" s="186"/>
      <c r="AI69" s="182"/>
      <c r="AJ69" s="225"/>
      <c r="AK69" s="226"/>
      <c r="AL69" s="186"/>
      <c r="AM69" s="182"/>
      <c r="AN69" s="225"/>
      <c r="AO69" s="226"/>
      <c r="AP69" s="186"/>
      <c r="AQ69" s="182"/>
      <c r="AR69" s="214"/>
      <c r="AS69" s="215"/>
      <c r="AT69" s="186"/>
      <c r="AU69" s="182"/>
      <c r="AV69" s="214"/>
      <c r="AW69" s="215"/>
      <c r="AX69" s="186"/>
    </row>
    <row r="70" spans="3:50">
      <c r="C70" s="182"/>
      <c r="D70" s="214"/>
      <c r="E70" s="215"/>
      <c r="F70" s="184"/>
      <c r="G70" s="182"/>
      <c r="H70" s="214"/>
      <c r="I70" s="215"/>
      <c r="J70" s="186"/>
      <c r="K70" s="182"/>
      <c r="L70" s="214"/>
      <c r="M70" s="215"/>
      <c r="N70" s="186"/>
      <c r="O70" s="182"/>
      <c r="P70" s="214"/>
      <c r="Q70" s="215"/>
      <c r="R70" s="186"/>
      <c r="S70" s="182"/>
      <c r="T70" s="225"/>
      <c r="U70" s="226"/>
      <c r="V70" s="186"/>
      <c r="W70" s="182"/>
      <c r="X70" s="214" t="s">
        <v>432</v>
      </c>
      <c r="Y70" s="215"/>
      <c r="Z70" s="186">
        <f>3289.11+270.87</f>
        <v>3559.98</v>
      </c>
      <c r="AA70" s="182"/>
      <c r="AB70" s="225"/>
      <c r="AC70" s="226"/>
      <c r="AD70" s="186"/>
      <c r="AE70" s="182"/>
      <c r="AF70" s="225"/>
      <c r="AG70" s="226"/>
      <c r="AH70" s="186"/>
      <c r="AI70" s="182"/>
      <c r="AJ70" s="225"/>
      <c r="AK70" s="226"/>
      <c r="AL70" s="186"/>
      <c r="AM70" s="182"/>
      <c r="AN70" s="225"/>
      <c r="AO70" s="226"/>
      <c r="AP70" s="186"/>
      <c r="AQ70" s="182"/>
      <c r="AR70" s="214"/>
      <c r="AS70" s="215"/>
      <c r="AT70" s="186"/>
      <c r="AU70" s="182"/>
      <c r="AV70" s="214"/>
      <c r="AW70" s="215"/>
      <c r="AX70" s="186"/>
    </row>
    <row r="71" spans="3:50" ht="15.75" thickBot="1">
      <c r="C71" s="183"/>
      <c r="D71" s="216"/>
      <c r="E71" s="217"/>
      <c r="F71" s="185"/>
      <c r="G71" s="183"/>
      <c r="H71" s="216"/>
      <c r="I71" s="217"/>
      <c r="J71" s="187"/>
      <c r="K71" s="183"/>
      <c r="L71" s="216"/>
      <c r="M71" s="217"/>
      <c r="N71" s="187"/>
      <c r="O71" s="183"/>
      <c r="P71" s="216"/>
      <c r="Q71" s="217"/>
      <c r="R71" s="187"/>
      <c r="S71" s="183"/>
      <c r="T71" s="227"/>
      <c r="U71" s="228"/>
      <c r="V71" s="187"/>
      <c r="W71" s="183"/>
      <c r="X71" s="239" t="s">
        <v>433</v>
      </c>
      <c r="Y71" s="240"/>
      <c r="Z71" s="187">
        <f>Z70-1484.91-429.89</f>
        <v>1645.1799999999998</v>
      </c>
      <c r="AA71" s="183"/>
      <c r="AB71" s="227"/>
      <c r="AC71" s="228"/>
      <c r="AD71" s="187">
        <f>550-161.56</f>
        <v>388.44</v>
      </c>
      <c r="AE71" s="183"/>
      <c r="AF71" s="227"/>
      <c r="AG71" s="228"/>
      <c r="AH71" s="187"/>
      <c r="AI71" s="183"/>
      <c r="AJ71" s="227"/>
      <c r="AK71" s="228"/>
      <c r="AL71" s="187"/>
      <c r="AM71" s="183"/>
      <c r="AN71" s="227"/>
      <c r="AO71" s="228"/>
      <c r="AP71" s="187"/>
      <c r="AQ71" s="183"/>
      <c r="AR71" s="216"/>
      <c r="AS71" s="217"/>
      <c r="AT71" s="187"/>
      <c r="AU71" s="183"/>
      <c r="AV71" s="216"/>
      <c r="AW71" s="217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96" workbookViewId="0">
      <selection activeCell="A109" sqref="A10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2037.62</v>
      </c>
      <c r="L5" s="282"/>
      <c r="M5" s="1"/>
      <c r="N5" s="1"/>
      <c r="R5" s="3"/>
    </row>
    <row r="6" spans="1:22" ht="15.75">
      <c r="A6" s="202">
        <v>0</v>
      </c>
      <c r="B6" s="67">
        <v>399</v>
      </c>
      <c r="C6" s="37" t="s">
        <v>312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202">
        <f>(6*B7)-E7</f>
        <v>360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6798.75</v>
      </c>
      <c r="L7" s="272"/>
      <c r="M7" s="1"/>
      <c r="N7" s="1"/>
      <c r="R7" s="3"/>
    </row>
    <row r="8" spans="1:22" ht="15.75">
      <c r="A8" s="202">
        <v>0</v>
      </c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>B9</f>
        <v>0</v>
      </c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202">
        <v>0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202">
        <v>0</v>
      </c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400+185+90</f>
        <v>675</v>
      </c>
      <c r="L11" s="272"/>
      <c r="M11" s="1"/>
      <c r="N11" s="1"/>
      <c r="R11" s="3"/>
    </row>
    <row r="12" spans="1:22" ht="15.75">
      <c r="A12" s="202">
        <f>11*B12</f>
        <v>275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202">
        <f>(5*B13)-E13</f>
        <v>35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>
        <f t="shared" ref="A14:A15" si="0">12*B14</f>
        <v>0</v>
      </c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>
        <f t="shared" si="0"/>
        <v>0</v>
      </c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24613.260000000002</v>
      </c>
      <c r="L19" s="288"/>
      <c r="M19" s="1"/>
      <c r="N19" s="1"/>
      <c r="R19" s="3"/>
    </row>
    <row r="20" spans="1:18" ht="16.5" thickBot="1">
      <c r="A20" s="202">
        <f>SUM(A6:A15)</f>
        <v>670</v>
      </c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578</v>
      </c>
      <c r="K25" s="281">
        <v>300</v>
      </c>
      <c r="L25" s="282"/>
      <c r="M25" s="1"/>
      <c r="R25" s="3"/>
    </row>
    <row r="26" spans="1:18" ht="15.75">
      <c r="A26" s="202">
        <v>0</v>
      </c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71">
        <v>280.26</v>
      </c>
      <c r="L26" s="272"/>
      <c r="M26" s="1"/>
      <c r="R26" s="3"/>
    </row>
    <row r="27" spans="1:18" ht="15.75">
      <c r="A27" s="202">
        <f>B27-D27</f>
        <v>170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583</v>
      </c>
      <c r="K27" s="271">
        <v>586.85</v>
      </c>
      <c r="L27" s="272"/>
      <c r="M27" s="1">
        <f>550+108.71+28.14-100</f>
        <v>586.85</v>
      </c>
      <c r="R27" s="3"/>
    </row>
    <row r="28" spans="1:18" ht="15.75">
      <c r="A28" s="202">
        <f>B28*3-D28</f>
        <v>120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202">
        <f>B29-D29</f>
        <v>0.53999999999999915</v>
      </c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202">
        <f>593.56+B30-D30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884.09999999999991</v>
      </c>
      <c r="B40" s="69">
        <f>SUM(B26:B39)</f>
        <v>1128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202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592</v>
      </c>
      <c r="H47" s="1"/>
      <c r="M47" s="1"/>
      <c r="R47" s="3"/>
    </row>
    <row r="48" spans="1:18" ht="15.75">
      <c r="A48" s="1"/>
      <c r="B48" s="68"/>
      <c r="C48" s="34"/>
      <c r="D48" s="70">
        <v>38.07</v>
      </c>
      <c r="E48" s="71"/>
      <c r="F48" s="71"/>
      <c r="G48" s="34" t="s">
        <v>601</v>
      </c>
      <c r="H48" s="1"/>
      <c r="M48" s="1"/>
      <c r="R48" s="3"/>
    </row>
    <row r="49" spans="1:18" ht="15.75">
      <c r="A49" s="1"/>
      <c r="B49" s="68"/>
      <c r="C49" s="34"/>
      <c r="D49" s="70">
        <v>36.090000000000003</v>
      </c>
      <c r="E49" s="71"/>
      <c r="F49" s="71"/>
      <c r="G49" s="34" t="s">
        <v>606</v>
      </c>
      <c r="H49" s="1"/>
      <c r="M49" s="1"/>
      <c r="R49" s="3"/>
    </row>
    <row r="50" spans="1:18" ht="15.75">
      <c r="A50" s="1"/>
      <c r="B50" s="68"/>
      <c r="C50" s="34"/>
      <c r="D50" s="70">
        <v>38.81</v>
      </c>
      <c r="E50" s="71"/>
      <c r="F50" s="71"/>
      <c r="G50" s="34" t="s">
        <v>607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286.53999999999996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575</v>
      </c>
      <c r="H66" s="1"/>
      <c r="M66" s="1"/>
      <c r="R66" s="3"/>
    </row>
    <row r="67" spans="1:18" ht="15.75">
      <c r="A67" s="1"/>
      <c r="B67" s="68"/>
      <c r="C67" s="34"/>
      <c r="D67" s="70">
        <f>29.39</f>
        <v>29.39</v>
      </c>
      <c r="E67" s="71"/>
      <c r="F67" s="71">
        <v>1</v>
      </c>
      <c r="G67" s="91" t="s">
        <v>608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65.009999999999991</v>
      </c>
      <c r="E80" s="69">
        <f>SUM(E66:E79)</f>
        <v>0</v>
      </c>
      <c r="F80" s="69">
        <f>SUM(F66:F79)</f>
        <v>1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573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593</v>
      </c>
      <c r="H87" s="1"/>
      <c r="M87" s="1"/>
      <c r="R87" s="3"/>
    </row>
    <row r="88" spans="1:18" ht="15.75">
      <c r="A88" s="1"/>
      <c r="B88" s="68"/>
      <c r="C88" s="34"/>
      <c r="D88" s="70">
        <v>2.4</v>
      </c>
      <c r="E88" s="71"/>
      <c r="F88" s="71"/>
      <c r="G88" s="34" t="s">
        <v>603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>
        <v>4.8</v>
      </c>
      <c r="G89" s="34" t="s">
        <v>604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56.37</v>
      </c>
      <c r="E100" s="69">
        <f>SUM(E86:E99)</f>
        <v>2</v>
      </c>
      <c r="F100" s="69">
        <f>SUM(F86:F99)</f>
        <v>4.8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3">
        <v>0</v>
      </c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203">
        <v>0</v>
      </c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203">
        <v>3715.44</v>
      </c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SUM(A106:A108)</f>
        <v>3715.44</v>
      </c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579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>
        <v>33.799999999999997</v>
      </c>
      <c r="E186" s="71"/>
      <c r="F186" s="71"/>
      <c r="G186" s="34" t="s">
        <v>576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>
        <v>38.549999999999997</v>
      </c>
      <c r="F286" s="71"/>
      <c r="G286" s="34" t="s">
        <v>602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38.549999999999997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>
        <v>10.81</v>
      </c>
      <c r="E306" s="71"/>
      <c r="F306" s="71"/>
      <c r="G306" s="34" t="s">
        <v>574</v>
      </c>
    </row>
    <row r="307" spans="2:7">
      <c r="B307" s="119"/>
      <c r="C307" s="79"/>
      <c r="D307" s="70">
        <v>49.56</v>
      </c>
      <c r="E307" s="71"/>
      <c r="F307" s="71"/>
      <c r="G307" s="34" t="s">
        <v>587</v>
      </c>
    </row>
    <row r="308" spans="2:7">
      <c r="B308" s="119"/>
      <c r="C308" s="79"/>
      <c r="D308" s="70">
        <v>9.1</v>
      </c>
      <c r="E308" s="71"/>
      <c r="F308" s="71"/>
      <c r="G308" s="34" t="s">
        <v>610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69.47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>
        <v>348</v>
      </c>
      <c r="E326" s="71"/>
      <c r="F326" s="71"/>
      <c r="G326" s="34" t="s">
        <v>609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348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595</v>
      </c>
    </row>
    <row r="347" spans="2:7">
      <c r="B347" s="68">
        <v>30</v>
      </c>
      <c r="C347" s="34" t="s">
        <v>561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4+4.5+2.8</f>
        <v>11.3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594</v>
      </c>
    </row>
    <row r="368" spans="2:7">
      <c r="B368" s="68"/>
      <c r="C368" s="34"/>
      <c r="D368" s="70">
        <v>5.78</v>
      </c>
      <c r="E368" s="71"/>
      <c r="F368" s="71"/>
      <c r="G368" s="34" t="s">
        <v>599</v>
      </c>
    </row>
    <row r="369" spans="2:7">
      <c r="B369" s="68"/>
      <c r="C369" s="34"/>
      <c r="D369" s="70">
        <v>15.01</v>
      </c>
      <c r="E369" s="71"/>
      <c r="F369" s="71"/>
      <c r="G369" s="34" t="s">
        <v>605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26.79</v>
      </c>
      <c r="E380" s="69">
        <f>SUM(E366:E379)</f>
        <v>0</v>
      </c>
      <c r="F380" s="69">
        <f>SUM(F366:F379)</f>
        <v>11.3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8">
      <c r="A466" s="203">
        <v>271</v>
      </c>
      <c r="B466" s="68">
        <v>56</v>
      </c>
      <c r="C466" s="34" t="s">
        <v>487</v>
      </c>
      <c r="D466" s="70"/>
      <c r="E466" s="71"/>
      <c r="F466" s="71">
        <v>100</v>
      </c>
      <c r="G466" s="34" t="s">
        <v>584</v>
      </c>
      <c r="H466" s="175" t="s">
        <v>585</v>
      </c>
    </row>
    <row r="467" spans="1:8">
      <c r="A467" s="203">
        <v>0</v>
      </c>
      <c r="B467" s="68"/>
      <c r="C467" s="34"/>
      <c r="D467" s="70"/>
      <c r="E467" s="71"/>
      <c r="F467" s="71"/>
      <c r="G467" s="34"/>
    </row>
    <row r="468" spans="1:8">
      <c r="A468" s="203">
        <v>0</v>
      </c>
      <c r="B468" s="68"/>
      <c r="C468" s="34"/>
      <c r="D468" s="70"/>
      <c r="E468" s="71"/>
      <c r="F468" s="71"/>
      <c r="G468" s="34"/>
    </row>
    <row r="469" spans="1:8">
      <c r="B469" s="68"/>
      <c r="C469" s="34"/>
      <c r="D469" s="70"/>
      <c r="E469" s="71"/>
      <c r="F469" s="71"/>
      <c r="G469" s="34"/>
    </row>
    <row r="470" spans="1:8">
      <c r="B470" s="68"/>
      <c r="C470" s="34"/>
      <c r="D470" s="70"/>
      <c r="E470" s="71"/>
      <c r="F470" s="71"/>
      <c r="G470" s="34"/>
    </row>
    <row r="471" spans="1:8">
      <c r="B471" s="68"/>
      <c r="C471" s="34"/>
      <c r="D471" s="70"/>
      <c r="E471" s="71"/>
      <c r="F471" s="71"/>
      <c r="G471" s="34"/>
    </row>
    <row r="472" spans="1:8">
      <c r="B472" s="68"/>
      <c r="C472" s="34"/>
      <c r="D472" s="70"/>
      <c r="E472" s="71"/>
      <c r="F472" s="71"/>
      <c r="G472" s="34"/>
    </row>
    <row r="473" spans="1:8">
      <c r="B473" s="68"/>
      <c r="C473" s="34"/>
      <c r="D473" s="70"/>
      <c r="E473" s="71"/>
      <c r="F473" s="71"/>
      <c r="G473" s="34"/>
    </row>
    <row r="474" spans="1:8">
      <c r="B474" s="68"/>
      <c r="C474" s="34"/>
      <c r="D474" s="70"/>
      <c r="E474" s="71"/>
      <c r="F474" s="71"/>
      <c r="G474" s="34"/>
    </row>
    <row r="475" spans="1:8">
      <c r="B475" s="68"/>
      <c r="C475" s="34"/>
      <c r="D475" s="70"/>
      <c r="E475" s="71"/>
      <c r="F475" s="71"/>
      <c r="G475" s="34"/>
    </row>
    <row r="476" spans="1:8">
      <c r="B476" s="68"/>
      <c r="C476" s="34"/>
      <c r="D476" s="70"/>
      <c r="E476" s="71"/>
      <c r="F476" s="71"/>
      <c r="G476" s="34"/>
    </row>
    <row r="477" spans="1:8">
      <c r="B477" s="68"/>
      <c r="C477" s="34"/>
      <c r="D477" s="70"/>
      <c r="E477" s="71"/>
      <c r="F477" s="71"/>
      <c r="G477" s="34"/>
    </row>
    <row r="478" spans="1:8">
      <c r="B478" s="68"/>
      <c r="C478" s="34"/>
      <c r="D478" s="70"/>
      <c r="E478" s="71"/>
      <c r="F478" s="71"/>
      <c r="G478" s="34"/>
    </row>
    <row r="479" spans="1:8" ht="15.75" thickBot="1">
      <c r="B479" s="69"/>
      <c r="C479" s="35"/>
      <c r="D479" s="69"/>
      <c r="E479" s="72"/>
      <c r="F479" s="72"/>
      <c r="G479" s="35"/>
    </row>
    <row r="480" spans="1:8" ht="15.75" thickBot="1">
      <c r="A480" s="203">
        <f>SUM(A466:A468)</f>
        <v>271</v>
      </c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529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workbookViewId="0">
      <selection activeCell="A108" sqref="A108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202">
        <f>'09'!A6+B6-E6</f>
        <v>399.59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202">
        <f>'09'!A7+B7-E7</f>
        <v>420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202">
        <f>'09'!A8+B8-E8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>'09'!A9+B9-E9</f>
        <v>28.14</v>
      </c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202">
        <f>'09'!A10+B10-E10</f>
        <v>12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202">
        <f>'09'!A11+B11-E11</f>
        <v>30.41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202">
        <f>'09'!A12+B12-E12</f>
        <v>300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202">
        <f>'09'!A13+B13-E13</f>
        <v>42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202">
        <f>SUM(A6:A15)</f>
        <v>1232.1399999999999</v>
      </c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202">
        <f>'09'!A26+B26-D26</f>
        <v>900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202">
        <f>'09'!A27+B27-D27</f>
        <v>340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202">
        <f>'09'!A28+B28-D28</f>
        <v>160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202">
        <f>'09'!A29+B29-D29</f>
        <v>18.54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202">
        <f>'09'!A30+B30-D30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2012.1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'09'!A106+B106-D106</f>
        <v>260</v>
      </c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'09'!A107+B107-D107</f>
        <v>71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'09'!A108+B108-D108</f>
        <v>3784.44</v>
      </c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SUM(A106:A108)</f>
        <v>4115.4400000000005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'09'!A466+B466-E466</f>
        <v>316</v>
      </c>
      <c r="B466" s="68">
        <v>45</v>
      </c>
      <c r="C466" s="34" t="s">
        <v>487</v>
      </c>
      <c r="D466" s="70"/>
      <c r="E466" s="71"/>
      <c r="F466" s="71"/>
      <c r="G466" s="34"/>
    </row>
    <row r="467" spans="1:7">
      <c r="A467" s="203">
        <v>5</v>
      </c>
      <c r="B467" s="68">
        <v>5</v>
      </c>
      <c r="C467" s="34" t="s">
        <v>612</v>
      </c>
      <c r="D467" s="70"/>
      <c r="E467" s="71"/>
      <c r="F467" s="71"/>
      <c r="G467" s="34"/>
    </row>
    <row r="468" spans="1:7">
      <c r="A468" s="203">
        <v>5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326</v>
      </c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97" workbookViewId="0">
      <selection activeCell="B102" sqref="B102:G10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202">
        <f>'10'!A6+B6-E6</f>
        <v>799.18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202">
        <f>'10'!A7+B7-E7</f>
        <v>480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202">
        <f>'10'!A8+B8-E8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>'10'!A9+B9-E9</f>
        <v>28.14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202">
        <f>'10'!A10+B10-E10</f>
        <v>24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202">
        <f>'10'!A11+B11-E11</f>
        <v>60.82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202">
        <f>'10'!A12+B12-E12</f>
        <v>325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202">
        <f>'10'!A13+B13-E13</f>
        <v>49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202">
        <f>SUM(A6:A15)</f>
        <v>1766.1399999999999</v>
      </c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202">
        <f>'10'!A26+B26-D26</f>
        <v>1800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202">
        <f>'10'!A27+B27-D27</f>
        <v>510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202">
        <f>'10'!A28+B28-D28</f>
        <v>200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202">
        <f>'10'!A29+B29-D29</f>
        <v>36.54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202">
        <f>'10'!A30+B30-D30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3140.1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'10'!A106+B106-D106</f>
        <v>520</v>
      </c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'10'!A107+B107-D107</f>
        <v>142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'10'!A108+B108-D108</f>
        <v>3853.44</v>
      </c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SUM(A106:A108)</f>
        <v>4515.4400000000005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>
        <v>15</v>
      </c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115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'10'!A466+B466-E466</f>
        <v>356</v>
      </c>
      <c r="B466" s="68">
        <v>40</v>
      </c>
      <c r="C466" s="34" t="s">
        <v>487</v>
      </c>
      <c r="D466" s="70"/>
      <c r="E466" s="71"/>
      <c r="F466" s="71"/>
      <c r="G466" s="34"/>
    </row>
    <row r="467" spans="1:7">
      <c r="A467" s="203">
        <f>'10'!A467+'11'!B467</f>
        <v>10</v>
      </c>
      <c r="B467" s="68">
        <v>5</v>
      </c>
      <c r="C467" s="34" t="s">
        <v>612</v>
      </c>
      <c r="D467" s="70"/>
      <c r="E467" s="71"/>
      <c r="F467" s="71"/>
      <c r="G467" s="34"/>
    </row>
    <row r="468" spans="1:7">
      <c r="A468" s="203">
        <f>'10'!A468+'11'!B468</f>
        <v>10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376</v>
      </c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13551.890000000001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196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534</v>
      </c>
      <c r="B3" s="204">
        <f>Historico!I24</f>
        <v>43556</v>
      </c>
      <c r="D3" s="128"/>
      <c r="E3" s="129"/>
    </row>
    <row r="4" spans="1:13" ht="12.75" customHeight="1">
      <c r="A4" t="s">
        <v>533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(12*(YEAR(Historico!I82)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600</v>
      </c>
      <c r="E8" s="134">
        <f>(B6+0.5)/12</f>
        <v>2.7583333333333331E-2</v>
      </c>
      <c r="J8" t="s">
        <v>145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146</v>
      </c>
      <c r="E9" s="134">
        <f>1+(E8/100)</f>
        <v>1.0002758333333333</v>
      </c>
      <c r="J9" t="s">
        <v>147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148</v>
      </c>
      <c r="E10" s="134">
        <f>E9^-B5</f>
        <v>0.90848512555365957</v>
      </c>
      <c r="J10" t="s">
        <v>149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150</v>
      </c>
      <c r="B11" s="126"/>
      <c r="D11" t="s">
        <v>151</v>
      </c>
      <c r="E11" s="134">
        <f>100*(1-E10)</f>
        <v>9.1514874446340428</v>
      </c>
      <c r="J11" t="s">
        <v>152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153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154</v>
      </c>
      <c r="B14" s="139">
        <f>B4*(E8/100)</f>
        <v>36.568044225000001</v>
      </c>
      <c r="E14" s="126"/>
    </row>
    <row r="15" spans="1:13" ht="12.75" customHeight="1">
      <c r="A15" t="s">
        <v>155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156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157</v>
      </c>
      <c r="E19" s="140">
        <f>E20/G45</f>
        <v>-0.16900000000000001</v>
      </c>
      <c r="F19" t="s">
        <v>158</v>
      </c>
    </row>
    <row r="20" spans="1:9" ht="12.75" customHeight="1">
      <c r="B20" s="126"/>
      <c r="D20" t="s">
        <v>159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160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161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3" sqref="E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191</v>
      </c>
      <c r="C2" s="145" t="s">
        <v>192</v>
      </c>
      <c r="D2" s="147" t="s">
        <v>193</v>
      </c>
    </row>
    <row r="3" spans="1:5">
      <c r="B3" s="163">
        <v>43074</v>
      </c>
      <c r="C3" s="154">
        <v>0</v>
      </c>
      <c r="D3" s="150">
        <v>24736.65</v>
      </c>
      <c r="E3" t="s">
        <v>194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194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194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194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194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194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194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194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194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194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162</v>
      </c>
      <c r="B1" s="205" t="s">
        <v>589</v>
      </c>
      <c r="C1" s="146" t="s">
        <v>163</v>
      </c>
      <c r="D1" s="147" t="s">
        <v>164</v>
      </c>
      <c r="E1" s="147" t="s">
        <v>165</v>
      </c>
      <c r="I1" s="148" t="s">
        <v>166</v>
      </c>
      <c r="J1" s="145" t="s">
        <v>167</v>
      </c>
      <c r="K1" s="147" t="s">
        <v>168</v>
      </c>
      <c r="L1" s="147" t="s">
        <v>169</v>
      </c>
      <c r="M1" s="147" t="s">
        <v>165</v>
      </c>
    </row>
    <row r="2" spans="1:13" ht="12.75" customHeight="1">
      <c r="A2" s="210">
        <v>39479</v>
      </c>
      <c r="B2" s="206"/>
      <c r="C2" s="149" t="s">
        <v>170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171</v>
      </c>
      <c r="G85" s="152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174</v>
      </c>
    </row>
    <row r="21" spans="1:9">
      <c r="B21" t="s">
        <v>175</v>
      </c>
      <c r="C21" s="173"/>
      <c r="F21" t="s">
        <v>176</v>
      </c>
    </row>
    <row r="22" spans="1:9">
      <c r="B22" t="s">
        <v>177</v>
      </c>
      <c r="C22" s="173"/>
      <c r="F22" t="s">
        <v>178</v>
      </c>
    </row>
    <row r="23" spans="1:9">
      <c r="B23" t="s">
        <v>179</v>
      </c>
      <c r="C23" t="s">
        <v>412</v>
      </c>
      <c r="I23" s="128"/>
    </row>
    <row r="26" spans="1:9">
      <c r="B26" s="128" t="s">
        <v>19</v>
      </c>
    </row>
    <row r="27" spans="1:9">
      <c r="B27" t="s">
        <v>180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181</v>
      </c>
      <c r="I33" s="174" t="s">
        <v>188</v>
      </c>
    </row>
    <row r="34" spans="1:9">
      <c r="B34" s="175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352</v>
      </c>
      <c r="B45" t="s">
        <v>74</v>
      </c>
    </row>
    <row r="47" spans="1:9">
      <c r="A47" t="s">
        <v>510</v>
      </c>
      <c r="B47" t="s">
        <v>414</v>
      </c>
    </row>
    <row r="48" spans="1:9">
      <c r="A48" t="s">
        <v>413</v>
      </c>
      <c r="B48" t="s">
        <v>414</v>
      </c>
    </row>
    <row r="49" spans="1:2">
      <c r="A49" t="s">
        <v>59</v>
      </c>
      <c r="B49" t="s">
        <v>414</v>
      </c>
    </row>
    <row r="50" spans="1:2">
      <c r="A50" t="s">
        <v>416</v>
      </c>
      <c r="B50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1462.46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423.18</v>
      </c>
      <c r="L6" s="272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7102.9</v>
      </c>
      <c r="L7" s="27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1250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1">
        <v>100.34</v>
      </c>
      <c r="L9" s="27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1">
        <f>5007.8</f>
        <v>5007.8</v>
      </c>
      <c r="L10" s="27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1">
        <v>1566.09</v>
      </c>
      <c r="L11" s="272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76</v>
      </c>
      <c r="J12" s="36" t="s">
        <v>115</v>
      </c>
      <c r="K12" s="271">
        <v>1800</v>
      </c>
      <c r="L12" s="272"/>
      <c r="N12" s="1"/>
      <c r="R12" s="3"/>
    </row>
    <row r="13" spans="1:22" ht="15.75">
      <c r="A13" s="1"/>
      <c r="B13" s="68">
        <v>55</v>
      </c>
      <c r="C13" s="34" t="s">
        <v>196</v>
      </c>
      <c r="D13" s="70">
        <v>50</v>
      </c>
      <c r="E13" s="71"/>
      <c r="F13" s="71"/>
      <c r="G13" s="34" t="s">
        <v>218</v>
      </c>
      <c r="H13" s="1"/>
      <c r="I13" s="75" t="s">
        <v>93</v>
      </c>
      <c r="J13" s="36" t="s">
        <v>94</v>
      </c>
      <c r="K13" s="271">
        <f>75+20+95</f>
        <v>190</v>
      </c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SUM(K5:K18)-K11</f>
        <v>17336.68</v>
      </c>
      <c r="L19" s="28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210</v>
      </c>
      <c r="K25" s="281">
        <v>1.01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211</v>
      </c>
      <c r="K26" s="271">
        <v>0.04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213</v>
      </c>
      <c r="K27" s="271">
        <v>2831.41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216</v>
      </c>
      <c r="K28" s="271">
        <v>72.66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224</v>
      </c>
      <c r="K29" s="271">
        <v>93.93</v>
      </c>
      <c r="L29" s="272"/>
      <c r="M29" s="1"/>
      <c r="R29" s="3"/>
    </row>
    <row r="30" spans="1:18" ht="15.75">
      <c r="A30" s="1"/>
      <c r="B30" s="68">
        <v>229.4</v>
      </c>
      <c r="C30" s="79" t="s">
        <v>257</v>
      </c>
      <c r="D30" s="70"/>
      <c r="E30" s="71"/>
      <c r="F30" s="71"/>
      <c r="G30" s="34"/>
      <c r="H30" s="1"/>
      <c r="I30" s="190">
        <v>5</v>
      </c>
      <c r="J30" s="36" t="s">
        <v>242</v>
      </c>
      <c r="K30" s="271">
        <v>700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243</v>
      </c>
      <c r="K31" s="271">
        <v>50</v>
      </c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71">
        <v>229.4</v>
      </c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262</v>
      </c>
      <c r="K33" s="271">
        <v>0.05</v>
      </c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263</v>
      </c>
      <c r="K34" s="271">
        <v>1566.27</v>
      </c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276</v>
      </c>
      <c r="K35" s="271">
        <v>449</v>
      </c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277</v>
      </c>
      <c r="K36" s="271">
        <v>314.12</v>
      </c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223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232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242</v>
      </c>
      <c r="D167" s="70"/>
      <c r="E167" s="71"/>
      <c r="F167" s="71">
        <f>78</f>
        <v>78</v>
      </c>
      <c r="G167" s="34" t="s">
        <v>245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269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236</v>
      </c>
    </row>
    <row r="192" spans="1:22">
      <c r="B192" s="68"/>
      <c r="C192" s="34"/>
      <c r="D192" s="70"/>
      <c r="E192" s="71"/>
      <c r="F192" s="71">
        <v>5</v>
      </c>
      <c r="G192" s="34" t="s">
        <v>247</v>
      </c>
    </row>
    <row r="193" spans="2:7">
      <c r="B193" s="68"/>
      <c r="C193" s="34"/>
      <c r="D193" s="70">
        <v>51.9</v>
      </c>
      <c r="E193" s="71"/>
      <c r="F193" s="71"/>
      <c r="G193" s="34" t="s">
        <v>256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239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219</v>
      </c>
    </row>
    <row r="287" spans="2:8">
      <c r="B287" s="68">
        <v>345</v>
      </c>
      <c r="C287" s="34" t="s">
        <v>215</v>
      </c>
      <c r="D287" s="70">
        <f>116.33+27.98+20</f>
        <v>164.31</v>
      </c>
      <c r="E287" s="71">
        <f>38+43.59</f>
        <v>81.59</v>
      </c>
      <c r="F287" s="71"/>
      <c r="G287" s="34" t="s">
        <v>221</v>
      </c>
      <c r="H287" s="178">
        <f>300-(D287+E287+F287)</f>
        <v>54.099999999999994</v>
      </c>
    </row>
    <row r="288" spans="2:8">
      <c r="B288" s="68">
        <v>449</v>
      </c>
      <c r="C288" s="34" t="s">
        <v>275</v>
      </c>
      <c r="D288" s="70">
        <f>8.98</f>
        <v>8.98</v>
      </c>
      <c r="E288" s="71"/>
      <c r="F288" s="71"/>
      <c r="G288" s="34" t="s">
        <v>222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241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249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250</v>
      </c>
    </row>
    <row r="296" spans="2:8">
      <c r="B296" s="68"/>
      <c r="C296" s="34"/>
      <c r="D296" s="70">
        <v>449</v>
      </c>
      <c r="E296" s="71"/>
      <c r="F296" s="71"/>
      <c r="G296" s="34" t="s">
        <v>255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258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8" ht="15" customHeight="1" thickBot="1">
      <c r="B303" s="276"/>
      <c r="C303" s="277"/>
      <c r="D303" s="277"/>
      <c r="E303" s="277"/>
      <c r="F303" s="277"/>
      <c r="G303" s="278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217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248</v>
      </c>
    </row>
    <row r="347" spans="2:7">
      <c r="B347" s="68"/>
      <c r="C347" s="34"/>
      <c r="D347" s="70">
        <v>266.13</v>
      </c>
      <c r="E347" s="71"/>
      <c r="F347" s="71"/>
      <c r="G347" s="34" t="s">
        <v>274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209</v>
      </c>
      <c r="D406" s="70">
        <f>30.78+12.1</f>
        <v>42.88</v>
      </c>
      <c r="E406" s="71"/>
      <c r="F406" s="71"/>
      <c r="G406" s="34" t="s">
        <v>238</v>
      </c>
    </row>
    <row r="407" spans="2:7">
      <c r="B407" s="68">
        <f>2831.41-345</f>
        <v>2486.41</v>
      </c>
      <c r="C407" s="34" t="s">
        <v>214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74"/>
      <c r="D422" s="274"/>
      <c r="E422" s="274"/>
      <c r="F422" s="274"/>
      <c r="G422" s="275"/>
    </row>
    <row r="423" spans="2:7" ht="15" customHeight="1" thickBot="1">
      <c r="B423" s="276"/>
      <c r="C423" s="277"/>
      <c r="D423" s="277"/>
      <c r="E423" s="277"/>
      <c r="F423" s="277"/>
      <c r="G423" s="278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74"/>
      <c r="D442" s="274"/>
      <c r="E442" s="274"/>
      <c r="F442" s="274"/>
      <c r="G442" s="275"/>
    </row>
    <row r="443" spans="2:7" ht="15" customHeight="1" thickBot="1">
      <c r="B443" s="276"/>
      <c r="C443" s="277"/>
      <c r="D443" s="277"/>
      <c r="E443" s="277"/>
      <c r="F443" s="277"/>
      <c r="G443" s="278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74"/>
      <c r="D462" s="274"/>
      <c r="E462" s="274"/>
      <c r="F462" s="274"/>
      <c r="G462" s="275"/>
    </row>
    <row r="463" spans="2:7" ht="15" customHeight="1" thickBot="1">
      <c r="B463" s="276"/>
      <c r="C463" s="277"/>
      <c r="D463" s="277"/>
      <c r="E463" s="277"/>
      <c r="F463" s="277"/>
      <c r="G463" s="278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74"/>
      <c r="D482" s="274"/>
      <c r="E482" s="274"/>
      <c r="F482" s="274"/>
      <c r="G482" s="275"/>
    </row>
    <row r="483" spans="2:7" ht="15" customHeight="1" thickBot="1">
      <c r="B483" s="276"/>
      <c r="C483" s="277"/>
      <c r="D483" s="277"/>
      <c r="E483" s="277"/>
      <c r="F483" s="277"/>
      <c r="G483" s="278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74"/>
      <c r="D502" s="274"/>
      <c r="E502" s="274"/>
      <c r="F502" s="274"/>
      <c r="G502" s="275"/>
    </row>
    <row r="503" spans="2:7" ht="15" customHeight="1" thickBot="1">
      <c r="B503" s="276"/>
      <c r="C503" s="277"/>
      <c r="D503" s="277"/>
      <c r="E503" s="277"/>
      <c r="F503" s="277"/>
      <c r="G503" s="278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1295.79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379.61</v>
      </c>
      <c r="L6" s="272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7271.78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1">
        <v>9090.56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69.22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290+20</f>
        <v>310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/>
      <c r="J12" s="36"/>
      <c r="K12" s="271"/>
      <c r="L12" s="272"/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20217</v>
      </c>
      <c r="L19" s="28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279</v>
      </c>
      <c r="K25" s="271">
        <v>176.46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280</v>
      </c>
      <c r="K26" s="271">
        <v>47.52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224</v>
      </c>
      <c r="K27" s="271">
        <v>93.93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310</v>
      </c>
      <c r="K28" s="271">
        <v>447.43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313</v>
      </c>
      <c r="K29" s="271">
        <v>1638.24</v>
      </c>
      <c r="L29" s="272"/>
      <c r="M29" s="1"/>
      <c r="R29" s="3"/>
    </row>
    <row r="30" spans="1:18" ht="15.75">
      <c r="A30" s="1"/>
      <c r="B30" s="68">
        <v>47.52</v>
      </c>
      <c r="C30" s="79" t="s">
        <v>281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282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283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208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302</v>
      </c>
      <c r="H70" s="1"/>
      <c r="M70" s="1"/>
      <c r="R70" s="3"/>
    </row>
    <row r="71" spans="1:18" ht="15.75">
      <c r="A71" s="1"/>
      <c r="B71" s="68">
        <v>51</v>
      </c>
      <c r="C71" s="34" t="s">
        <v>307</v>
      </c>
      <c r="D71" s="70">
        <v>26</v>
      </c>
      <c r="E71" s="71"/>
      <c r="F71" s="71">
        <v>25</v>
      </c>
      <c r="G71" s="34" t="s">
        <v>306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292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309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289</v>
      </c>
    </row>
    <row r="287" spans="2:8">
      <c r="B287" s="68"/>
      <c r="C287" s="34"/>
      <c r="D287" s="70">
        <v>54.1</v>
      </c>
      <c r="E287" s="71"/>
      <c r="F287" s="71"/>
      <c r="G287" s="34" t="s">
        <v>290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241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297</v>
      </c>
    </row>
    <row r="311" spans="2:7">
      <c r="B311" s="68"/>
      <c r="C311" s="34"/>
      <c r="D311" s="70">
        <v>40</v>
      </c>
      <c r="E311" s="71"/>
      <c r="F311" s="71"/>
      <c r="G311" s="34" t="s">
        <v>299</v>
      </c>
    </row>
    <row r="312" spans="2:7">
      <c r="B312" s="68"/>
      <c r="C312" s="34"/>
      <c r="D312" s="70">
        <v>57</v>
      </c>
      <c r="E312" s="71"/>
      <c r="F312" s="71"/>
      <c r="G312" s="34" t="s">
        <v>301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311</v>
      </c>
      <c r="D406" s="70">
        <v>56.01</v>
      </c>
      <c r="E406" s="71"/>
      <c r="F406" s="71"/>
      <c r="G406" s="34" t="s">
        <v>303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1852.76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335.99</v>
      </c>
      <c r="L6" s="272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1">
        <v>7882.01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3390.56</v>
      </c>
      <c r="L8" s="27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30+40+170</f>
        <v>240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 t="s">
        <v>308</v>
      </c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>
        <v>14.98</v>
      </c>
      <c r="F13" s="71"/>
      <c r="G13" s="34" t="s">
        <v>316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21214.57</v>
      </c>
      <c r="L19" s="28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1">
        <v>259.36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325</v>
      </c>
      <c r="K26" s="271">
        <v>176.46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322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314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289</v>
      </c>
    </row>
    <row r="189" spans="1:22">
      <c r="B189" s="68"/>
      <c r="C189" s="34"/>
      <c r="D189" s="70"/>
      <c r="E189" s="71"/>
      <c r="F189" s="71">
        <v>20</v>
      </c>
      <c r="G189" s="34" t="s">
        <v>332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317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289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319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1117.3699999999999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292.37</v>
      </c>
      <c r="L6" s="272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1">
        <f>6685.64-16.84-6.88</f>
        <v>6661.92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90+30+15</f>
        <v>135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>
        <v>82.95</v>
      </c>
      <c r="E13" s="71"/>
      <c r="F13" s="71"/>
      <c r="G13" s="34" t="s">
        <v>353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20719.909999999996</v>
      </c>
      <c r="L19" s="28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1">
        <v>249.22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71">
        <v>197.22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356</v>
      </c>
      <c r="K27" s="271">
        <v>2290.23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357</v>
      </c>
      <c r="K28" s="271">
        <v>80.099999999999994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358</v>
      </c>
      <c r="K29" s="271">
        <v>0.03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277</v>
      </c>
      <c r="K30" s="271">
        <v>325.64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258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302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339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343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7.99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309</v>
      </c>
      <c r="D167" s="70"/>
      <c r="E167" s="71">
        <f>80.1</f>
        <v>80.099999999999994</v>
      </c>
      <c r="F167" s="71"/>
      <c r="G167" s="34" t="s">
        <v>269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344</v>
      </c>
    </row>
    <row r="208" spans="2:7">
      <c r="B208" s="68"/>
      <c r="C208" s="34"/>
      <c r="D208" s="70">
        <v>7.04</v>
      </c>
      <c r="E208" s="71"/>
      <c r="F208" s="71"/>
      <c r="G208" s="34" t="s">
        <v>346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6</v>
      </c>
      <c r="E250" s="71"/>
      <c r="F250" s="71"/>
      <c r="G250" s="34" t="s">
        <v>341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334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340</v>
      </c>
    </row>
    <row r="288" spans="2:7">
      <c r="B288" s="68"/>
      <c r="C288" s="34"/>
      <c r="D288" s="70">
        <v>22.15</v>
      </c>
      <c r="E288" s="71"/>
      <c r="F288" s="71"/>
      <c r="G288" s="34" t="s">
        <v>345</v>
      </c>
    </row>
    <row r="289" spans="2:7">
      <c r="B289" s="68"/>
      <c r="C289" s="34"/>
      <c r="D289" s="70">
        <v>198</v>
      </c>
      <c r="E289" s="71"/>
      <c r="F289" s="71"/>
      <c r="G289" s="34" t="s">
        <v>349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358</v>
      </c>
      <c r="D406" s="70"/>
      <c r="E406" s="71">
        <v>20</v>
      </c>
      <c r="F406" s="71"/>
      <c r="G406" s="34" t="s">
        <v>342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359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1091.18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248.78</v>
      </c>
      <c r="L6" s="272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1">
        <v>8736.65</v>
      </c>
      <c r="L7" s="27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40+276</f>
        <v>316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f>43.62</f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22905.86</v>
      </c>
      <c r="L19" s="28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362</v>
      </c>
      <c r="K25" s="281">
        <v>38.64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277</v>
      </c>
      <c r="K26" s="271">
        <v>249.22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337</v>
      </c>
      <c r="K27" s="271">
        <v>155.69999999999999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366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368</v>
      </c>
      <c r="D68" s="70">
        <f>50+100</f>
        <v>150</v>
      </c>
      <c r="E68" s="71"/>
      <c r="F68" s="71">
        <f>35+38</f>
        <v>73</v>
      </c>
      <c r="G68" s="34" t="s">
        <v>368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369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378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339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8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390</v>
      </c>
    </row>
    <row r="189" spans="1:22">
      <c r="B189" s="68"/>
      <c r="C189" s="34"/>
      <c r="D189" s="70">
        <v>18</v>
      </c>
      <c r="E189" s="71"/>
      <c r="F189" s="71"/>
      <c r="G189" s="34" t="s">
        <v>391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3.99</v>
      </c>
      <c r="E250" s="71"/>
      <c r="F250" s="71"/>
      <c r="G250" s="34" t="s">
        <v>387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365</v>
      </c>
    </row>
    <row r="288" spans="2:7">
      <c r="B288" s="68"/>
      <c r="C288" s="34"/>
      <c r="D288" s="70"/>
      <c r="E288" s="71">
        <v>66.59</v>
      </c>
      <c r="F288" s="71"/>
      <c r="G288" s="34" t="s">
        <v>374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383</v>
      </c>
    </row>
    <row r="369" spans="2:7">
      <c r="B369" s="68"/>
      <c r="C369" s="34"/>
      <c r="D369" s="70"/>
      <c r="E369" s="71">
        <v>6.48</v>
      </c>
      <c r="F369" s="71"/>
      <c r="G369" s="34" t="s">
        <v>392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370</v>
      </c>
      <c r="D426" s="70"/>
      <c r="E426" s="71"/>
      <c r="F426" s="71"/>
      <c r="G426" s="34"/>
    </row>
    <row r="427" spans="2:7">
      <c r="B427" s="68">
        <v>-27.52</v>
      </c>
      <c r="C427" s="34" t="s">
        <v>393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2311.09</v>
      </c>
      <c r="L5" s="282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205.16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6999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465+90</f>
        <v>555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23622.14</v>
      </c>
      <c r="L19" s="28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337</v>
      </c>
      <c r="K25" s="281">
        <v>197.22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427</v>
      </c>
      <c r="K26" s="271">
        <v>200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398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399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449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439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429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419</v>
      </c>
    </row>
    <row r="207" spans="2:7">
      <c r="B207" s="68"/>
      <c r="C207" s="34"/>
      <c r="D207" s="70">
        <v>9</v>
      </c>
      <c r="E207" s="71"/>
      <c r="F207" s="71"/>
      <c r="G207" s="34" t="s">
        <v>443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439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437</v>
      </c>
    </row>
    <row r="290" spans="2:7">
      <c r="B290" s="68"/>
      <c r="C290" s="34"/>
      <c r="D290" s="70">
        <v>6.95</v>
      </c>
      <c r="E290" s="71"/>
      <c r="F290" s="71"/>
      <c r="G290" s="34" t="s">
        <v>450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402</v>
      </c>
    </row>
    <row r="307" spans="2:7">
      <c r="B307" s="119"/>
      <c r="C307" s="79"/>
      <c r="D307" s="70">
        <v>94</v>
      </c>
      <c r="E307" s="71"/>
      <c r="F307" s="71"/>
      <c r="G307" s="34" t="s">
        <v>408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409</v>
      </c>
    </row>
    <row r="327" spans="2:7">
      <c r="B327" s="68"/>
      <c r="C327" s="34"/>
      <c r="D327" s="70">
        <v>9</v>
      </c>
      <c r="E327" s="71"/>
      <c r="F327" s="71"/>
      <c r="G327" s="34" t="s">
        <v>426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396</v>
      </c>
    </row>
    <row r="367" spans="2:7">
      <c r="B367" s="68"/>
      <c r="C367" s="34"/>
      <c r="D367" s="70">
        <v>6.5</v>
      </c>
      <c r="E367" s="71"/>
      <c r="F367" s="71"/>
      <c r="G367" s="91" t="s">
        <v>420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439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2946.37</v>
      </c>
      <c r="L5" s="282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161.54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7451.76</v>
      </c>
      <c r="L7" s="27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v>800</v>
      </c>
      <c r="L11" s="27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195</v>
      </c>
      <c r="D12" s="70"/>
      <c r="E12" s="71"/>
      <c r="F12" s="71">
        <v>875</v>
      </c>
      <c r="G12" s="34" t="s">
        <v>465</v>
      </c>
      <c r="H12" s="1"/>
      <c r="I12" s="198" t="s">
        <v>304</v>
      </c>
      <c r="J12" s="197" t="s">
        <v>305</v>
      </c>
      <c r="K12" s="271">
        <v>5092.08</v>
      </c>
      <c r="L12" s="272"/>
      <c r="M12" s="178" t="s">
        <v>458</v>
      </c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>
        <f>40</f>
        <v>40</v>
      </c>
      <c r="C16" s="34" t="s">
        <v>466</v>
      </c>
      <c r="D16" s="70"/>
      <c r="E16" s="71"/>
      <c r="F16" s="71">
        <v>60</v>
      </c>
      <c r="G16" s="34" t="s">
        <v>466</v>
      </c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24911.559999999998</v>
      </c>
      <c r="L19" s="28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468</v>
      </c>
      <c r="K25" s="281">
        <v>134.94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476</v>
      </c>
      <c r="K26" s="271">
        <v>83.04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277</v>
      </c>
      <c r="K27" s="271">
        <v>786.42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514</v>
      </c>
      <c r="K28" s="271">
        <v>26.77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518</v>
      </c>
      <c r="K29" s="271">
        <v>0.02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464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480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483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500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503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513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461</v>
      </c>
      <c r="H66" s="1"/>
      <c r="M66" s="1"/>
      <c r="R66" s="3"/>
    </row>
    <row r="67" spans="1:18" ht="15.75">
      <c r="A67" s="1"/>
      <c r="B67" s="68">
        <v>71</v>
      </c>
      <c r="C67" s="34" t="s">
        <v>448</v>
      </c>
      <c r="D67" s="70">
        <f>25.75</f>
        <v>25.75</v>
      </c>
      <c r="E67" s="71"/>
      <c r="F67" s="71">
        <v>1</v>
      </c>
      <c r="G67" s="91" t="s">
        <v>462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473</v>
      </c>
      <c r="H68" s="1">
        <v>106.3</v>
      </c>
      <c r="I68" s="175" t="s">
        <v>309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486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429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488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511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455</v>
      </c>
    </row>
    <row r="189" spans="1:22">
      <c r="B189" s="68"/>
      <c r="C189" s="34"/>
      <c r="D189" s="70">
        <v>5.99</v>
      </c>
      <c r="E189" s="71"/>
      <c r="F189" s="71"/>
      <c r="G189" s="34" t="s">
        <v>501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504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498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8" ht="15" customHeight="1" thickBot="1">
      <c r="B243" s="276"/>
      <c r="C243" s="277"/>
      <c r="D243" s="277"/>
      <c r="E243" s="277"/>
      <c r="F243" s="277"/>
      <c r="G243" s="278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474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481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505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508</v>
      </c>
    </row>
    <row r="250" spans="2:8">
      <c r="B250" s="68"/>
      <c r="C250" s="34"/>
      <c r="D250" s="70">
        <v>271.56</v>
      </c>
      <c r="E250" s="71"/>
      <c r="F250" s="71"/>
      <c r="G250" s="34" t="s">
        <v>512</v>
      </c>
    </row>
    <row r="251" spans="2:8">
      <c r="B251" s="68"/>
      <c r="C251" s="34"/>
      <c r="D251" s="70">
        <v>14.06</v>
      </c>
      <c r="E251" s="71"/>
      <c r="F251" s="71"/>
      <c r="G251" s="34" t="s">
        <v>515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453</v>
      </c>
    </row>
    <row r="287" spans="2:7">
      <c r="B287" s="68">
        <v>200</v>
      </c>
      <c r="C287" s="34" t="s">
        <v>428</v>
      </c>
      <c r="D287" s="70"/>
      <c r="E287" s="71">
        <v>20.04</v>
      </c>
      <c r="F287" s="71"/>
      <c r="G287" s="34" t="s">
        <v>495</v>
      </c>
    </row>
    <row r="288" spans="2:7">
      <c r="B288" s="68"/>
      <c r="C288" s="34"/>
      <c r="D288" s="70">
        <v>10</v>
      </c>
      <c r="E288" s="71"/>
      <c r="F288" s="71"/>
      <c r="G288" s="34" t="s">
        <v>497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506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507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226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463</v>
      </c>
    </row>
    <row r="308" spans="2:7">
      <c r="B308" s="119"/>
      <c r="C308" s="79"/>
      <c r="D308" s="70">
        <v>42.55</v>
      </c>
      <c r="E308" s="71"/>
      <c r="F308" s="71"/>
      <c r="G308" s="34" t="s">
        <v>484</v>
      </c>
    </row>
    <row r="309" spans="2:7">
      <c r="B309" s="68"/>
      <c r="C309" s="34"/>
      <c r="D309" s="70" t="s">
        <v>485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459</v>
      </c>
    </row>
    <row r="327" spans="2:7">
      <c r="B327" s="68"/>
      <c r="C327" s="34"/>
      <c r="D327" s="70"/>
      <c r="E327" s="71">
        <v>120.56</v>
      </c>
      <c r="F327" s="71"/>
      <c r="G327" s="34" t="s">
        <v>491</v>
      </c>
    </row>
    <row r="328" spans="2:7">
      <c r="B328" s="68"/>
      <c r="C328" s="34"/>
      <c r="D328" s="70">
        <v>12.25</v>
      </c>
      <c r="E328" s="71"/>
      <c r="F328" s="71"/>
      <c r="G328" s="34" t="s">
        <v>502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478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492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494</v>
      </c>
    </row>
    <row r="507" spans="2:7">
      <c r="B507" s="68"/>
      <c r="C507" s="34"/>
      <c r="D507" s="70"/>
      <c r="E507" s="71">
        <v>11.27</v>
      </c>
      <c r="F507" s="71"/>
      <c r="G507" s="34" t="s">
        <v>496</v>
      </c>
    </row>
    <row r="508" spans="2:7">
      <c r="B508" s="68"/>
      <c r="C508" s="34"/>
      <c r="D508" s="70"/>
      <c r="E508" s="71">
        <v>49</v>
      </c>
      <c r="F508" s="71"/>
      <c r="G508" s="34" t="s">
        <v>519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" workbookViewId="0">
      <selection activeCell="F30" sqref="F3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 t="s">
        <v>614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f>2534.79-49</f>
        <v>2485.79</v>
      </c>
      <c r="L5" s="282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6661.07</v>
      </c>
      <c r="L7" s="272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220+20</f>
        <v>240</v>
      </c>
      <c r="L11" s="272"/>
      <c r="M11" s="1"/>
      <c r="N11" s="1"/>
      <c r="R11" s="3"/>
    </row>
    <row r="12" spans="1:22" ht="15.75">
      <c r="A12" s="202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202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24488.75</v>
      </c>
      <c r="L19" s="288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520</v>
      </c>
      <c r="K25" s="281">
        <v>269.88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529</v>
      </c>
      <c r="K26" s="271">
        <v>49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522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523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526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527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538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540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545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547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548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549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569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567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521</v>
      </c>
      <c r="H66" s="1"/>
      <c r="M66" s="1"/>
      <c r="R66" s="3"/>
    </row>
    <row r="67" spans="1:18" ht="15.75">
      <c r="A67" s="1"/>
      <c r="B67" s="68">
        <v>106.3</v>
      </c>
      <c r="C67" s="34" t="s">
        <v>489</v>
      </c>
      <c r="D67" s="70">
        <f>22.8</f>
        <v>22.8</v>
      </c>
      <c r="E67" s="71"/>
      <c r="F67" s="71">
        <v>3</v>
      </c>
      <c r="G67" s="91" t="s">
        <v>532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531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543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555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550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559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528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552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557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558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>
        <v>31.56</v>
      </c>
      <c r="E146" s="71"/>
      <c r="F146" s="71"/>
      <c r="G146" s="34" t="s">
        <v>536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537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538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545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516</v>
      </c>
      <c r="D187" s="70">
        <v>19</v>
      </c>
      <c r="E187" s="71"/>
      <c r="F187" s="71"/>
      <c r="G187" s="34" t="s">
        <v>554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524</v>
      </c>
    </row>
    <row r="207" spans="2:7">
      <c r="B207" s="68"/>
      <c r="C207" s="34"/>
      <c r="D207" s="70">
        <v>40.15</v>
      </c>
      <c r="E207" s="71"/>
      <c r="F207" s="71"/>
      <c r="G207" s="34" t="s">
        <v>541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553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 t="s">
        <v>517</v>
      </c>
      <c r="D246" s="70">
        <v>12.46</v>
      </c>
      <c r="E246" s="71"/>
      <c r="F246" s="71"/>
      <c r="G246" s="34" t="s">
        <v>525</v>
      </c>
    </row>
    <row r="247" spans="2:7" ht="15" customHeight="1">
      <c r="B247" s="68">
        <v>566.59</v>
      </c>
      <c r="C247" s="34" t="s">
        <v>516</v>
      </c>
      <c r="D247" s="70">
        <f>34.65-D286-D147</f>
        <v>23.169999999999998</v>
      </c>
      <c r="E247" s="71"/>
      <c r="F247" s="71"/>
      <c r="G247" s="34" t="s">
        <v>537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517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539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>
        <v>125</v>
      </c>
      <c r="E306" s="71"/>
      <c r="F306" s="71"/>
      <c r="G306" s="34" t="s">
        <v>565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 t="s">
        <v>517</v>
      </c>
      <c r="D326" s="70">
        <v>4.3499999999999996</v>
      </c>
      <c r="E326" s="71"/>
      <c r="F326" s="71"/>
      <c r="G326" s="34" t="s">
        <v>560</v>
      </c>
    </row>
    <row r="327" spans="2:7">
      <c r="B327" s="68">
        <v>0.02</v>
      </c>
      <c r="C327" s="34" t="s">
        <v>518</v>
      </c>
      <c r="D327" s="70"/>
      <c r="E327" s="71"/>
      <c r="F327" s="71"/>
      <c r="G327" s="34"/>
    </row>
    <row r="328" spans="2:7">
      <c r="B328" s="68">
        <v>241.71</v>
      </c>
      <c r="C328" s="34" t="s">
        <v>516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514</v>
      </c>
      <c r="D367" s="70">
        <v>40.49</v>
      </c>
      <c r="E367" s="71"/>
      <c r="F367" s="71"/>
      <c r="G367" s="91" t="s">
        <v>542</v>
      </c>
    </row>
    <row r="368" spans="2:7">
      <c r="B368" s="68"/>
      <c r="C368" s="34"/>
      <c r="D368" s="70"/>
      <c r="E368" s="71">
        <v>57.65</v>
      </c>
      <c r="F368" s="71"/>
      <c r="G368" s="34" t="s">
        <v>544</v>
      </c>
    </row>
    <row r="369" spans="2:7">
      <c r="B369" s="68"/>
      <c r="C369" s="34"/>
      <c r="D369" s="70"/>
      <c r="E369" s="71"/>
      <c r="F369" s="71">
        <v>2.85</v>
      </c>
      <c r="G369" s="34" t="s">
        <v>556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487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2018-09-17T15:11:56Z</dcterms:modified>
</cp:coreProperties>
</file>