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B5A266F3-B282-467D-99BC-B8194B6FD449}" xr6:coauthVersionLast="41" xr6:coauthVersionMax="41" xr10:uidLastSave="{00000000-0000-0000-0000-000000000000}"/>
  <bookViews>
    <workbookView xWindow="-108" yWindow="12852" windowWidth="22224" windowHeight="13176" firstSheet="1" activeTab="7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8" i="9" l="1"/>
  <c r="A257" i="9"/>
  <c r="A256" i="9"/>
  <c r="A246" i="9"/>
  <c r="A129" i="9"/>
  <c r="A127" i="9"/>
  <c r="A126" i="9"/>
  <c r="B308" i="8"/>
  <c r="F366" i="8"/>
  <c r="B258" i="8"/>
  <c r="B49" i="8"/>
  <c r="D308" i="8"/>
  <c r="B8" i="8"/>
  <c r="D207" i="8"/>
  <c r="A260" i="9" l="1"/>
  <c r="A140" i="9"/>
  <c r="L55" i="8"/>
  <c r="D47" i="8" l="1"/>
  <c r="D206" i="8" l="1"/>
  <c r="P32" i="18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K5" i="9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9" i="5"/>
  <c r="A129" i="6" s="1"/>
  <c r="A129" i="7" s="1"/>
  <c r="A129" i="8" s="1"/>
  <c r="A126" i="5"/>
  <c r="A126" i="6" s="1"/>
  <c r="A126" i="7" s="1"/>
  <c r="A126" i="8" s="1"/>
  <c r="A140" i="8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9" s="1"/>
  <c r="A109" i="10" s="1"/>
  <c r="A109" i="11" s="1"/>
  <c r="A109" i="12" s="1"/>
  <c r="A109" i="13" s="1"/>
  <c r="A108" i="5"/>
  <c r="A108" i="6" s="1"/>
  <c r="A108" i="7" s="1"/>
  <c r="A108" i="8" s="1"/>
  <c r="A108" i="9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B5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8" l="1"/>
  <c r="B22" i="14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6" i="7" l="1"/>
  <c r="A260" i="6"/>
  <c r="A258" i="7"/>
  <c r="A258" i="8" s="1"/>
  <c r="A260" i="5"/>
  <c r="A40" i="9"/>
  <c r="A26" i="10"/>
  <c r="A26" i="11" s="1"/>
  <c r="A26" i="12" l="1"/>
  <c r="A40" i="11"/>
  <c r="A40" i="10"/>
  <c r="A256" i="8"/>
  <c r="A260" i="8" s="1"/>
  <c r="A260" i="7"/>
  <c r="A40" i="12"/>
  <c r="A26" i="13"/>
  <c r="A40" i="13" s="1"/>
</calcChain>
</file>

<file path=xl/sharedStrings.xml><?xml version="1.0" encoding="utf-8"?>
<sst xmlns="http://schemas.openxmlformats.org/spreadsheetml/2006/main" count="5495" uniqueCount="714">
  <si>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</si>
  <si>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</si>
  <si>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</si>
  <si>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</si>
  <si>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</si>
  <si>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</si>
  <si>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</si>
  <si>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</si>
  <si>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</si>
  <si>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</si>
  <si>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</si>
  <si>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</si>
  <si>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</si>
  <si>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</si>
  <si>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</si>
  <si>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</si>
  <si>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</si>
  <si>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</si>
  <si>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</si>
  <si>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</si>
  <si>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</si>
  <si>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</si>
  <si>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</si>
  <si>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</si>
  <si>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</si>
  <si>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</si>
  <si>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</si>
  <si>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</si>
  <si>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</si>
  <si>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</si>
  <si>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</si>
  <si>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</si>
  <si>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</si>
  <si>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</si>
  <si>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</si>
  <si>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</si>
  <si>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</si>
  <si>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</si>
  <si>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</si>
  <si>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</si>
  <si>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</si>
  <si>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</si>
  <si>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</si>
  <si>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</si>
  <si>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</si>
  <si>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</si>
  <si>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</si>
  <si>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</si>
  <si>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</si>
  <si>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</si>
  <si>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</si>
  <si>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</si>
  <si>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</si>
  <si>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</si>
  <si>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</si>
  <si>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</si>
  <si>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</si>
  <si>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</si>
  <si>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</si>
  <si>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</si>
  <si>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</si>
  <si>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</si>
  <si>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</si>
  <si>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</si>
  <si>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</si>
  <si>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</si>
  <si>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</si>
  <si>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</si>
  <si>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</si>
  <si>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</si>
  <si>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</si>
  <si>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</si>
  <si>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</si>
  <si>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</si>
  <si>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</si>
  <si>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</si>
  <si>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</si>
  <si>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</si>
  <si>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</si>
  <si>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</si>
  <si>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</si>
  <si>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</si>
  <si>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</si>
  <si>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</si>
  <si>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</si>
  <si>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</si>
  <si>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</si>
  <si>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</si>
  <si>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</si>
  <si>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</si>
  <si>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</si>
  <si>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</si>
  <si>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</si>
  <si>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</si>
  <si>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</si>
  <si>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</si>
  <si>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</si>
  <si>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</si>
  <si>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</si>
  <si>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</si>
  <si>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</si>
  <si>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</si>
  <si>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</si>
  <si>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</si>
  <si>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</si>
  <si>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</si>
  <si>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</si>
  <si>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</si>
  <si>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</si>
  <si>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</si>
  <si>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</si>
  <si>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</si>
  <si>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</si>
  <si>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</si>
  <si>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</si>
  <si>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</si>
  <si>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</si>
  <si>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</si>
  <si>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</si>
  <si>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</si>
  <si>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</si>
  <si>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</si>
  <si>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</si>
  <si>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</si>
  <si>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</si>
  <si>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</si>
  <si>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</si>
  <si>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</si>
  <si>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</si>
  <si>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</si>
  <si>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</si>
  <si>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</si>
  <si>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</si>
  <si>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</si>
  <si>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</si>
  <si>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</si>
  <si>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</si>
  <si>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</si>
  <si>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</si>
  <si>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</si>
  <si>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</si>
  <si>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</si>
  <si>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</si>
  <si>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</si>
  <si>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</si>
  <si>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</si>
  <si>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</si>
  <si>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</si>
  <si>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</si>
  <si>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</si>
  <si>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</si>
  <si>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</si>
  <si>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</si>
  <si>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</si>
  <si>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</si>
  <si>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</si>
  <si>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</si>
  <si>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</si>
  <si>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</si>
  <si>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</si>
  <si>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</si>
  <si>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</si>
  <si>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</si>
  <si>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</si>
  <si>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</si>
  <si>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</si>
  <si>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</si>
  <si>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</si>
  <si>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</si>
  <si>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</si>
  <si>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</si>
  <si>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</si>
  <si>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</si>
  <si>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</si>
  <si>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</si>
  <si>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</si>
  <si>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</si>
  <si>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</si>
  <si>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</si>
  <si>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</si>
  <si>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</si>
  <si>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</si>
  <si>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</si>
  <si>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</si>
  <si>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</si>
  <si>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</si>
  <si>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</si>
  <si>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</si>
  <si>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</si>
  <si>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</si>
  <si>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</si>
  <si>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</si>
  <si>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</si>
  <si>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</si>
  <si>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</si>
  <si>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</si>
  <si>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</si>
  <si>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</si>
  <si>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</si>
  <si>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</si>
  <si>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</si>
  <si>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</si>
  <si>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</si>
  <si>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</si>
  <si>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</si>
  <si>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</si>
  <si>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</si>
  <si>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</si>
  <si>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</si>
  <si>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</si>
  <si>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</si>
  <si>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</si>
  <si>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</si>
  <si>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</si>
  <si>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</si>
  <si>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</si>
  <si>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</si>
  <si>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</si>
  <si>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</si>
  <si>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</si>
  <si>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</si>
  <si>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</si>
  <si>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</si>
  <si>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</si>
  <si>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</si>
  <si>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</si>
  <si>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</si>
  <si>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</si>
  <si>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</si>
  <si>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</si>
  <si>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</si>
  <si>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</si>
  <si>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</si>
  <si>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</si>
  <si>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</si>
  <si>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</si>
  <si>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</si>
  <si>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</si>
  <si>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</si>
  <si>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</si>
  <si>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</si>
  <si>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</si>
  <si>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</si>
  <si>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</si>
  <si>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</si>
  <si>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</si>
  <si>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</si>
  <si>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</si>
  <si>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</si>
  <si>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</si>
  <si>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</si>
  <si>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</si>
  <si>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</si>
  <si>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</si>
  <si>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</si>
  <si>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</si>
  <si>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</si>
  <si>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</si>
  <si>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</si>
  <si>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</si>
  <si>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</si>
  <si>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</si>
  <si>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</si>
  <si>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</si>
  <si>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</si>
  <si>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</si>
  <si>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</si>
  <si>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</si>
  <si>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</si>
  <si>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</si>
  <si>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</si>
  <si>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</si>
  <si>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</si>
  <si>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</si>
  <si>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</si>
  <si>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</si>
  <si>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</si>
  <si>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</si>
  <si>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</si>
  <si>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</si>
  <si>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</si>
  <si>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</si>
  <si>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</si>
  <si>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</si>
  <si>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</si>
  <si>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</si>
  <si>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</si>
  <si>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</si>
  <si>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</si>
  <si>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</si>
  <si>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</si>
  <si>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</si>
  <si>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</si>
  <si>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</si>
  <si>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</si>
  <si>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</si>
  <si>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</si>
  <si>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</si>
  <si>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</si>
  <si>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</si>
  <si>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</si>
  <si>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</si>
  <si>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</si>
  <si>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</si>
  <si>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</si>
  <si>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</si>
  <si>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</si>
  <si>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</si>
  <si>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</si>
  <si>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</si>
  <si>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</si>
  <si>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</si>
  <si>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</si>
  <si>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</si>
  <si>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</si>
  <si>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</si>
  <si>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</si>
  <si>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</si>
  <si>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</si>
  <si>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</si>
  <si>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</si>
  <si>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</si>
  <si>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</si>
  <si>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</si>
  <si>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</si>
  <si>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</si>
  <si>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</si>
  <si>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</si>
  <si>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</si>
  <si>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</si>
  <si>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</si>
  <si>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</si>
  <si>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</si>
  <si>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</si>
  <si>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</si>
  <si>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</si>
  <si>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</si>
  <si>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</si>
  <si>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</si>
  <si>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</si>
  <si>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</si>
  <si>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</si>
  <si>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</si>
  <si>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</si>
  <si>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</si>
  <si>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</si>
  <si>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</si>
  <si>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</si>
  <si>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</si>
  <si>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</si>
  <si>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</si>
  <si>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</si>
  <si>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</si>
  <si>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</si>
  <si>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</si>
  <si>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</si>
  <si>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</si>
  <si>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</si>
  <si>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</si>
  <si>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</si>
  <si>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</si>
  <si>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</si>
  <si>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</si>
  <si>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</si>
  <si>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</si>
  <si>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</si>
  <si>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</si>
  <si>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</si>
  <si>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</si>
  <si>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</si>
  <si>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</si>
  <si>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</si>
  <si>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</si>
  <si>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</si>
  <si>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</si>
  <si>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</si>
  <si>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</si>
  <si>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</si>
  <si>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</si>
  <si>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</si>
  <si>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</si>
  <si>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</si>
  <si>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</si>
  <si>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</si>
  <si>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</si>
  <si>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</si>
  <si>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</si>
  <si>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</si>
  <si>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</si>
  <si>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</si>
  <si>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</si>
  <si>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</si>
  <si>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</si>
  <si>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</si>
  <si>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</si>
  <si>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</si>
  <si>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</si>
  <si>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</si>
  <si>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</si>
  <si>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</si>
  <si>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</si>
  <si>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</si>
  <si>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</si>
  <si>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</si>
  <si>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</si>
  <si>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</si>
  <si>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</si>
  <si>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</si>
  <si>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</si>
  <si>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</si>
  <si>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</si>
  <si>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</si>
  <si>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</si>
  <si>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</si>
  <si>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</si>
  <si>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</si>
  <si>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</si>
  <si>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</si>
  <si>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</si>
  <si>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</si>
  <si>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</si>
  <si>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</si>
  <si>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</si>
  <si>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</si>
  <si>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</si>
  <si>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</si>
  <si>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</si>
  <si>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</si>
  <si>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</si>
  <si>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</si>
  <si>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</si>
  <si>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</si>
  <si>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</si>
  <si>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</si>
  <si>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</si>
  <si>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</si>
  <si>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</si>
  <si>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</si>
  <si>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</si>
  <si>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</si>
  <si>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</si>
  <si>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</si>
  <si>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</si>
  <si>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</si>
  <si>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</si>
  <si>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</si>
  <si>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</si>
  <si>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</si>
  <si>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</si>
  <si>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</si>
  <si>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</si>
  <si>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</si>
  <si>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</si>
  <si>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</si>
  <si>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</si>
  <si>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</si>
  <si>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</si>
  <si>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</si>
  <si>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</si>
  <si>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</si>
  <si>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</si>
  <si>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</si>
  <si>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</si>
  <si>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</si>
  <si>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</si>
  <si>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</si>
  <si>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</si>
  <si>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</si>
  <si>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</si>
  <si>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</si>
  <si>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</si>
  <si>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</si>
  <si>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</si>
  <si>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</si>
  <si>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</si>
  <si>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</si>
  <si>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</si>
  <si>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</si>
  <si>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</si>
  <si>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</si>
  <si>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</si>
  <si>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</si>
  <si>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</si>
  <si>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</si>
  <si>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</si>
  <si>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</si>
  <si>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</si>
  <si>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</si>
  <si>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</si>
  <si>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</si>
  <si>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</si>
  <si>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</si>
  <si>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</si>
  <si>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</si>
  <si>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</si>
  <si>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</si>
  <si>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</si>
  <si>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</si>
  <si>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</si>
  <si>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</si>
  <si>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</si>
  <si>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</si>
  <si>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</si>
  <si>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</si>
  <si>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</si>
  <si>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</si>
  <si>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</si>
  <si>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</si>
  <si>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</si>
  <si>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</si>
  <si>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</si>
  <si>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</si>
  <si>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</si>
  <si>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</si>
  <si>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</si>
  <si>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</si>
  <si>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</si>
  <si>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</si>
  <si>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</si>
  <si>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</si>
  <si>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</si>
  <si>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</si>
  <si>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</si>
  <si>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</si>
  <si>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</si>
  <si>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</si>
  <si>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</si>
  <si>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</si>
  <si>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</si>
  <si>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</si>
  <si>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</si>
  <si>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</si>
  <si>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</si>
  <si>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</si>
  <si>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</si>
  <si>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</si>
  <si>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</si>
  <si>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</si>
  <si>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</si>
  <si>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</si>
  <si>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</si>
  <si>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</si>
  <si>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</si>
  <si>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</si>
  <si>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</si>
  <si>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</si>
  <si>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</si>
  <si>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</si>
  <si>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</si>
  <si>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</si>
  <si>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</si>
  <si>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</si>
  <si>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</si>
  <si>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</si>
  <si>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</si>
  <si>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</si>
  <si>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</si>
  <si>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</si>
  <si>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</si>
  <si>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</si>
  <si>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</si>
  <si>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</si>
  <si>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</si>
  <si>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</si>
  <si>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</si>
  <si>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</si>
  <si>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</si>
  <si>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</si>
  <si>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</si>
  <si>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</si>
  <si>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</si>
  <si>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</si>
  <si>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</si>
  <si>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</si>
  <si>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</si>
  <si>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</si>
  <si>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</si>
  <si>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</si>
  <si>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</si>
  <si>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</si>
  <si>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</si>
  <si>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</si>
  <si>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</si>
  <si>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</si>
  <si>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</si>
  <si>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</si>
  <si>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</si>
  <si>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</si>
  <si>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</si>
  <si>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</si>
  <si>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</si>
  <si>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</si>
  <si>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</si>
  <si>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</si>
  <si>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</si>
  <si>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</si>
  <si>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</si>
  <si>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</si>
  <si>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</si>
  <si>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</si>
  <si>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</si>
  <si>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</si>
  <si>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</si>
  <si>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</si>
  <si>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</si>
  <si>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</si>
  <si>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</si>
  <si>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</si>
  <si>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</si>
  <si>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</si>
  <si>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</si>
  <si>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</si>
  <si>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</si>
  <si>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</si>
  <si>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</si>
  <si>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</si>
  <si>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</si>
  <si>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</si>
  <si>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</si>
  <si>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</si>
  <si>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</si>
  <si>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</si>
  <si>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</si>
  <si>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</si>
  <si>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</si>
  <si>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</si>
  <si>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</si>
  <si>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</si>
  <si>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</si>
  <si>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</si>
  <si>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</si>
  <si>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</si>
  <si>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</si>
  <si>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</si>
  <si>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</si>
  <si>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</si>
  <si>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</si>
  <si>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</si>
  <si>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</si>
  <si>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</si>
  <si>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</si>
  <si>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</si>
  <si>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</si>
  <si>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</si>
  <si>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</si>
  <si>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</si>
  <si>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</si>
  <si>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</si>
  <si>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</si>
  <si>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</si>
  <si>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</si>
  <si>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</si>
  <si>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</si>
  <si>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</si>
  <si>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</si>
  <si>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</si>
  <si>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</si>
  <si>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</si>
  <si>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</si>
  <si>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</si>
  <si>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</si>
  <si>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</si>
  <si>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</si>
  <si>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</si>
  <si>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</si>
  <si>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</si>
  <si>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</si>
  <si>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</si>
  <si>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</si>
  <si>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</si>
  <si>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</si>
  <si>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</si>
  <si>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</si>
  <si>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</si>
  <si>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</si>
  <si>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</si>
  <si>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</si>
  <si>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</si>
  <si>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</si>
  <si>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</si>
  <si>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</si>
  <si>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</si>
  <si>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</si>
  <si>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</si>
  <si>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</si>
  <si>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</si>
  <si>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</si>
  <si>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</si>
  <si>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</si>
  <si>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</si>
  <si>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</si>
  <si>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</si>
  <si>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</si>
  <si>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</si>
  <si>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</si>
  <si>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</si>
  <si>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</si>
  <si>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</si>
  <si>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</si>
  <si>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</si>
  <si>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</si>
  <si>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</si>
  <si>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</si>
  <si>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</si>
  <si>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</si>
  <si>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</si>
  <si>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</si>
  <si>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</si>
  <si>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</si>
  <si>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</si>
  <si>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</si>
  <si>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</si>
  <si>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</si>
  <si>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&lt;285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</si>
</sst>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6" zoomScaleNormal="100" workbookViewId="0">
      <pane xSplit="1" topLeftCell="V1" activePane="topRight" state="frozen"/>
      <selection pane="topRight" activeCell="AB59" sqref="AB59:AC5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29282.959999999999</v>
      </c>
      <c r="AF5" s="358"/>
      <c r="AG5" s="358"/>
      <c r="AH5" s="359"/>
      <c r="AI5" s="364">
        <f>'09'!K19</f>
        <v>15101.890000000001</v>
      </c>
      <c r="AJ5" s="358"/>
      <c r="AK5" s="358"/>
      <c r="AL5" s="359"/>
      <c r="AM5" s="364">
        <f>'10'!K19</f>
        <v>15101.890000000001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0</v>
      </c>
      <c r="AB8" s="343"/>
      <c r="AC8" s="343"/>
      <c r="AD8" s="344"/>
      <c r="AE8" s="342">
        <f>SUM('08'!L25:'08'!L29)</f>
        <v>0</v>
      </c>
      <c r="AF8" s="343"/>
      <c r="AG8" s="343"/>
      <c r="AH8" s="344"/>
      <c r="AI8" s="342">
        <f>SUM('09'!L25:'09'!L29)</f>
        <v>0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17306.77</v>
      </c>
      <c r="BA8" s="112">
        <f t="shared" ref="BA8:BA16" ca="1" si="0">AZ8/BC$17</f>
        <v>2472.3957142857143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0</v>
      </c>
      <c r="AF9" s="346"/>
      <c r="AG9" s="346"/>
      <c r="AH9" s="347"/>
      <c r="AI9" s="345">
        <f>SUM('09'!L30:'09'!L34)</f>
        <v>0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4779.1900000000005</v>
      </c>
      <c r="BA9" s="112">
        <f t="shared" ca="1" si="0"/>
        <v>682.74142857142863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0</v>
      </c>
      <c r="AB10" s="349"/>
      <c r="AC10" s="349"/>
      <c r="AD10" s="350"/>
      <c r="AE10" s="348">
        <f>SUM('08'!L35:'08'!L39)</f>
        <v>0</v>
      </c>
      <c r="AF10" s="349"/>
      <c r="AG10" s="349"/>
      <c r="AH10" s="350"/>
      <c r="AI10" s="348">
        <f>SUM('09'!L35:'09'!L39)</f>
        <v>0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699.13</v>
      </c>
      <c r="BA10" s="112">
        <f t="shared" ca="1" si="0"/>
        <v>99.875714285714281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407.32</v>
      </c>
      <c r="BA11" s="112">
        <f t="shared" ca="1" si="0"/>
        <v>58.188571428571429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0</v>
      </c>
      <c r="AF12" s="349"/>
      <c r="AG12" s="349"/>
      <c r="AH12" s="350"/>
      <c r="AI12" s="348">
        <f>SUM('09'!L45:'09'!L49)</f>
        <v>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1359.45</v>
      </c>
      <c r="BA12" s="112">
        <f t="shared" ca="1" si="0"/>
        <v>194.20714285714286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0</v>
      </c>
      <c r="AF13" s="346"/>
      <c r="AG13" s="346"/>
      <c r="AH13" s="347"/>
      <c r="AI13" s="345">
        <f>SUM('09'!L50:'09'!L54)</f>
        <v>0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5092.5400000000009</v>
      </c>
      <c r="BA13" s="112">
        <f t="shared" ca="1" si="0"/>
        <v>727.50571428571436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0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116.53</v>
      </c>
      <c r="BA14" s="112">
        <f t="shared" ca="1" si="0"/>
        <v>16.647142857142857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0</v>
      </c>
      <c r="AF15" s="346"/>
      <c r="AG15" s="346"/>
      <c r="AH15" s="347"/>
      <c r="AI15" s="345">
        <f>SUM('09'!L60:'09'!L64)</f>
        <v>0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3711.44</v>
      </c>
      <c r="BA15" s="112">
        <f t="shared" ca="1" si="0"/>
        <v>530.20571428571429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12.142857142857142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1945.1799999999998</v>
      </c>
      <c r="AB17" s="366"/>
      <c r="AC17" s="366"/>
      <c r="AD17" s="367"/>
      <c r="AE17" s="365">
        <f>SUM(AE8:AE16)</f>
        <v>0</v>
      </c>
      <c r="AF17" s="366"/>
      <c r="AG17" s="366"/>
      <c r="AH17" s="367"/>
      <c r="AI17" s="365">
        <f>SUM(AI8:AI16)</f>
        <v>0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33557.370000000003</v>
      </c>
      <c r="BA17" s="112">
        <f ca="1">AZ17/BC$17</f>
        <v>4793.9100000000008</v>
      </c>
      <c r="BB17" s="1" t="s">
        <v>83</v>
      </c>
      <c r="BC17" s="1">
        <f ca="1">MONTH(TODAY())</f>
        <v>7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57526.920000000013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42.230000000000004</v>
      </c>
      <c r="AD20" s="145">
        <f t="shared" ref="AD20:AD45" si="8">Z20+AB20-AC20</f>
        <v>823.21999999999991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1367.2199999999998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1911.2199999999998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2455.2199999999998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2999.22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3543.22</v>
      </c>
      <c r="AZ20" s="123">
        <f t="shared" ref="AZ20:AZ27" si="14">E20+I20+M20+Q20+U20+Y20+AC20+AG20+AK20+AO20+AS20+AW20</f>
        <v>3732.5800000000004</v>
      </c>
      <c r="BA20" s="21">
        <f t="shared" ref="BA20:BA45" si="15">AZ20/AZ$46</f>
        <v>0.11501239303229337</v>
      </c>
      <c r="BB20" s="22">
        <f>_xlfn.RANK.EQ(BA20,$BA$20:$BA$45,)</f>
        <v>3</v>
      </c>
      <c r="BC20" s="22">
        <f t="shared" ref="BC20:BC45" ca="1" si="16">AZ20/BC$17</f>
        <v>533.22571428571439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4107.0200000000004</v>
      </c>
      <c r="BF20" s="21">
        <f t="shared" ref="BF20:BF45" ca="1" si="18">BE20/BE$46</f>
        <v>0.12238801789293979</v>
      </c>
      <c r="BG20" s="22">
        <f ca="1">_xlfn.RANK.EQ(BF20,$BF$20:$BF$45,)</f>
        <v>3</v>
      </c>
      <c r="BH20" s="22">
        <f t="shared" ref="BH20:BH45" ca="1" si="19">BE20/BC$17</f>
        <v>586.7171428571429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374.44000000000028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0</v>
      </c>
      <c r="AH21" s="151">
        <f t="shared" si="9"/>
        <v>1528.1499999999994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2656.1499999999996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3784.1499999999996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4912.1499999999996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6040.15</v>
      </c>
      <c r="AZ21" s="152">
        <f t="shared" si="14"/>
        <v>8333.7100000000009</v>
      </c>
      <c r="BA21" s="21">
        <f t="shared" si="15"/>
        <v>0.25678751157032226</v>
      </c>
      <c r="BB21" s="22">
        <f t="shared" ref="BB21:BB45" si="20">_xlfn.RANK.EQ(BA21,$BA$20:$BA$45,)</f>
        <v>1</v>
      </c>
      <c r="BC21" s="22">
        <f t="shared" ca="1" si="16"/>
        <v>1190.5300000000002</v>
      </c>
      <c r="BE21" s="224">
        <f t="shared" ca="1" si="17"/>
        <v>8061</v>
      </c>
      <c r="BF21" s="21">
        <f t="shared" ca="1" si="18"/>
        <v>0.24021548768571557</v>
      </c>
      <c r="BG21" s="22">
        <f t="shared" ref="BG21:BG45" ca="1" si="21">_xlfn.RANK.EQ(BF21,$BF$20:$BF$45,)</f>
        <v>1</v>
      </c>
      <c r="BH21" s="22">
        <f t="shared" ca="1" si="19"/>
        <v>1151.5714285714287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-272.71000000000026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285.62</v>
      </c>
      <c r="AC22" s="155">
        <f>SUM('07'!D60:F60)</f>
        <v>30.549999999999997</v>
      </c>
      <c r="AD22" s="156">
        <f t="shared" si="8"/>
        <v>744.75000000000023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1044.7500000000002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1534.7500000000002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2024.7500000000002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2514.75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3004.75</v>
      </c>
      <c r="AZ22" s="157">
        <f t="shared" si="14"/>
        <v>1940.94</v>
      </c>
      <c r="BA22" s="21">
        <f t="shared" si="15"/>
        <v>5.9806395075818725E-2</v>
      </c>
      <c r="BB22" s="22">
        <f t="shared" si="20"/>
        <v>6</v>
      </c>
      <c r="BC22" s="22">
        <f t="shared" ca="1" si="16"/>
        <v>277.27714285714285</v>
      </c>
      <c r="BE22" s="225">
        <f t="shared" ca="1" si="17"/>
        <v>2439.62</v>
      </c>
      <c r="BF22" s="21">
        <f t="shared" ca="1" si="18"/>
        <v>7.26999761900292E-2</v>
      </c>
      <c r="BG22" s="22">
        <f t="shared" ca="1" si="21"/>
        <v>6</v>
      </c>
      <c r="BH22" s="22">
        <f t="shared" ca="1" si="19"/>
        <v>348.51714285714286</v>
      </c>
      <c r="BJ22" s="225">
        <f t="shared" ca="1" si="22"/>
        <v>498.68000000000006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52</v>
      </c>
      <c r="AD23" s="151">
        <f t="shared" si="8"/>
        <v>219.68000000000006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389.68000000000006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539.68000000000006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689.68000000000006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839.68000000000006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989.68000000000006</v>
      </c>
      <c r="AZ23" s="152">
        <f t="shared" si="14"/>
        <v>1057.4499999999998</v>
      </c>
      <c r="BA23" s="21">
        <f t="shared" si="15"/>
        <v>3.2583321727062402E-2</v>
      </c>
      <c r="BB23" s="22">
        <f t="shared" si="20"/>
        <v>8</v>
      </c>
      <c r="BC23" s="22">
        <f t="shared" ca="1" si="16"/>
        <v>151.06428571428569</v>
      </c>
      <c r="BE23" s="224">
        <f t="shared" ca="1" si="17"/>
        <v>1235</v>
      </c>
      <c r="BF23" s="21">
        <f t="shared" ca="1" si="18"/>
        <v>3.6802645737732134E-2</v>
      </c>
      <c r="BG23" s="22">
        <f t="shared" ca="1" si="21"/>
        <v>10</v>
      </c>
      <c r="BH23" s="22">
        <f t="shared" ca="1" si="19"/>
        <v>176.42857142857142</v>
      </c>
      <c r="BJ23" s="224">
        <f t="shared" ca="1" si="22"/>
        <v>177.55000000000004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250.01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410.01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570.01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730.01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890.01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1050.01</v>
      </c>
      <c r="AZ24" s="157">
        <f t="shared" si="14"/>
        <v>899.99</v>
      </c>
      <c r="BA24" s="21">
        <f t="shared" si="15"/>
        <v>2.7731489641249135E-2</v>
      </c>
      <c r="BB24" s="22">
        <f t="shared" si="20"/>
        <v>10</v>
      </c>
      <c r="BC24" s="22">
        <f t="shared" ca="1" si="16"/>
        <v>128.57</v>
      </c>
      <c r="BE24" s="225">
        <f t="shared" ca="1" si="17"/>
        <v>1150</v>
      </c>
      <c r="BF24" s="21">
        <f t="shared" ca="1" si="18"/>
        <v>3.4269670120155429E-2</v>
      </c>
      <c r="BG24" s="22">
        <f t="shared" ca="1" si="21"/>
        <v>11</v>
      </c>
      <c r="BH24" s="22">
        <f t="shared" ca="1" si="19"/>
        <v>164.28571428571428</v>
      </c>
      <c r="BJ24" s="225">
        <f t="shared" ca="1" si="22"/>
        <v>250.01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327.38</v>
      </c>
      <c r="AD25" s="151">
        <f t="shared" si="8"/>
        <v>3090.2399999999975</v>
      </c>
      <c r="AE25" s="148" t="s">
        <v>73</v>
      </c>
      <c r="AF25" s="149">
        <f>'08'!B120</f>
        <v>445</v>
      </c>
      <c r="AG25" s="150">
        <f>SUM('08'!D120:F120)</f>
        <v>0</v>
      </c>
      <c r="AH25" s="151">
        <f t="shared" si="9"/>
        <v>3535.2399999999975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3940.2399999999975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4345.239999999998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4750.239999999998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5155.239999999998</v>
      </c>
      <c r="AZ25" s="152">
        <f t="shared" si="14"/>
        <v>2355.6600000000003</v>
      </c>
      <c r="BA25" s="21">
        <f t="shared" si="15"/>
        <v>7.2585207489310938E-2</v>
      </c>
      <c r="BB25" s="22">
        <f t="shared" si="20"/>
        <v>5</v>
      </c>
      <c r="BC25" s="22">
        <f t="shared" ca="1" si="16"/>
        <v>336.52285714285716</v>
      </c>
      <c r="BE25" s="224">
        <f t="shared" ca="1" si="17"/>
        <v>2283.35</v>
      </c>
      <c r="BF25" s="21">
        <f t="shared" ca="1" si="18"/>
        <v>6.8043175016397298E-2</v>
      </c>
      <c r="BG25" s="22">
        <f t="shared" ca="1" si="21"/>
        <v>7</v>
      </c>
      <c r="BH25" s="22">
        <f t="shared" ca="1" si="19"/>
        <v>326.19285714285712</v>
      </c>
      <c r="BJ25" s="224">
        <f t="shared" ca="1" si="22"/>
        <v>-72.310000000000855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7.99</v>
      </c>
      <c r="AD26" s="156">
        <f t="shared" si="8"/>
        <v>65.040000000000006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118.04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166.04000000000002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214.04000000000002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262.04000000000002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310.04000000000002</v>
      </c>
      <c r="AZ26" s="157">
        <f t="shared" si="14"/>
        <v>320.95000000000005</v>
      </c>
      <c r="BA26" s="21">
        <f t="shared" si="15"/>
        <v>9.8894672167011977E-3</v>
      </c>
      <c r="BB26" s="22">
        <f t="shared" si="20"/>
        <v>17</v>
      </c>
      <c r="BC26" s="22">
        <f t="shared" ca="1" si="16"/>
        <v>45.850000000000009</v>
      </c>
      <c r="BE26" s="225">
        <f t="shared" ca="1" si="17"/>
        <v>366.45</v>
      </c>
      <c r="BF26" s="21">
        <f t="shared" ca="1" si="18"/>
        <v>1.0920104883070396E-2</v>
      </c>
      <c r="BG26" s="22">
        <f t="shared" ca="1" si="21"/>
        <v>17</v>
      </c>
      <c r="BH26" s="22">
        <f t="shared" ca="1" si="19"/>
        <v>52.35</v>
      </c>
      <c r="BJ26" s="225">
        <f t="shared" ca="1" si="22"/>
        <v>45.500000000000057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9.6879494862222235E-3</v>
      </c>
      <c r="BB27" s="22">
        <f t="shared" si="20"/>
        <v>18</v>
      </c>
      <c r="BC27" s="22">
        <f t="shared" ca="1" si="16"/>
        <v>44.91571428571428</v>
      </c>
      <c r="BE27" s="224">
        <f t="shared" ca="1" si="17"/>
        <v>290</v>
      </c>
      <c r="BF27" s="21">
        <f t="shared" ca="1" si="18"/>
        <v>8.6419168129087606E-3</v>
      </c>
      <c r="BG27" s="22">
        <f t="shared" ca="1" si="21"/>
        <v>18</v>
      </c>
      <c r="BH27" s="22">
        <f t="shared" ca="1" si="19"/>
        <v>41.428571428571431</v>
      </c>
      <c r="BJ27" s="224">
        <f t="shared" ca="1" si="22"/>
        <v>-24.409999999999968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0.10341156576195271</v>
      </c>
      <c r="BB28" s="22">
        <f t="shared" si="20"/>
        <v>4</v>
      </c>
      <c r="BC28" s="22">
        <f t="shared" ca="1" si="16"/>
        <v>479.44142857142862</v>
      </c>
      <c r="BE28" s="223">
        <f t="shared" ca="1" si="17"/>
        <v>3080.04</v>
      </c>
      <c r="BF28" s="21">
        <f t="shared" ca="1" si="18"/>
        <v>9.1784308484246541E-2</v>
      </c>
      <c r="BG28" s="22">
        <f t="shared" ca="1" si="21"/>
        <v>5</v>
      </c>
      <c r="BH28" s="22">
        <f t="shared" ca="1" si="19"/>
        <v>440.0057142857143</v>
      </c>
      <c r="BJ28" s="223">
        <f t="shared" ca="1" si="22"/>
        <v>-276.04999999999984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47.94</v>
      </c>
      <c r="AD29" s="160">
        <f t="shared" si="8"/>
        <v>67.080000000000069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137.08000000000007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207.08000000000007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277.08000000000004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347.08000000000004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417.08000000000004</v>
      </c>
      <c r="AZ29" s="152">
        <f t="shared" si="23"/>
        <v>360.25</v>
      </c>
      <c r="BA29" s="21">
        <f t="shared" si="15"/>
        <v>1.110042238609318E-2</v>
      </c>
      <c r="BB29" s="22">
        <f t="shared" si="20"/>
        <v>16</v>
      </c>
      <c r="BC29" s="22">
        <f t="shared" ca="1" si="16"/>
        <v>51.464285714285715</v>
      </c>
      <c r="BE29" s="224">
        <f t="shared" ca="1" si="17"/>
        <v>474</v>
      </c>
      <c r="BF29" s="21">
        <f t="shared" ca="1" si="18"/>
        <v>1.4125064032133629E-2</v>
      </c>
      <c r="BG29" s="22">
        <f t="shared" ca="1" si="21"/>
        <v>15</v>
      </c>
      <c r="BH29" s="22">
        <f t="shared" ca="1" si="19"/>
        <v>67.714285714285708</v>
      </c>
      <c r="BJ29" s="224">
        <f t="shared" ca="1" si="22"/>
        <v>113.75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6.3860167647961461E-3</v>
      </c>
      <c r="BB30" s="22">
        <f t="shared" si="20"/>
        <v>19</v>
      </c>
      <c r="BC30" s="22">
        <f t="shared" ca="1" si="16"/>
        <v>29.607142857142858</v>
      </c>
      <c r="BE30" s="225">
        <f t="shared" ca="1" si="17"/>
        <v>285</v>
      </c>
      <c r="BF30" s="21">
        <f t="shared" ca="1" si="18"/>
        <v>8.492918247168954E-3</v>
      </c>
      <c r="BG30" s="22">
        <f t="shared" ca="1" si="21"/>
        <v>19</v>
      </c>
      <c r="BH30" s="22">
        <f t="shared" ca="1" si="19"/>
        <v>40.714285714285715</v>
      </c>
      <c r="BJ30" s="225">
        <f t="shared" ca="1" si="22"/>
        <v>77.75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4.2022917557679052E-3</v>
      </c>
      <c r="BB31" s="22">
        <f t="shared" si="20"/>
        <v>21</v>
      </c>
      <c r="BC31" s="22">
        <f t="shared" ca="1" si="16"/>
        <v>19.482857142857142</v>
      </c>
      <c r="BE31" s="224">
        <f t="shared" ca="1" si="17"/>
        <v>140</v>
      </c>
      <c r="BF31" s="21">
        <f t="shared" ca="1" si="18"/>
        <v>4.1719598407145737E-3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3.6199999999999761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114.38</v>
      </c>
      <c r="AC32" s="155">
        <f>SUM('07'!D260:F260)</f>
        <v>349</v>
      </c>
      <c r="AD32" s="161">
        <f t="shared" si="8"/>
        <v>578.66999999999996</v>
      </c>
      <c r="AE32" s="143" t="s">
        <v>73</v>
      </c>
      <c r="AF32" s="155">
        <f>'08'!B260</f>
        <v>100</v>
      </c>
      <c r="AG32" s="155">
        <f>SUM('08'!D260:F260)</f>
        <v>0</v>
      </c>
      <c r="AH32" s="161">
        <f t="shared" si="9"/>
        <v>678.67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728.67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778.67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828.67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878.67</v>
      </c>
      <c r="AZ32" s="157">
        <f t="shared" si="23"/>
        <v>834.58999999999992</v>
      </c>
      <c r="BA32" s="21">
        <f t="shared" si="15"/>
        <v>2.5716312336459421E-2</v>
      </c>
      <c r="BB32" s="22">
        <f t="shared" si="20"/>
        <v>11</v>
      </c>
      <c r="BC32" s="22">
        <f t="shared" ca="1" si="16"/>
        <v>119.22714285714285</v>
      </c>
      <c r="BE32" s="225">
        <f t="shared" ca="1" si="17"/>
        <v>1427.5100000000002</v>
      </c>
      <c r="BF32" s="21">
        <f t="shared" ca="1" si="18"/>
        <v>4.2539388515846162E-2</v>
      </c>
      <c r="BG32" s="22">
        <f t="shared" ca="1" si="21"/>
        <v>8</v>
      </c>
      <c r="BH32" s="22">
        <f t="shared" ca="1" si="19"/>
        <v>203.93000000000004</v>
      </c>
      <c r="BJ32" s="225">
        <f t="shared" ca="1" si="22"/>
        <v>592.91999999999996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0.13544980359724554</v>
      </c>
      <c r="BB33" s="22">
        <f t="shared" si="20"/>
        <v>2</v>
      </c>
      <c r="BC33" s="22">
        <f t="shared" ca="1" si="16"/>
        <v>627.97857142857151</v>
      </c>
      <c r="BE33" s="224">
        <f t="shared" ca="1" si="17"/>
        <v>4371.9400000000005</v>
      </c>
      <c r="BF33" s="21">
        <f t="shared" ca="1" si="18"/>
        <v>0.13028255790009768</v>
      </c>
      <c r="BG33" s="22">
        <f t="shared" ca="1" si="21"/>
        <v>2</v>
      </c>
      <c r="BH33" s="22">
        <f t="shared" ca="1" si="19"/>
        <v>624.56285714285718</v>
      </c>
      <c r="BJ33" s="224">
        <f t="shared" ca="1" si="22"/>
        <v>-23.909999999999741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151.31</v>
      </c>
      <c r="AD34" s="161">
        <f t="shared" si="8"/>
        <v>21.599999999999795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111.5999999999998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201.5999999999998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291.5999999999998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381.5999999999998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471.5999999999998</v>
      </c>
      <c r="AZ34" s="152">
        <f t="shared" si="23"/>
        <v>1134.4100000000001</v>
      </c>
      <c r="BA34" s="21">
        <f t="shared" si="15"/>
        <v>3.4954698567683455E-2</v>
      </c>
      <c r="BB34" s="22">
        <f t="shared" si="20"/>
        <v>7</v>
      </c>
      <c r="BC34" s="22">
        <f t="shared" ca="1" si="16"/>
        <v>162.05857142857144</v>
      </c>
      <c r="BE34" s="225">
        <f t="shared" ca="1" si="17"/>
        <v>1054.4099999999999</v>
      </c>
      <c r="BF34" s="21">
        <f t="shared" ca="1" si="18"/>
        <v>3.1421115540341805E-2</v>
      </c>
      <c r="BG34" s="22">
        <f t="shared" ca="1" si="21"/>
        <v>12</v>
      </c>
      <c r="BH34" s="22">
        <f t="shared" ca="1" si="19"/>
        <v>150.62999999999997</v>
      </c>
      <c r="BJ34" s="225">
        <f t="shared" ca="1" si="22"/>
        <v>-80.000000000000114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1904.0100000000004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2019.0100000000004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2134.0100000000002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2249.0100000000002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2364.0100000000002</v>
      </c>
      <c r="AZ35" s="188">
        <f t="shared" si="23"/>
        <v>967.6</v>
      </c>
      <c r="BA35" s="21">
        <f t="shared" si="15"/>
        <v>2.981476391612425E-2</v>
      </c>
      <c r="BB35" s="22">
        <f t="shared" si="20"/>
        <v>9</v>
      </c>
      <c r="BC35" s="22">
        <f t="shared" ca="1" si="16"/>
        <v>138.22857142857143</v>
      </c>
      <c r="BE35" s="224">
        <f t="shared" ca="1" si="17"/>
        <v>1252.01</v>
      </c>
      <c r="BF35" s="21">
        <f t="shared" ca="1" si="18"/>
        <v>3.7309538858378954E-2</v>
      </c>
      <c r="BG35" s="22">
        <f t="shared" ca="1" si="21"/>
        <v>9</v>
      </c>
      <c r="BH35" s="22">
        <f t="shared" ca="1" si="19"/>
        <v>178.85857142857142</v>
      </c>
      <c r="BJ35" s="224">
        <f t="shared" ca="1" si="22"/>
        <v>284.41000000000008</v>
      </c>
    </row>
    <row r="36" spans="1:62" ht="15.75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484.92000000000007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574.92000000000007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664.92000000000007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754.92000000000007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844.92000000000007</v>
      </c>
      <c r="AZ36" s="182">
        <f t="shared" si="23"/>
        <v>546.08999999999992</v>
      </c>
      <c r="BA36" s="21">
        <f t="shared" si="15"/>
        <v>1.6826730494994096E-2</v>
      </c>
      <c r="BB36" s="22">
        <f t="shared" si="20"/>
        <v>12</v>
      </c>
      <c r="BC36" s="22">
        <f t="shared" ca="1" si="16"/>
        <v>78.012857142857129</v>
      </c>
      <c r="BE36" s="223">
        <f t="shared" ca="1" si="17"/>
        <v>840.02</v>
      </c>
      <c r="BF36" s="21">
        <f t="shared" ca="1" si="18"/>
        <v>2.5032355038550402E-2</v>
      </c>
      <c r="BG36" s="22">
        <f t="shared" ca="1" si="21"/>
        <v>13</v>
      </c>
      <c r="BH36" s="22">
        <f t="shared" ca="1" si="19"/>
        <v>120.00285714285714</v>
      </c>
      <c r="BJ36" s="223">
        <f t="shared" ca="1" si="22"/>
        <v>293.93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50</v>
      </c>
      <c r="AG37" s="165">
        <f>SUM('08'!D360:F360)</f>
        <v>0</v>
      </c>
      <c r="AH37" s="151">
        <f t="shared" si="9"/>
        <v>325.73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370.73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460.73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505.73</v>
      </c>
      <c r="AZ37" s="152">
        <f t="shared" si="23"/>
        <v>367.65</v>
      </c>
      <c r="BA37" s="21">
        <f t="shared" si="15"/>
        <v>1.1328439389999048E-2</v>
      </c>
      <c r="BB37" s="22">
        <f t="shared" si="20"/>
        <v>15</v>
      </c>
      <c r="BC37" s="22">
        <f t="shared" ca="1" si="16"/>
        <v>52.521428571428565</v>
      </c>
      <c r="BE37" s="224">
        <f t="shared" ca="1" si="17"/>
        <v>370</v>
      </c>
      <c r="BF37" s="21">
        <f t="shared" ca="1" si="18"/>
        <v>1.1025893864745659E-2</v>
      </c>
      <c r="BG37" s="22">
        <f t="shared" ca="1" si="21"/>
        <v>16</v>
      </c>
      <c r="BH37" s="22">
        <f t="shared" ca="1" si="19"/>
        <v>52.857142857142854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18.600000000000001</v>
      </c>
      <c r="AD38" s="156">
        <f t="shared" si="8"/>
        <v>93.030000000000058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163.03000000000006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233.03000000000006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303.03000000000009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373.03000000000009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443.03000000000009</v>
      </c>
      <c r="AZ38" s="157">
        <f t="shared" si="23"/>
        <v>466.17000000000007</v>
      </c>
      <c r="BA38" s="21">
        <f t="shared" si="15"/>
        <v>1.436414685281071E-2</v>
      </c>
      <c r="BB38" s="22">
        <f t="shared" si="20"/>
        <v>14</v>
      </c>
      <c r="BC38" s="22">
        <f t="shared" ca="1" si="16"/>
        <v>66.595714285714294</v>
      </c>
      <c r="BE38" s="225">
        <f t="shared" ca="1" si="17"/>
        <v>520</v>
      </c>
      <c r="BF38" s="21">
        <f t="shared" ca="1" si="18"/>
        <v>1.5495850836939846E-2</v>
      </c>
      <c r="BG38" s="22">
        <f t="shared" ca="1" si="21"/>
        <v>14</v>
      </c>
      <c r="BH38" s="22">
        <f t="shared" ca="1" si="19"/>
        <v>74.285714285714292</v>
      </c>
      <c r="BJ38" s="225">
        <f t="shared" ca="1" si="22"/>
        <v>53.830000000000027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46.259999999999991</v>
      </c>
      <c r="AE39" s="148" t="s">
        <v>73</v>
      </c>
      <c r="AF39" s="165">
        <f>'08'!B400</f>
        <v>10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-1133.74</v>
      </c>
      <c r="BF39" s="21">
        <f t="shared" ca="1" si="18"/>
        <v>-3.3785126784369582E-2</v>
      </c>
      <c r="BG39" s="22">
        <f t="shared" ca="1" si="21"/>
        <v>25</v>
      </c>
      <c r="BH39" s="22">
        <f t="shared" ca="1" si="19"/>
        <v>-161.96285714285713</v>
      </c>
      <c r="BJ39" s="224">
        <f t="shared" ca="1" si="22"/>
        <v>-1133.74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51</v>
      </c>
      <c r="AC40" s="166">
        <f>SUM('07'!D420:F420)</f>
        <v>3.06</v>
      </c>
      <c r="AD40" s="156">
        <f t="shared" si="8"/>
        <v>130.92000000000058</v>
      </c>
      <c r="AE40" s="143" t="s">
        <v>73</v>
      </c>
      <c r="AF40" s="166">
        <f>'08'!B420</f>
        <v>50</v>
      </c>
      <c r="AG40" s="166">
        <f>SUM('08'!D420:F420)</f>
        <v>0</v>
      </c>
      <c r="AH40" s="156">
        <f t="shared" si="9"/>
        <v>180.92000000000058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200.92000000000058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220.92000000000058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240.92000000000058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260.92000000000058</v>
      </c>
      <c r="AZ40" s="157">
        <f t="shared" si="23"/>
        <v>161.12</v>
      </c>
      <c r="BA40" s="21">
        <f t="shared" si="15"/>
        <v>4.9646080634207718E-3</v>
      </c>
      <c r="BB40" s="22">
        <f t="shared" si="20"/>
        <v>20</v>
      </c>
      <c r="BC40" s="22">
        <f t="shared" ca="1" si="16"/>
        <v>23.017142857142858</v>
      </c>
      <c r="BE40" s="225">
        <f t="shared" ca="1" si="17"/>
        <v>-512.47</v>
      </c>
      <c r="BF40" s="21">
        <f t="shared" ca="1" si="18"/>
        <v>-1.5271458996935699E-2</v>
      </c>
      <c r="BG40" s="22">
        <f t="shared" ca="1" si="21"/>
        <v>24</v>
      </c>
      <c r="BH40" s="22">
        <f t="shared" ca="1" si="19"/>
        <v>-73.210000000000008</v>
      </c>
      <c r="BJ40" s="225">
        <f t="shared" ca="1" si="22"/>
        <v>-673.58999999999992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-2220.9500000000003</v>
      </c>
      <c r="AC41" s="165">
        <f>SUM('07'!D440:F440)</f>
        <v>0</v>
      </c>
      <c r="AD41" s="151">
        <f t="shared" si="8"/>
        <v>5779.34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1879.3400000000001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-2020.6599999999999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-5920.66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-9820.66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-13720.66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-2770.6599999999976</v>
      </c>
      <c r="BF41" s="21">
        <f t="shared" ca="1" si="18"/>
        <v>-8.2564873230530217E-2</v>
      </c>
      <c r="BG41" s="22">
        <f t="shared" ca="1" si="21"/>
        <v>26</v>
      </c>
      <c r="BH41" s="22">
        <f t="shared" ca="1" si="19"/>
        <v>-395.8085714285711</v>
      </c>
      <c r="BJ41" s="224">
        <f t="shared" ca="1" si="22"/>
        <v>-2770.659999999998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0.1205767913278067</v>
      </c>
      <c r="BG42" s="22">
        <f t="shared" ca="1" si="21"/>
        <v>4</v>
      </c>
      <c r="BH42" s="22">
        <f t="shared" ca="1" si="19"/>
        <v>578.03428571428572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758.63000000000011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808.63000000000011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858.63000000000011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908.63000000000011</v>
      </c>
      <c r="AZ43" s="152">
        <f t="shared" si="23"/>
        <v>500</v>
      </c>
      <c r="BA43" s="21">
        <f t="shared" si="15"/>
        <v>1.5406554317964163E-2</v>
      </c>
      <c r="BB43" s="22">
        <f t="shared" si="20"/>
        <v>13</v>
      </c>
      <c r="BC43" s="22">
        <f t="shared" ca="1" si="16"/>
        <v>71.428571428571431</v>
      </c>
      <c r="BE43" s="224">
        <f t="shared" ca="1" si="17"/>
        <v>180.63000000000005</v>
      </c>
      <c r="BF43" s="21">
        <f t="shared" ca="1" si="18"/>
        <v>5.3827221859162402E-3</v>
      </c>
      <c r="BG43" s="22">
        <f t="shared" ca="1" si="21"/>
        <v>20</v>
      </c>
      <c r="BH43" s="22">
        <f t="shared" ca="1" si="19"/>
        <v>25.804285714285722</v>
      </c>
      <c r="BJ43" s="224">
        <f t="shared" ca="1" si="22"/>
        <v>-319.36999999999989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1.9899105557082512E-3</v>
      </c>
      <c r="BB45" s="22">
        <f t="shared" si="20"/>
        <v>22</v>
      </c>
      <c r="BC45" s="22">
        <f t="shared" ca="1" si="16"/>
        <v>9.225714285714286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1945.1799999999998</v>
      </c>
      <c r="AC46" s="219">
        <f>SUM(AC20:AC45)</f>
        <v>3740.95</v>
      </c>
      <c r="AD46" s="220">
        <f>SUM(AD20:AD45)</f>
        <v>27487.190000000002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27487.190000000002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27487.190000000002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27487.189999999995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27487.189999999995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27487.189999999995</v>
      </c>
      <c r="AZ46" s="227">
        <f>SUM(AZ20:AZ45)</f>
        <v>32453.720000000005</v>
      </c>
      <c r="BA46" s="1"/>
      <c r="BB46" s="1"/>
      <c r="BC46" s="124">
        <f ca="1">SUM(BC20:BC45)</f>
        <v>4636.2457142857147</v>
      </c>
      <c r="BE46" s="227">
        <f ca="1">SUM(BE20:BE45)</f>
        <v>33557.369999999995</v>
      </c>
      <c r="BF46" s="1"/>
      <c r="BG46" s="1"/>
      <c r="BH46" s="124">
        <f ca="1">SUM(BH20:BH45)</f>
        <v>4793.9100000000026</v>
      </c>
      <c r="BJ46" s="227">
        <f ca="1">SUM(BJ20:BJ45)</f>
        <v>1103.6500000000028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-1795.77</v>
      </c>
      <c r="AD47" s="125"/>
      <c r="AE47" s="125">
        <f>AE5-AD46</f>
        <v>1795.7699999999968</v>
      </c>
      <c r="AF47" s="125">
        <f>AE17-AF46</f>
        <v>0</v>
      </c>
      <c r="AG47" s="125">
        <f>AE17-AG46</f>
        <v>0</v>
      </c>
      <c r="AH47" s="125"/>
      <c r="AI47" s="125">
        <f>AI5-AH46</f>
        <v>-12385.300000000001</v>
      </c>
      <c r="AJ47" s="125">
        <f>AI17-AJ46</f>
        <v>0</v>
      </c>
      <c r="AK47" s="125">
        <f>AI17-AK46</f>
        <v>0</v>
      </c>
      <c r="AL47" s="125"/>
      <c r="AM47" s="125">
        <f>AM5-AL46</f>
        <v>-12385.300000000001</v>
      </c>
      <c r="AN47" s="125">
        <f>AM17-AN46</f>
        <v>0</v>
      </c>
      <c r="AO47" s="125">
        <f>AM17-AO46</f>
        <v>0</v>
      </c>
      <c r="AP47" s="125"/>
      <c r="AQ47" s="125">
        <f>AQ5-AP46</f>
        <v>-12385.299999999994</v>
      </c>
      <c r="AR47" s="125">
        <f>AQ17-AR46</f>
        <v>0</v>
      </c>
      <c r="AS47" s="125">
        <f>AQ17-AS46</f>
        <v>0</v>
      </c>
      <c r="AT47" s="140"/>
      <c r="AU47" s="125">
        <f>AU5-AT46</f>
        <v>-12385.299999999994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55634.948571428577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300.02000000000004</v>
      </c>
      <c r="Z50" s="119" t="s">
        <v>653</v>
      </c>
      <c r="AA50" s="119"/>
      <c r="AB50" s="119"/>
      <c r="AC50" s="119">
        <f>AC22</f>
        <v>30.549999999999997</v>
      </c>
      <c r="AD50" s="119" t="s">
        <v>713</v>
      </c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477</v>
      </c>
      <c r="AC54" s="388"/>
      <c r="AD54" s="239">
        <v>15</v>
      </c>
      <c r="AE54" s="95"/>
      <c r="AF54" s="399"/>
      <c r="AG54" s="400"/>
      <c r="AH54" s="100"/>
      <c r="AI54" s="95"/>
      <c r="AJ54" s="401"/>
      <c r="AK54" s="402"/>
      <c r="AL54" s="100"/>
      <c r="AM54" s="95"/>
      <c r="AN54" s="401"/>
      <c r="AO54" s="402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/>
      <c r="AB55" s="378"/>
      <c r="AC55" s="379"/>
      <c r="AD55" s="100"/>
      <c r="AE55" s="96"/>
      <c r="AF55" s="395"/>
      <c r="AG55" s="396"/>
      <c r="AH55" s="100"/>
      <c r="AI55" s="96"/>
      <c r="AJ55" s="395"/>
      <c r="AK55" s="396"/>
      <c r="AL55" s="100"/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/>
      <c r="AF56" s="395"/>
      <c r="AG56" s="396"/>
      <c r="AH56" s="100"/>
      <c r="AI56" s="96"/>
      <c r="AJ56" s="389"/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390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386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390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566</v>
      </c>
      <c r="U70" s="379"/>
      <c r="V70" s="100">
        <v>3742.92</v>
      </c>
      <c r="W70" s="96"/>
      <c r="X70" s="378" t="s">
        <v>564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567</v>
      </c>
      <c r="U71" s="394"/>
      <c r="V71" s="101">
        <v>1872.17</v>
      </c>
      <c r="W71" s="97"/>
      <c r="X71" s="393" t="s">
        <v>565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'08'!A6+(B6-SUM(D6:F6))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'08'!A7+(B7-SUM(D7:F7))</f>
        <v>307.39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'08'!A11+(B11-SUM(D11:F11))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'08'!A13+(B13-SUM(D13:F13))</f>
        <v>44.5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1923.2199999999998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'08'!A27+(B27-SUM(D27:F27))</f>
        <v>394.03999999999996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2656.1500000000005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142.02000000000004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2698.1800000000012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1242.06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'09'!A7+(B7-SUM(D7:F7))</f>
        <v>377.57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'09'!A11+(B11-SUM(D11:F11))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'09'!A13+(B13-SUM(D13:F13))</f>
        <v>51.5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2467.2199999999998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'09'!A26+(B26-SUM(D26:F26))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'09'!A27+(B27-SUM(D27:F27))</f>
        <v>564.04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3784.1500000000005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213.02000000000004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2723.7100000000014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1621.53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565.23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'10'!A6+(B6-SUM(D6:F6))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'10'!A7+(B7-SUM(D7:F7))</f>
        <v>447.75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'10'!A10+(B10-SUM(D10:F10))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'10'!A11+(B11-SUM(D11:F11))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'10'!A13+(B13-SUM(D13:F13))</f>
        <v>58.5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3011.22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'10'!A26+(B26-SUM(D26:F26))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'10'!A27+(B27-SUM(D27:F27))</f>
        <v>734.04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4912.1499999999996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284.02000000000004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2749.2400000000016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585.23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'11'!A6+(B6-SUM(D6:F6))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'11'!A7+(B7-SUM(D7:F7))</f>
        <v>517.93000000000006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'11'!A10+(B10-SUM(D10:F10))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'11'!A11+(B11-SUM(D11:F11))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'11'!A13+(B13-SUM(D13:F13))</f>
        <v>65.5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3555.22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'11'!A26+(B26-SUM(D26:F26))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'11'!A27+(B27-SUM(D27:F27))</f>
        <v>904.04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6040.15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355.02000000000004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2774.7700000000018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2380.4700000000003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605.23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B14" sqref="B14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</v>
      </c>
      <c r="C6" s="44" t="s">
        <v>95</v>
      </c>
      <c r="D6" s="43" t="s">
        <v>96</v>
      </c>
      <c r="E6" s="42"/>
      <c r="J6" t="s">
        <v>97</v>
      </c>
      <c r="K6" s="49">
        <f>B4-B15</f>
        <v>129678.16808539932</v>
      </c>
      <c r="L6" s="39">
        <f>B4*(E8/100)</f>
        <v>21.674806666666665</v>
      </c>
      <c r="M6" s="49">
        <f>B13-L6</f>
        <v>370.67191460067761</v>
      </c>
    </row>
    <row r="7" spans="1:13" ht="12.75" customHeight="1">
      <c r="E7" s="42"/>
      <c r="J7" t="s">
        <v>98</v>
      </c>
      <c r="K7" s="49">
        <f>K6-(B13-L7)</f>
        <v>129307.4343921462</v>
      </c>
      <c r="L7" s="39">
        <f>(K6*(E8/100))</f>
        <v>21.613028014233219</v>
      </c>
      <c r="M7" s="49">
        <f>B13-L7</f>
        <v>370.73369325311103</v>
      </c>
    </row>
    <row r="8" spans="1:13" ht="12.75" customHeight="1">
      <c r="B8" s="42"/>
      <c r="D8" t="s">
        <v>183</v>
      </c>
      <c r="E8" s="50">
        <f>(B6+0.5)/12</f>
        <v>1.6666666666666666E-2</v>
      </c>
      <c r="J8" t="s">
        <v>99</v>
      </c>
      <c r="K8" s="49">
        <f>K7-(B13-L8)</f>
        <v>128936.63890994422</v>
      </c>
      <c r="L8" s="39">
        <f>(K7*(E8/100))</f>
        <v>21.551239065357699</v>
      </c>
      <c r="M8" s="49">
        <f>B13-L8</f>
        <v>370.79548220198654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1.0001666666666666</v>
      </c>
      <c r="J9" t="s">
        <v>101</v>
      </c>
      <c r="K9" s="49">
        <f>K8-(B13-L9)</f>
        <v>128565.7816284952</v>
      </c>
      <c r="L9" s="39">
        <f>(K8*(E8/100))</f>
        <v>21.489439818324037</v>
      </c>
      <c r="M9" s="49">
        <f>B13-L9</f>
        <v>370.85728144902021</v>
      </c>
    </row>
    <row r="10" spans="1:13" ht="12.75" customHeight="1">
      <c r="B10" s="42"/>
      <c r="D10" t="s">
        <v>102</v>
      </c>
      <c r="E10" s="50">
        <f>E9^-B5</f>
        <v>0.94475598879314326</v>
      </c>
      <c r="J10" t="s">
        <v>103</v>
      </c>
      <c r="K10" s="49">
        <f>K9-(B13-L10)</f>
        <v>128194.86253749927</v>
      </c>
      <c r="L10" s="39">
        <f>(K9*(E8/100))</f>
        <v>21.427630271415865</v>
      </c>
      <c r="M10" s="49">
        <f>B13-L10</f>
        <v>370.9190909959284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5.524401120685674</v>
      </c>
      <c r="J11" t="s">
        <v>106</v>
      </c>
      <c r="K11" s="51">
        <f>K10-(B13-L11)</f>
        <v>127823.88162665484</v>
      </c>
      <c r="L11" s="39">
        <f>(K10*(E8/100))</f>
        <v>21.365810422916546</v>
      </c>
      <c r="M11" s="49">
        <f>B13-L11</f>
        <v>370.98091084442774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392.34672126734426</v>
      </c>
      <c r="E13" s="42"/>
      <c r="F13" s="44"/>
      <c r="G13" s="53"/>
      <c r="L13" s="54">
        <f>SUM(L6:L11)</f>
        <v>129.12195425891403</v>
      </c>
      <c r="M13" s="54">
        <f>SUM(M6:M11)</f>
        <v>2224.9583733451518</v>
      </c>
    </row>
    <row r="14" spans="1:13" ht="12.75" customHeight="1">
      <c r="A14" t="s">
        <v>108</v>
      </c>
      <c r="B14" s="55">
        <f>B4*(E8/100)</f>
        <v>21.674806666666665</v>
      </c>
      <c r="E14" s="42"/>
    </row>
    <row r="15" spans="1:13" ht="12.75" customHeight="1">
      <c r="A15" t="s">
        <v>109</v>
      </c>
      <c r="B15" s="55">
        <f>B13-B14</f>
        <v>370.67191460067761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392.34828126734425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2224.9583733451518</v>
      </c>
      <c r="C22" s="58">
        <f>B22/170000</f>
        <v>1.308799043144207E-2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127823.88162665484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-0.3</v>
      </c>
      <c r="F40">
        <v>28</v>
      </c>
      <c r="G40" s="57">
        <f t="shared" ref="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-3.0000000000000001E-3</v>
      </c>
      <c r="D25" s="73">
        <f>Hipoteca!B$13</f>
        <v>392.34672126734426</v>
      </c>
      <c r="E25" s="72">
        <f t="shared" ref="E25" si="10">D25-D24</f>
        <v>-10.73327873265572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8.386143892339543E-3</v>
      </c>
      <c r="D83" s="85">
        <f>AVERAGE(D2:D82)</f>
        <v>492.36885682772771</v>
      </c>
      <c r="E83" s="86">
        <f>AVERAGE(E3:E82)</f>
        <v>-19.813186031854599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K1" workbookViewId="0">
      <selection activeCell="Q35" sqref="Q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1455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43664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59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43664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  <c r="S4" s="341">
        <v>43673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510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43664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  <c r="S5" s="341">
        <v>43673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519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t="shared" ref="W13:W41" ca="1" si="0">D13/D$43</f>
        <v>3.8993710691823898E-2</v>
      </c>
      <c r="X13" s="119">
        <f ca="1">W13*E13</f>
        <v>156.72621062893083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t="shared" ca="1" si="0"/>
        <v>3.4591194968553458E-2</v>
      </c>
      <c r="X15" s="119">
        <f t="shared" ca="1" si="2"/>
        <v>0</v>
      </c>
    </row>
    <row r="16" spans="1:26">
      <c r="A16" s="262" t="s">
        <v>515</v>
      </c>
      <c r="B16" s="262" t="s">
        <v>523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t="shared" ca="1" si="0"/>
        <v>8.8050314465408803E-3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t="shared" ca="1" si="0"/>
        <v>0.54654088050314464</v>
      </c>
      <c r="X19" s="119">
        <f t="shared" ca="1" si="2"/>
        <v>2417.56888709434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t="shared" ca="1" si="0"/>
        <v>0.39748427672955977</v>
      </c>
      <c r="X20" s="119">
        <f t="shared" ca="1" si="2"/>
        <v>238.72905660377361</v>
      </c>
    </row>
    <row r="21" spans="1:24">
      <c r="A21" s="262" t="s">
        <v>515</v>
      </c>
      <c r="B21" s="262" t="s">
        <v>523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515</v>
      </c>
      <c r="B24" s="262" t="s">
        <v>523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t="shared" ca="1" si="0"/>
        <v>0.1811320754716981</v>
      </c>
      <c r="X25" s="119">
        <f t="shared" ca="1" si="2"/>
        <v>110.12164093584904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1"/>
        <v>510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43664</v>
      </c>
      <c r="L28" s="302">
        <v>27</v>
      </c>
      <c r="M28" s="264">
        <f>(H28*L28)</f>
        <v>5292</v>
      </c>
      <c r="N28" s="264">
        <f>-(IF((M28*0.0075)&lt;30,30,(M28*0.0075)) + (M28*0.0035))</f>
        <v>-58.212000000000003</v>
      </c>
      <c r="O28" s="272">
        <f>J28+N28</f>
        <v>-114.22488</v>
      </c>
      <c r="P28" s="273">
        <f ca="1">IF(K28=0,0,M28-E28+N28)</f>
        <v>85.695119999999847</v>
      </c>
      <c r="Q28" s="274">
        <f ca="1">P28/E28</f>
        <v>1.6645993379979549E-2</v>
      </c>
      <c r="R28" s="275" t="s">
        <v>518</v>
      </c>
      <c r="S28" s="59">
        <f ca="1">Q28+Q29+Q30+Q34</f>
        <v>4.1051147468807871E-2</v>
      </c>
      <c r="W28" s="39">
        <f t="shared" ca="1" si="0"/>
        <v>0.32075471698113206</v>
      </c>
      <c r="X28" s="119">
        <f t="shared" ca="1" si="2"/>
        <v>1651.2750747169812</v>
      </c>
    </row>
    <row r="29" spans="1:24">
      <c r="A29" s="262" t="s">
        <v>517</v>
      </c>
      <c r="B29" s="262" t="s">
        <v>518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517</v>
      </c>
      <c r="B30" s="262" t="s">
        <v>518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517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517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</f>
        <v>-15.84</v>
      </c>
      <c r="Q32" s="274"/>
      <c r="R32" s="275" t="s">
        <v>531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0"/>
        <v>1.3836477987421384E-2</v>
      </c>
      <c r="X33" s="119">
        <f t="shared" ca="1" si="2"/>
        <v>57.132563773584906</v>
      </c>
    </row>
    <row r="34" spans="1:26">
      <c r="A34" s="262" t="s">
        <v>517</v>
      </c>
      <c r="B34" s="262" t="s">
        <v>518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1"/>
        <v>59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43664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413</v>
      </c>
      <c r="W35" s="39">
        <f t="shared" ca="1" si="0"/>
        <v>3.7106918238993709E-2</v>
      </c>
      <c r="X35" s="119">
        <f t="shared" ca="1" si="2"/>
        <v>151.72079543396228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2511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-374.48725900000005</v>
      </c>
      <c r="O42" s="315">
        <f>SUM(O13:O41)</f>
        <v>-560.68539699999997</v>
      </c>
      <c r="P42" s="315">
        <f ca="1">SUM(P13:P41)</f>
        <v>3760.072983</v>
      </c>
      <c r="Q42" s="326">
        <f ca="1">SUM(Q13:Q41)</f>
        <v>3.9447953510288309</v>
      </c>
      <c r="R42" s="317"/>
      <c r="W42" s="327">
        <f ca="1">SUM(W13:W41)</f>
        <v>1.5792452830188679</v>
      </c>
      <c r="X42" s="328">
        <f ca="1">SUM(X13:X41)</f>
        <v>4783.274229187421</v>
      </c>
      <c r="Y42" s="329">
        <f ca="1">P42/X42</f>
        <v>0.7860876886497804</v>
      </c>
      <c r="Z42" s="329">
        <f ca="1">Y42/(D$43/365)</f>
        <v>0.18045409204853452</v>
      </c>
    </row>
    <row r="43" spans="1:26">
      <c r="C43" s="119" t="s">
        <v>569</v>
      </c>
      <c r="D43" s="46">
        <f ca="1">_xlfn.DAYS(TODAY(),F13)</f>
        <v>1590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75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B6" sqref="B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575</v>
      </c>
      <c r="B1" s="449"/>
      <c r="C1" s="449"/>
      <c r="D1" s="449"/>
      <c r="E1" s="449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5.2921386202666962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6.5289667330982031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2.6599494097807495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5.0780852368541582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19.559139999999807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604</v>
      </c>
      <c r="B15" s="447"/>
      <c r="C15" s="447"/>
      <c r="D15" s="447"/>
      <c r="E15" s="447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>
        <v>2018</v>
      </c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3">
        <v>2901.68</v>
      </c>
      <c r="L5" s="43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7">
        <v>620.05999999999995</v>
      </c>
      <c r="L6" s="41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7">
        <v>8035.29</v>
      </c>
      <c r="L7" s="41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7">
        <v>659.39</v>
      </c>
      <c r="L9" s="41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7">
        <f>240+35</f>
        <v>275</v>
      </c>
      <c r="L11" s="41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9">
        <f>SUM(K5:K18)</f>
        <v>26383.54</v>
      </c>
      <c r="L19" s="420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12"/>
      <c r="I22" s="421" t="s">
        <v>6</v>
      </c>
      <c r="J22" s="412"/>
      <c r="K22" s="412"/>
      <c r="L22" s="41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12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12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2" t="str">
        <f>AÑO!A8</f>
        <v>Manolo Salario</v>
      </c>
      <c r="J25" s="425" t="s">
        <v>291</v>
      </c>
      <c r="K25" s="42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3"/>
      <c r="J26" s="427"/>
      <c r="K26" s="42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3"/>
      <c r="J27" s="427"/>
      <c r="K27" s="42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3"/>
      <c r="J28" s="427"/>
      <c r="K28" s="42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4"/>
      <c r="J29" s="429"/>
      <c r="K29" s="430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2" t="str">
        <f>AÑO!A9</f>
        <v>Rocío Salario</v>
      </c>
      <c r="J30" s="425" t="s">
        <v>238</v>
      </c>
      <c r="K30" s="42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3"/>
      <c r="J31" s="427" t="s">
        <v>256</v>
      </c>
      <c r="K31" s="42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3"/>
      <c r="J32" s="435" t="s">
        <v>267</v>
      </c>
      <c r="K32" s="42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2" t="s">
        <v>218</v>
      </c>
      <c r="J35" s="425" t="s">
        <v>306</v>
      </c>
      <c r="K35" s="42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2" t="str">
        <f>AÑO!A11</f>
        <v>Finanazas</v>
      </c>
      <c r="J40" s="425" t="s">
        <v>239</v>
      </c>
      <c r="K40" s="42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3"/>
      <c r="J41" s="427" t="s">
        <v>240</v>
      </c>
      <c r="K41" s="428"/>
      <c r="L41" s="229">
        <v>1.87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12"/>
      <c r="I42" s="423"/>
      <c r="J42" s="427" t="s">
        <v>269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12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12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2" t="str">
        <f>AÑO!A12</f>
        <v>Regalos</v>
      </c>
      <c r="J45" s="425" t="s">
        <v>299</v>
      </c>
      <c r="K45" s="42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4"/>
      <c r="J49" s="429"/>
      <c r="K49" s="430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2" t="str">
        <f>AÑO!A13</f>
        <v>Gubernamental</v>
      </c>
      <c r="J50" s="425" t="s">
        <v>259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4"/>
      <c r="J54" s="429"/>
      <c r="K54" s="430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4"/>
      <c r="J59" s="429"/>
      <c r="K59" s="430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12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12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12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2" t="str">
        <f>AÑO!A16</f>
        <v>Otros</v>
      </c>
      <c r="J65" s="425" t="s">
        <v>296</v>
      </c>
      <c r="K65" s="42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3"/>
      <c r="J66" s="427"/>
      <c r="K66" s="42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3"/>
      <c r="J67" s="427"/>
      <c r="K67" s="42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3"/>
      <c r="J68" s="427"/>
      <c r="K68" s="42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8"/>
      <c r="J69" s="439"/>
      <c r="K69" s="44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12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12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12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12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12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12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12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12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  <c r="H202" s="112"/>
    </row>
    <row r="203" spans="2:12" ht="15" customHeight="1" thickBot="1">
      <c r="B203" s="414"/>
      <c r="C203" s="415"/>
      <c r="D203" s="415"/>
      <c r="E203" s="415"/>
      <c r="F203" s="415"/>
      <c r="G203" s="416"/>
      <c r="H203" s="112"/>
    </row>
    <row r="204" spans="2:12" ht="15.75">
      <c r="B204" s="403" t="s">
        <v>8</v>
      </c>
      <c r="C204" s="404"/>
      <c r="D204" s="411" t="s">
        <v>9</v>
      </c>
      <c r="E204" s="411"/>
      <c r="F204" s="411"/>
      <c r="G204" s="404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5" t="str">
        <f>AÑO!A31</f>
        <v>Deportes</v>
      </c>
      <c r="C222" s="412"/>
      <c r="D222" s="412"/>
      <c r="E222" s="412"/>
      <c r="F222" s="412"/>
      <c r="G222" s="413"/>
      <c r="H222" s="112"/>
    </row>
    <row r="223" spans="2:8" ht="15" customHeight="1" thickBot="1">
      <c r="B223" s="414"/>
      <c r="C223" s="415"/>
      <c r="D223" s="415"/>
      <c r="E223" s="415"/>
      <c r="F223" s="415"/>
      <c r="G223" s="416"/>
      <c r="H223" s="112"/>
    </row>
    <row r="224" spans="2:8" ht="15.75">
      <c r="B224" s="403" t="s">
        <v>8</v>
      </c>
      <c r="C224" s="404"/>
      <c r="D224" s="411" t="s">
        <v>9</v>
      </c>
      <c r="E224" s="411"/>
      <c r="F224" s="411"/>
      <c r="G224" s="404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5" t="str">
        <f>AÑO!A32</f>
        <v>Hogar</v>
      </c>
      <c r="C242" s="412"/>
      <c r="D242" s="412"/>
      <c r="E242" s="412"/>
      <c r="F242" s="412"/>
      <c r="G242" s="413"/>
      <c r="H242" s="112"/>
    </row>
    <row r="243" spans="2:8" ht="15" customHeight="1" thickBot="1">
      <c r="B243" s="414"/>
      <c r="C243" s="415"/>
      <c r="D243" s="415"/>
      <c r="E243" s="415"/>
      <c r="F243" s="415"/>
      <c r="G243" s="416"/>
      <c r="H243" s="112"/>
    </row>
    <row r="244" spans="2:8" ht="15" customHeight="1">
      <c r="B244" s="403" t="s">
        <v>8</v>
      </c>
      <c r="C244" s="404"/>
      <c r="D244" s="411" t="s">
        <v>9</v>
      </c>
      <c r="E244" s="411"/>
      <c r="F244" s="411"/>
      <c r="G244" s="404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5" t="str">
        <f>AÑO!A33</f>
        <v>Formación</v>
      </c>
      <c r="C262" s="412"/>
      <c r="D262" s="412"/>
      <c r="E262" s="412"/>
      <c r="F262" s="412"/>
      <c r="G262" s="413"/>
      <c r="H262" s="112"/>
    </row>
    <row r="263" spans="2:8" ht="15" customHeight="1" thickBot="1">
      <c r="B263" s="414"/>
      <c r="C263" s="415"/>
      <c r="D263" s="415"/>
      <c r="E263" s="415"/>
      <c r="F263" s="415"/>
      <c r="G263" s="416"/>
      <c r="H263" s="112"/>
    </row>
    <row r="264" spans="2:8" ht="15.75">
      <c r="B264" s="403" t="s">
        <v>8</v>
      </c>
      <c r="C264" s="404"/>
      <c r="D264" s="411" t="s">
        <v>9</v>
      </c>
      <c r="E264" s="411"/>
      <c r="F264" s="411"/>
      <c r="G264" s="404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  <c r="H282" s="112"/>
    </row>
    <row r="283" spans="2:8" ht="15" customHeight="1" thickBot="1">
      <c r="B283" s="414"/>
      <c r="C283" s="415"/>
      <c r="D283" s="415"/>
      <c r="E283" s="415"/>
      <c r="F283" s="415"/>
      <c r="G283" s="416"/>
      <c r="H283" s="112"/>
    </row>
    <row r="284" spans="2:8" ht="15.75">
      <c r="B284" s="403" t="s">
        <v>8</v>
      </c>
      <c r="C284" s="404"/>
      <c r="D284" s="411" t="s">
        <v>9</v>
      </c>
      <c r="E284" s="411"/>
      <c r="F284" s="411"/>
      <c r="G284" s="404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  <c r="H302" s="112"/>
    </row>
    <row r="303" spans="2:8" ht="15" customHeight="1" thickBot="1">
      <c r="B303" s="414"/>
      <c r="C303" s="415"/>
      <c r="D303" s="415"/>
      <c r="E303" s="415"/>
      <c r="F303" s="415"/>
      <c r="G303" s="416"/>
      <c r="H303" s="112"/>
    </row>
    <row r="304" spans="2:8" ht="15.75">
      <c r="B304" s="403" t="s">
        <v>8</v>
      </c>
      <c r="C304" s="404"/>
      <c r="D304" s="411" t="s">
        <v>9</v>
      </c>
      <c r="E304" s="411"/>
      <c r="F304" s="411"/>
      <c r="G304" s="404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5" t="str">
        <f>AÑO!A36</f>
        <v>Nenas</v>
      </c>
      <c r="C322" s="412"/>
      <c r="D322" s="412"/>
      <c r="E322" s="412"/>
      <c r="F322" s="412"/>
      <c r="G322" s="413"/>
      <c r="H322" s="112"/>
    </row>
    <row r="323" spans="2:8" ht="15" customHeight="1" thickBot="1">
      <c r="B323" s="414"/>
      <c r="C323" s="415"/>
      <c r="D323" s="415"/>
      <c r="E323" s="415"/>
      <c r="F323" s="415"/>
      <c r="G323" s="416"/>
      <c r="H323" s="112"/>
    </row>
    <row r="324" spans="2:8" ht="15.75">
      <c r="B324" s="403" t="s">
        <v>8</v>
      </c>
      <c r="C324" s="404"/>
      <c r="D324" s="411" t="s">
        <v>9</v>
      </c>
      <c r="E324" s="411"/>
      <c r="F324" s="411"/>
      <c r="G324" s="404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5" t="str">
        <f>AÑO!A37</f>
        <v>Impuestos</v>
      </c>
      <c r="C342" s="412"/>
      <c r="D342" s="412"/>
      <c r="E342" s="412"/>
      <c r="F342" s="412"/>
      <c r="G342" s="413"/>
      <c r="H342" s="112"/>
    </row>
    <row r="343" spans="2:8" ht="15" customHeight="1" thickBot="1">
      <c r="B343" s="414"/>
      <c r="C343" s="415"/>
      <c r="D343" s="415"/>
      <c r="E343" s="415"/>
      <c r="F343" s="415"/>
      <c r="G343" s="416"/>
      <c r="H343" s="112"/>
    </row>
    <row r="344" spans="2:8" ht="15.75">
      <c r="B344" s="403" t="s">
        <v>8</v>
      </c>
      <c r="C344" s="404"/>
      <c r="D344" s="411" t="s">
        <v>9</v>
      </c>
      <c r="E344" s="411"/>
      <c r="F344" s="411"/>
      <c r="G344" s="404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5" t="str">
        <f>AÑO!A38</f>
        <v>Gastos Curros</v>
      </c>
      <c r="C362" s="412"/>
      <c r="D362" s="412"/>
      <c r="E362" s="412"/>
      <c r="F362" s="412"/>
      <c r="G362" s="413"/>
      <c r="H362" s="112"/>
    </row>
    <row r="363" spans="2:8" ht="15" customHeight="1" thickBot="1">
      <c r="B363" s="414"/>
      <c r="C363" s="415"/>
      <c r="D363" s="415"/>
      <c r="E363" s="415"/>
      <c r="F363" s="415"/>
      <c r="G363" s="416"/>
      <c r="H363" s="112"/>
    </row>
    <row r="364" spans="2:8" ht="15.75">
      <c r="B364" s="403" t="s">
        <v>8</v>
      </c>
      <c r="C364" s="404"/>
      <c r="D364" s="411" t="s">
        <v>9</v>
      </c>
      <c r="E364" s="411"/>
      <c r="F364" s="411"/>
      <c r="G364" s="404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5" t="str">
        <f>AÑO!A39</f>
        <v>Dreamed Holidays</v>
      </c>
      <c r="C382" s="412"/>
      <c r="D382" s="412"/>
      <c r="E382" s="412"/>
      <c r="F382" s="412"/>
      <c r="G382" s="413"/>
      <c r="H382" s="112"/>
    </row>
    <row r="383" spans="2:8" ht="15" customHeight="1" thickBot="1">
      <c r="B383" s="414"/>
      <c r="C383" s="415"/>
      <c r="D383" s="415"/>
      <c r="E383" s="415"/>
      <c r="F383" s="415"/>
      <c r="G383" s="416"/>
      <c r="H383" s="112"/>
    </row>
    <row r="384" spans="2:8" ht="15.75">
      <c r="B384" s="403" t="s">
        <v>8</v>
      </c>
      <c r="C384" s="404"/>
      <c r="D384" s="411" t="s">
        <v>9</v>
      </c>
      <c r="E384" s="411"/>
      <c r="F384" s="411"/>
      <c r="G384" s="404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5" t="str">
        <f>AÑO!A40</f>
        <v>Financieros</v>
      </c>
      <c r="C402" s="412"/>
      <c r="D402" s="412"/>
      <c r="E402" s="412"/>
      <c r="F402" s="412"/>
      <c r="G402" s="413"/>
      <c r="H402" s="112"/>
    </row>
    <row r="403" spans="2:8" ht="15" customHeight="1" thickBot="1">
      <c r="B403" s="414"/>
      <c r="C403" s="415"/>
      <c r="D403" s="415"/>
      <c r="E403" s="415"/>
      <c r="F403" s="415"/>
      <c r="G403" s="416"/>
      <c r="H403" s="112"/>
    </row>
    <row r="404" spans="2:8" ht="15.75">
      <c r="B404" s="403" t="s">
        <v>8</v>
      </c>
      <c r="C404" s="404"/>
      <c r="D404" s="411" t="s">
        <v>9</v>
      </c>
      <c r="E404" s="411"/>
      <c r="F404" s="411"/>
      <c r="G404" s="404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  <c r="H422" s="112"/>
    </row>
    <row r="423" spans="1:8" ht="15" customHeight="1" thickBot="1">
      <c r="B423" s="408"/>
      <c r="C423" s="409"/>
      <c r="D423" s="409"/>
      <c r="E423" s="409"/>
      <c r="F423" s="409"/>
      <c r="G423" s="410"/>
      <c r="H423" s="112"/>
    </row>
    <row r="424" spans="1:8" ht="15.75">
      <c r="B424" s="403" t="s">
        <v>8</v>
      </c>
      <c r="C424" s="404"/>
      <c r="D424" s="411" t="s">
        <v>9</v>
      </c>
      <c r="E424" s="411"/>
      <c r="F424" s="411"/>
      <c r="G424" s="404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5" t="str">
        <f>AÑO!A42</f>
        <v>Dinero Bloqueado</v>
      </c>
      <c r="C442" s="406"/>
      <c r="D442" s="406"/>
      <c r="E442" s="406"/>
      <c r="F442" s="406"/>
      <c r="G442" s="407"/>
      <c r="H442" s="112"/>
    </row>
    <row r="443" spans="2:8" ht="15" customHeight="1" thickBot="1">
      <c r="B443" s="408"/>
      <c r="C443" s="409"/>
      <c r="D443" s="409"/>
      <c r="E443" s="409"/>
      <c r="F443" s="409"/>
      <c r="G443" s="410"/>
      <c r="H443" s="112"/>
    </row>
    <row r="444" spans="2:8" ht="15.75">
      <c r="B444" s="403" t="s">
        <v>8</v>
      </c>
      <c r="C444" s="404"/>
      <c r="D444" s="411" t="s">
        <v>9</v>
      </c>
      <c r="E444" s="411"/>
      <c r="F444" s="411"/>
      <c r="G444" s="404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5" t="str">
        <f>AÑO!A43</f>
        <v>Cartama Finanazas</v>
      </c>
      <c r="C462" s="406"/>
      <c r="D462" s="406"/>
      <c r="E462" s="406"/>
      <c r="F462" s="406"/>
      <c r="G462" s="407"/>
      <c r="H462" s="112"/>
    </row>
    <row r="463" spans="2:8" ht="15" customHeight="1" thickBot="1">
      <c r="B463" s="408"/>
      <c r="C463" s="409"/>
      <c r="D463" s="409"/>
      <c r="E463" s="409"/>
      <c r="F463" s="409"/>
      <c r="G463" s="410"/>
      <c r="H463" s="112"/>
    </row>
    <row r="464" spans="2:8" ht="15.75">
      <c r="B464" s="403" t="s">
        <v>8</v>
      </c>
      <c r="C464" s="404"/>
      <c r="D464" s="411" t="s">
        <v>9</v>
      </c>
      <c r="E464" s="411"/>
      <c r="F464" s="411"/>
      <c r="G464" s="404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5" t="str">
        <f>AÑO!A44</f>
        <v>NULO</v>
      </c>
      <c r="C482" s="406"/>
      <c r="D482" s="406"/>
      <c r="E482" s="406"/>
      <c r="F482" s="406"/>
      <c r="G482" s="407"/>
      <c r="H482" s="112"/>
    </row>
    <row r="483" spans="2:8" ht="15" customHeight="1" thickBot="1">
      <c r="B483" s="408"/>
      <c r="C483" s="409"/>
      <c r="D483" s="409"/>
      <c r="E483" s="409"/>
      <c r="F483" s="409"/>
      <c r="G483" s="410"/>
      <c r="H483" s="112"/>
    </row>
    <row r="484" spans="2:8" ht="15.75">
      <c r="B484" s="403" t="s">
        <v>8</v>
      </c>
      <c r="C484" s="404"/>
      <c r="D484" s="411" t="s">
        <v>9</v>
      </c>
      <c r="E484" s="411"/>
      <c r="F484" s="411"/>
      <c r="G484" s="404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5" t="str">
        <f>AÑO!A45</f>
        <v>OTROS</v>
      </c>
      <c r="C502" s="406"/>
      <c r="D502" s="406"/>
      <c r="E502" s="406"/>
      <c r="F502" s="406"/>
      <c r="G502" s="407"/>
      <c r="H502" s="112"/>
    </row>
    <row r="503" spans="2:8" ht="15" customHeight="1" thickBot="1">
      <c r="B503" s="408"/>
      <c r="C503" s="409"/>
      <c r="D503" s="409"/>
      <c r="E503" s="409"/>
      <c r="F503" s="409"/>
      <c r="G503" s="410"/>
      <c r="H503" s="112"/>
    </row>
    <row r="504" spans="2:8" ht="15.75">
      <c r="B504" s="403" t="s">
        <v>8</v>
      </c>
      <c r="C504" s="404"/>
      <c r="D504" s="411" t="s">
        <v>9</v>
      </c>
      <c r="E504" s="411"/>
      <c r="F504" s="411"/>
      <c r="G504" s="404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2397.48-4.45</f>
        <v>2393.0300000000002</v>
      </c>
      <c r="L5" s="43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>
        <f>7340.23-4.45</f>
        <v>7335.78</v>
      </c>
      <c r="L7" s="41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7001.87</v>
      </c>
      <c r="L8" s="4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669.52</v>
      </c>
      <c r="L9" s="41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160+155</f>
        <v>315</v>
      </c>
      <c r="L11" s="41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25229.379999999997</v>
      </c>
      <c r="L19" s="420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314</v>
      </c>
      <c r="K30" s="42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319</v>
      </c>
      <c r="K31" s="42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 t="s">
        <v>314</v>
      </c>
      <c r="K33" s="42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2" t="str">
        <f>AÑO!A15</f>
        <v>Alquiler Cartama</v>
      </c>
      <c r="J60" s="425" t="s">
        <v>315</v>
      </c>
      <c r="K60" s="42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3"/>
      <c r="J66" s="427"/>
      <c r="K66" s="42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3"/>
      <c r="J67" s="427"/>
      <c r="K67" s="42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8"/>
      <c r="J69" s="439"/>
      <c r="K69" s="44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11" t="s">
        <v>9</v>
      </c>
      <c r="E424" s="411"/>
      <c r="F424" s="411"/>
      <c r="G424" s="404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1559.34</v>
      </c>
      <c r="L5" s="43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7">
        <v>8577.0300000000007</v>
      </c>
      <c r="L7" s="41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7">
        <v>4167.34</v>
      </c>
      <c r="L9" s="41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255</v>
      </c>
      <c r="L11" s="41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25574.760000000002</v>
      </c>
      <c r="L19" s="420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363</v>
      </c>
      <c r="K30" s="42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238</v>
      </c>
      <c r="K31" s="42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380</v>
      </c>
      <c r="K45" s="42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3"/>
      <c r="J46" s="427" t="s">
        <v>160</v>
      </c>
      <c r="K46" s="42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3"/>
      <c r="J51" s="427" t="s">
        <v>418</v>
      </c>
      <c r="K51" s="42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2" t="str">
        <f>AÑO!A14</f>
        <v>Mutualite/DKV</v>
      </c>
      <c r="J55" s="441" t="str">
        <f>G306</f>
        <v>12/03 Chirec</v>
      </c>
      <c r="K55" s="42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367</v>
      </c>
      <c r="K60" s="42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8" ht="15" customHeight="1" thickBot="1">
      <c r="B243" s="414"/>
      <c r="C243" s="415"/>
      <c r="D243" s="415"/>
      <c r="E243" s="415"/>
      <c r="F243" s="415"/>
      <c r="G243" s="416"/>
    </row>
    <row r="244" spans="1:8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11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861.84</v>
      </c>
      <c r="L5" s="43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10075.709999999999</v>
      </c>
      <c r="L7" s="41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35.96</v>
      </c>
      <c r="L9" s="41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370</v>
      </c>
      <c r="L11" s="41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5092.08+4084.2</f>
        <v>9176.2799999999988</v>
      </c>
      <c r="L12" s="41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363</v>
      </c>
      <c r="K30" s="42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431</v>
      </c>
      <c r="K31" s="42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425</v>
      </c>
      <c r="K40" s="42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445</v>
      </c>
      <c r="K41" s="428"/>
      <c r="L41" s="229">
        <v>352.82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 t="s">
        <v>60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2" t="str">
        <f>AÑO!A13</f>
        <v>Gubernamental</v>
      </c>
      <c r="J50" s="425" t="s">
        <v>434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41" t="str">
        <f>'03'!G307</f>
        <v>22/03 Chirec</v>
      </c>
      <c r="K55" s="42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44" t="str">
        <f>'03'!G309</f>
        <v>26/03 Ginecologa</v>
      </c>
      <c r="K56" s="42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449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1773.93</v>
      </c>
      <c r="L5" s="43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7144.52</v>
      </c>
      <c r="L7" s="41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10005.620000000001</v>
      </c>
      <c r="L8" s="4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514.82000000000005</v>
      </c>
      <c r="L9" s="41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210</f>
        <v>210</v>
      </c>
      <c r="L11" s="41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431</v>
      </c>
      <c r="K30" s="42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363</v>
      </c>
      <c r="K31" s="42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473</v>
      </c>
      <c r="K40" s="42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22" t="str">
        <f>AÑO!A13</f>
        <v>Gubernamental</v>
      </c>
      <c r="J50" s="425" t="s">
        <v>484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22" t="str">
        <f>AÑO!A14</f>
        <v>Mutualite/DKV</v>
      </c>
      <c r="J55" s="425" t="s">
        <v>478</v>
      </c>
      <c r="K55" s="42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03" t="s">
        <v>9</v>
      </c>
      <c r="E424" s="411"/>
      <c r="F424" s="411"/>
      <c r="G424" s="404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57" zoomScaleNormal="100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M5+2156.93</f>
        <v>1614.1099999999997</v>
      </c>
      <c r="L5" s="434"/>
      <c r="M5" s="1">
        <f>-542.82</f>
        <v>-542.82000000000005</v>
      </c>
      <c r="N5" s="1" t="s">
        <v>612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f>9234.42-58.2</f>
        <v>9176.2199999999993</v>
      </c>
      <c r="L7" s="418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190</v>
      </c>
      <c r="L11" s="41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627</v>
      </c>
      <c r="K30" s="42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431</v>
      </c>
      <c r="K31" s="42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22" t="str">
        <f>AÑO!A13</f>
        <v>Gubernamental</v>
      </c>
      <c r="J50" s="425" t="s">
        <v>640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678</v>
      </c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628</v>
      </c>
      <c r="K60" s="42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654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676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677</v>
      </c>
      <c r="H146" s="1"/>
      <c r="M146" s="1"/>
      <c r="R146" s="3"/>
    </row>
    <row r="147" spans="1:22" ht="15.75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679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>
        <f>-10</f>
        <v>-10</v>
      </c>
      <c r="C247" s="16" t="s">
        <v>681</v>
      </c>
      <c r="D247" s="137">
        <v>12.99</v>
      </c>
      <c r="E247" s="138"/>
      <c r="F247" s="138"/>
      <c r="G247" s="16" t="s">
        <v>657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432</v>
      </c>
      <c r="D257" s="137"/>
      <c r="E257" s="138">
        <v>100.67</v>
      </c>
      <c r="F257" s="138"/>
      <c r="G257" s="16" t="s">
        <v>406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9" ht="15" customHeight="1" thickBot="1">
      <c r="B283" s="414"/>
      <c r="C283" s="415"/>
      <c r="D283" s="415"/>
      <c r="E283" s="415"/>
      <c r="F283" s="415"/>
      <c r="G283" s="416"/>
    </row>
    <row r="284" spans="2:9">
      <c r="B284" s="403" t="s">
        <v>8</v>
      </c>
      <c r="C284" s="404"/>
      <c r="D284" s="403" t="s">
        <v>9</v>
      </c>
      <c r="E284" s="411"/>
      <c r="F284" s="411"/>
      <c r="G284" s="404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>
        <v>35</v>
      </c>
      <c r="C348" s="16" t="s">
        <v>630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2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abSelected="1" topLeftCell="A421" workbookViewId="0">
      <selection activeCell="G434" sqref="G434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75">
      <c r="A6" s="112">
        <f>'06'!A6+(B6-SUM(D6:F6))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835.22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431</v>
      </c>
      <c r="K30" s="42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627</v>
      </c>
      <c r="K31" s="42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693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680</v>
      </c>
      <c r="K40" s="42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685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691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8.1</v>
      </c>
      <c r="E48" s="138"/>
      <c r="F48" s="138"/>
      <c r="G48" s="16" t="s">
        <v>710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>
        <f>-10-4.38</f>
        <v>-14.379999999999999</v>
      </c>
      <c r="C49" s="16" t="s">
        <v>688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 t="s">
        <v>640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 t="s">
        <v>694</v>
      </c>
      <c r="K55" s="42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 t="s">
        <v>694</v>
      </c>
      <c r="K56" s="42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694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285.62</v>
      </c>
      <c r="C60" s="17" t="s">
        <v>53</v>
      </c>
      <c r="D60" s="135">
        <f>SUM(D46:D59)</f>
        <v>30.549999999999997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709</v>
      </c>
      <c r="K60" s="42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'06'!A66+(B66-SUM(D66:F78))+B67</f>
        <v>109.68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686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695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199.68</v>
      </c>
      <c r="B80" s="233">
        <f>SUM(B66:B79)</f>
        <v>170</v>
      </c>
      <c r="C80" s="17" t="s">
        <v>53</v>
      </c>
      <c r="D80" s="135">
        <f>SUM(D66:D79)</f>
        <v>42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37.5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47.94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685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</f>
        <v>71.5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'06'!A257+(B257-SUM(D257:F257))</f>
        <v>656.79000000000008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'06'!A258+(B258-SUM(D258:F258))</f>
        <v>-169.62</v>
      </c>
      <c r="B258" s="134">
        <f>25+10+4.38</f>
        <v>39.380000000000003</v>
      </c>
      <c r="C258" s="16" t="s">
        <v>404</v>
      </c>
      <c r="D258" s="137">
        <v>349</v>
      </c>
      <c r="E258" s="138"/>
      <c r="F258" s="138"/>
      <c r="G258" s="16" t="s">
        <v>689</v>
      </c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588.67000000000007</v>
      </c>
      <c r="B260" s="135">
        <f>SUM(B246:B259)</f>
        <v>114.38</v>
      </c>
      <c r="C260" s="17" t="s">
        <v>53</v>
      </c>
      <c r="D260" s="135">
        <f>SUM(D246:D259)</f>
        <v>349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691</v>
      </c>
    </row>
    <row r="287" spans="2:8">
      <c r="B287" s="134"/>
      <c r="C287" s="16"/>
      <c r="D287" s="137"/>
      <c r="E287" s="138"/>
      <c r="F287" s="138">
        <v>50</v>
      </c>
      <c r="G287" s="16" t="s">
        <v>700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701</v>
      </c>
    </row>
    <row r="289" spans="2:8">
      <c r="B289" s="134"/>
      <c r="C289" s="16"/>
      <c r="D289" s="137">
        <v>26.31</v>
      </c>
      <c r="E289" s="138"/>
      <c r="F289" s="138"/>
      <c r="G289" s="16" t="s">
        <v>703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0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682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684</v>
      </c>
    </row>
    <row r="308" spans="2:7">
      <c r="B308" s="134">
        <f>37.49+14.27+14.27</f>
        <v>66.03</v>
      </c>
      <c r="C308" s="27" t="s">
        <v>694</v>
      </c>
      <c r="D308" s="137">
        <f>37.5+37.5</f>
        <v>75</v>
      </c>
      <c r="E308" s="138"/>
      <c r="F308" s="138"/>
      <c r="G308" s="16" t="s">
        <v>711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708</v>
      </c>
    </row>
    <row r="327" spans="2:7">
      <c r="B327" s="134">
        <v>100</v>
      </c>
      <c r="C327" s="16" t="s">
        <v>699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4+4.5+4.5</f>
        <v>13</v>
      </c>
      <c r="G366" s="31" t="s">
        <v>67</v>
      </c>
    </row>
    <row r="367" spans="2:7">
      <c r="B367" s="134"/>
      <c r="C367" s="16"/>
      <c r="D367" s="137">
        <v>5.6</v>
      </c>
      <c r="E367" s="138"/>
      <c r="F367" s="138"/>
      <c r="G367" s="31" t="s">
        <v>687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5.6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683</v>
      </c>
    </row>
    <row r="407" spans="2:7">
      <c r="B407" s="134">
        <v>1</v>
      </c>
      <c r="C407" s="16" t="s">
        <v>680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51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AÑO!AA17</f>
        <v>1945.1799999999998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-2220.9500000000003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-2220.9500000000003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09" workbookViewId="0">
      <selection activeCell="L459" sqref="L45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75">
      <c r="A6" s="112">
        <f>'07'!A6+(B6-SUM(D6:F6))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'07'!A11+(B11-SUM(D11:F11))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1379.2199999999998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1528.1499999999999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620</v>
      </c>
      <c r="D48" s="137"/>
      <c r="E48" s="138"/>
      <c r="F48" s="138"/>
      <c r="G48" s="16"/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'07'!A66+(B66-SUM(D66:F78))+B67</f>
        <v>269.68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369.68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2672.650000000001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67.5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8.0399999999999991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116.5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'07'!A257+(B257-SUM(D257:F257))</f>
        <v>681.79000000000008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'07'!A258+(B258-SUM(D258:F258))</f>
        <v>-144.62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688.67000000000007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696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</f>
        <v>525.23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A4:AD5" display="SALDO REAL" xr:uid="{D06507F8-F5BC-49C5-BD40-684A3F3EBFAB}"/>
    <hyperlink ref="I22" location="Trimestre!C39:F40" display="TELÉFONO" xr:uid="{48D75FAF-009D-4718-8A65-00BBF81456E5}"/>
    <hyperlink ref="I22:L23" location="AÑO!AA7:AD17" display="INGRESOS" xr:uid="{8CF46B9E-FF85-475E-887B-7815FD645C67}"/>
    <hyperlink ref="B2" location="Trimestre!C25:F26" display="HIPOTECA" xr:uid="{0D3F6DAC-494C-48CC-8617-FFCD7E208AA0}"/>
    <hyperlink ref="B2:G3" location="AÑO!AA20:AD20" display="AÑO!AA20:AD20" xr:uid="{D2A3883D-7443-42C6-9C2D-ADC1D0607761}"/>
    <hyperlink ref="B22" location="Trimestre!C25:F26" display="HIPOTECA" xr:uid="{73986B72-FB1E-4FE5-9DE2-895BDC1EAA17}"/>
    <hyperlink ref="B22:G23" location="AÑO!AA21:AD21" display="AÑO!AA21:AD21" xr:uid="{23887E4D-C5A1-4BA5-8279-3C04DB54A113}"/>
    <hyperlink ref="B42" location="Trimestre!C25:F26" display="HIPOTECA" xr:uid="{CF8CDB12-24E3-46CF-829D-5D16215615C3}"/>
    <hyperlink ref="B42:G43" location="AÑO!AA22:AD22" display="AÑO!AA22:AD22" xr:uid="{EB2F77AF-7C3A-4364-9507-ACC51DCF2B57}"/>
    <hyperlink ref="B62" location="Trimestre!C25:F26" display="HIPOTECA" xr:uid="{91648149-7544-422C-9B1A-5B0BE59AAF2B}"/>
    <hyperlink ref="B62:G63" location="AÑO!AA23:AD23" display="AÑO!AA23:AD23" xr:uid="{B6DFA8D8-8579-4F56-8092-0F49B15D7A05}"/>
    <hyperlink ref="B82" location="Trimestre!C25:F26" display="HIPOTECA" xr:uid="{0851ECF5-FF71-4E7F-8298-411B1670F9B6}"/>
    <hyperlink ref="B82:G83" location="AÑO!AA24:AD24" display="AÑO!AA24:AD24" xr:uid="{C480D7B0-C21B-4EA7-ABD5-D0692A92E052}"/>
    <hyperlink ref="B102" location="Trimestre!C25:F26" display="HIPOTECA" xr:uid="{F8812EAD-03A1-4397-AF5F-38D2E8C0B57C}"/>
    <hyperlink ref="B102:G103" location="AÑO!AA25:AD25" display="AÑO!AA25:AD25" xr:uid="{65497E89-749C-4602-95D9-8F716A72DF6E}"/>
    <hyperlink ref="B122" location="Trimestre!C25:F26" display="HIPOTECA" xr:uid="{F9EAFA77-E240-4615-8290-ACBB27A72C52}"/>
    <hyperlink ref="B122:G123" location="AÑO!AA26:AD26" display="AÑO!AA26:AD26" xr:uid="{643E0580-B644-41F3-A043-DB16397B7A73}"/>
    <hyperlink ref="B142" location="Trimestre!C25:F26" display="HIPOTECA" xr:uid="{651811A0-17CA-4233-A455-6C4BD6EF1F7E}"/>
    <hyperlink ref="B142:G143" location="AÑO!AA27:AD27" display="AÑO!AA27:AD27" xr:uid="{B0995BF4-42BC-4276-BFD8-8C9B7D5499BE}"/>
    <hyperlink ref="B162" location="Trimestre!C25:F26" display="HIPOTECA" xr:uid="{A329CBCD-6E7B-4CD2-93C3-8D1EA7FC67C4}"/>
    <hyperlink ref="B162:G163" location="AÑO!AA28:AD28" display="AÑO!AA28:AD28" xr:uid="{FEE67257-A452-4791-AF3E-0867F8D8E6A2}"/>
    <hyperlink ref="B182" location="Trimestre!C25:F26" display="HIPOTECA" xr:uid="{0048AE46-8B1C-4E58-9CE3-87D388766360}"/>
    <hyperlink ref="B182:G183" location="AÑO!AA29:AD29" display="AÑO!AA29:AD29" xr:uid="{34E4C4F2-C5BE-4549-A224-E9AE303F8023}"/>
    <hyperlink ref="B202" location="Trimestre!C25:F26" display="HIPOTECA" xr:uid="{053CC7BD-938E-42F5-83EC-E4CBD34A45A8}"/>
    <hyperlink ref="B202:G203" location="AÑO!AA30:AD30" display="AÑO!AA30:AD30" xr:uid="{8C9F7837-C04F-4BA0-94D2-2006B7856F05}"/>
    <hyperlink ref="B222" location="Trimestre!C25:F26" display="HIPOTECA" xr:uid="{C67B716D-D87E-4225-A0DF-FA1FAEA6665B}"/>
    <hyperlink ref="B222:G223" location="AÑO!AA31:AD31" display="AÑO!AA31:AD31" xr:uid="{50E91530-1497-4AA8-8091-64311C0F1EA2}"/>
    <hyperlink ref="B242" location="Trimestre!C25:F26" display="HIPOTECA" xr:uid="{8597E469-7EE1-4ACE-BCFF-7F3234BB0FED}"/>
    <hyperlink ref="B242:G243" location="AÑO!AA32:AD32" display="AÑO!AA32:AD32" xr:uid="{143A92D9-7A37-4FFC-B531-F578ABD1F804}"/>
    <hyperlink ref="B262" location="Trimestre!C25:F26" display="HIPOTECA" xr:uid="{00569E18-A111-4540-A31C-0995625496BC}"/>
    <hyperlink ref="B262:G263" location="AÑO!AA33:AD33" display="AÑO!AA33:AD33" xr:uid="{9464E9A9-7460-4182-B6E5-50DCCFA7D971}"/>
    <hyperlink ref="B282" location="Trimestre!C25:F26" display="HIPOTECA" xr:uid="{0A227465-7216-4622-8BCA-73A1E7D848B3}"/>
    <hyperlink ref="B282:G283" location="AÑO!AA34:AD34" display="AÑO!AA34:AD34" xr:uid="{76436B7E-4B40-4476-9CE6-51FAF7CE7F09}"/>
    <hyperlink ref="B302" location="Trimestre!C25:F26" display="HIPOTECA" xr:uid="{4E1F72DF-F0BF-48D1-BBCF-6903E9142E3F}"/>
    <hyperlink ref="B302:G303" location="AÑO!AA35:AD35" display="AÑO!AA35:AD35" xr:uid="{BFBCBDE2-FB6C-4EC9-9702-505BB4D94450}"/>
    <hyperlink ref="B322" location="Trimestre!C25:F26" display="HIPOTECA" xr:uid="{882A6476-D682-47ED-B1AC-DB33B57BAB7E}"/>
    <hyperlink ref="B322:G323" location="AÑO!AA36:AD36" display="AÑO!AA36:AD36" xr:uid="{5A51FB34-A735-4684-828B-A1C5A9F553E5}"/>
    <hyperlink ref="B342" location="Trimestre!C25:F26" display="HIPOTECA" xr:uid="{59F9533F-4BAC-408C-A56E-C02AB3A1E843}"/>
    <hyperlink ref="B342:G343" location="AÑO!AA37:AD37" display="AÑO!AA37:AD37" xr:uid="{378D1EE7-703E-4F1E-97A9-6E6E13AFC46D}"/>
    <hyperlink ref="B362" location="Trimestre!C25:F26" display="HIPOTECA" xr:uid="{D75E4C53-9159-476A-A0D0-37DAF29B14E8}"/>
    <hyperlink ref="B362:G363" location="AÑO!AA38:AD38" display="AÑO!AA38:AD38" xr:uid="{75ACA36B-2C89-4EAA-9411-E2261A935683}"/>
    <hyperlink ref="B382" location="Trimestre!C25:F26" display="HIPOTECA" xr:uid="{95D69DC8-ABA0-4B4A-8EAF-06D1E8727EA0}"/>
    <hyperlink ref="B382:G383" location="AÑO!AA39:AD39" display="AÑO!AA39:AD39" xr:uid="{F91A68B0-FB80-4AA3-A612-D0073137E017}"/>
    <hyperlink ref="B402" location="Trimestre!C25:F26" display="HIPOTECA" xr:uid="{25A8193D-4925-4466-ACCE-737AB2562BE3}"/>
    <hyperlink ref="B402:G403" location="AÑO!AA40:AD40" display="AÑO!AA40:AD40" xr:uid="{AF17FBF1-B98C-4DFA-8654-1ACB895D8994}"/>
    <hyperlink ref="B422" location="Trimestre!C25:F26" display="HIPOTECA" xr:uid="{C2F1147F-1D3B-4F57-8455-A7961B449592}"/>
    <hyperlink ref="B422:G423" location="AÑO!AA41:AD41" display="AÑO!AA41:AD41" xr:uid="{5BFFA817-4742-4653-90B7-088D36C48735}"/>
    <hyperlink ref="B442" location="Trimestre!C25:F26" display="HIPOTECA" xr:uid="{DFC42081-7932-4D54-880A-4DFBD9E0EC21}"/>
    <hyperlink ref="B442:G443" location="AÑO!AA42:AD42" display="AÑO!AA42:AD42" xr:uid="{FF8CC689-70B3-4BCE-A192-E2F983A30D0C}"/>
    <hyperlink ref="B462" location="Trimestre!C25:F26" display="HIPOTECA" xr:uid="{4AC228CF-13D1-4949-8D5B-10C3F21FB47A}"/>
    <hyperlink ref="B462:G463" location="AÑO!AA43:AD43" display="AÑO!AA43:AD43" xr:uid="{C508228D-3DF9-48FE-B791-5D292ECDF883}"/>
    <hyperlink ref="B482" location="Trimestre!C25:F26" display="HIPOTECA" xr:uid="{615C788D-2BCB-4DA4-AC73-450C45236667}"/>
    <hyperlink ref="B482:G483" location="AÑO!AA44:AD44" display="AÑO!AA44:AD44" xr:uid="{B26533B9-21C8-41F3-8667-1C647DEAB0CA}"/>
    <hyperlink ref="B502" location="Trimestre!C25:F26" display="HIPOTECA" xr:uid="{284A8D82-789A-4D77-9F69-CD253B7A72B9}"/>
    <hyperlink ref="B502:G503" location="AÑO!AA45:AD45" display="AÑO!AA45:AD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2019-07-18T15:35:36Z</dcterms:modified>
</cp:coreProperties>
</file>