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 activeTab="7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F366" i="8" l="1"/>
  <c r="AA13" i="1" l="1"/>
  <c r="AA9" i="1" l="1"/>
  <c r="AT54" i="1" l="1"/>
  <c r="AD59" i="1"/>
  <c r="D286" i="8" l="1"/>
  <c r="D47" i="8"/>
  <c r="D46" i="8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12" i="9"/>
  <c r="B20" i="9" s="1"/>
  <c r="B2" i="9"/>
  <c r="Z60" i="1" l="1"/>
  <c r="D56" i="7" l="1"/>
  <c r="D246" i="7" l="1"/>
  <c r="D368" i="7"/>
  <c r="F366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B12" i="8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40" i="8" l="1"/>
  <c r="B426" i="9"/>
  <c r="B440" i="9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<sst xmlns="http://schemas.openxmlformats.org/spreadsheetml/2006/main" count="5204" uniqueCount="472">
  <si>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</si>
  <si>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</si>
  <si>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</si>
  <si>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</si>
  <si>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</si>
  <si>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</si>
  <si>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</si>
  <si>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</si>
  <si>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</si>
  <si>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</si>
  <si>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</si>
  <si>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</si>
  <si>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</si>
  <si>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</si>
  <si>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</si>
  <si>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</si>
  <si>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</si>
  <si>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</si>
  <si>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</si>
  <si>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</si>
  <si>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</si>
  <si>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</si>
  <si>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</si>
  <si>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</si>
  <si>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</si>
  <si>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</si>
  <si>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</si>
  <si>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</si>
  <si>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</si>
  <si>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</si>
  <si>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</si>
  <si>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</si>
  <si>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</si>
  <si>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</si>
  <si>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</si>
  <si>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</si>
  <si>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</si>
  <si>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</si>
  <si>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</si>
  <si>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</si>
  <si>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</si>
  <si>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</si>
  <si>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</si>
  <si>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</si>
  <si>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</si>
  <si>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</si>
  <si>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</si>
  <si>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</si>
  <si>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</si>
  <si>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</si>
  <si>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</si>
  <si>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</si>
  <si>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</si>
  <si>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</si>
  <si>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</si>
  <si>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</si>
  <si>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</si>
  <si>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</si>
  <si>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</si>
  <si>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</si>
  <si>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</si>
  <si>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</si>
  <si>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</si>
  <si>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</si>
  <si>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</si>
  <si>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</si>
  <si>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</si>
  <si>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</si>
  <si>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</si>
  <si>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</si>
  <si>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</si>
  <si>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</si>
  <si>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</si>
  <si>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</si>
  <si>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</si>
  <si>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</si>
  <si>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</si>
  <si>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</si>
  <si>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</si>
  <si>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</si>
  <si>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</si>
  <si>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</si>
  <si>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</si>
  <si>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</si>
  <si>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</si>
  <si>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</si>
  <si>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</si>
  <si>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</si>
  <si>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</si>
  <si>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</si>
  <si>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</si>
  <si>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</si>
  <si>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</si>
  <si>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</si>
  <si>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</si>
  <si>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</si>
  <si>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</si>
  <si>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</si>
  <si>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</si>
  <si>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</si>
  <si>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</si>
  <si>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</si>
  <si>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</si>
  <si>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</si>
  <si>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</si>
  <si>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</si>
  <si>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</si>
  <si>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</si>
  <si>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</si>
  <si>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</si>
  <si>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</si>
  <si>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</si>
  <si>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</si>
  <si>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</si>
  <si>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</si>
  <si>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</si>
  <si>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</si>
  <si>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</si>
  <si>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</si>
  <si>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</si>
  <si>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</si>
  <si>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</si>
  <si>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</si>
  <si>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</si>
  <si>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</si>
  <si>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</si>
  <si>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</si>
  <si>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</si>
  <si>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</si>
  <si>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</si>
  <si>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</si>
  <si>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</si>
  <si>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</si>
  <si>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</si>
  <si>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</si>
  <si>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</si>
  <si>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</si>
  <si>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</si>
  <si>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</si>
  <si>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</si>
  <si>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</si>
  <si>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</si>
  <si>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</si>
  <si>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</si>
  <si>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</si>
  <si>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</si>
  <si>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</si>
  <si>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</si>
  <si>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</si>
  <si>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</si>
  <si>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</si>
  <si>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</si>
  <si>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</si>
  <si>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</si>
  <si>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</si>
  <si>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</si>
  <si>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</si>
  <si>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</si>
  <si>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</si>
  <si>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</si>
  <si>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</si>
  <si>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</si>
  <si>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</si>
  <si>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</si>
  <si>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</si>
  <si>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</si>
  <si>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</si>
  <si>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</si>
  <si>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</si>
  <si>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</si>
  <si>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</si>
  <si>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</si>
  <si>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</si>
  <si>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</si>
  <si>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</si>
  <si>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</si>
  <si>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</si>
  <si>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</si>
  <si>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</si>
  <si>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</si>
  <si>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</si>
  <si>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</si>
  <si>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</si>
  <si>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</si>
  <si>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</si>
  <si>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</si>
  <si>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</si>
  <si>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</si>
  <si>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</si>
  <si>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</si>
  <si>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</si>
  <si>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</si>
  <si>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</si>
  <si>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</si>
  <si>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</si>
  <si>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</si>
  <si>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</si>
  <si>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</si>
  <si>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</si>
  <si>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</si>
  <si>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</si>
  <si>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</si>
  <si>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</si>
  <si>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</si>
  <si>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</si>
  <si>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</si>
  <si>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</si>
  <si>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</si>
  <si>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</si>
  <si>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</si>
  <si>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</si>
  <si>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</si>
  <si>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</si>
  <si>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</si>
  <si>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</si>
  <si>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</si>
  <si>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</si>
  <si>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</si>
  <si>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</si>
  <si>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</si>
  <si>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</si>
  <si>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</si>
  <si>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</si>
  <si>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</si>
  <si>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</si>
  <si>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</si>
  <si>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</si>
  <si>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</si>
  <si>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</si>
  <si>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</si>
  <si>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</si>
  <si>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</si>
  <si>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</si>
  <si>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</si>
  <si>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</si>
  <si>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</si>
  <si>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</si>
  <si>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</si>
  <si>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</si>
  <si>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</si>
  <si>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</si>
  <si>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</si>
  <si>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</si>
  <si>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</si>
  <si>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</si>
  <si>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</si>
  <si>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</si>
  <si>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</si>
  <si>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</si>
  <si>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</si>
  <si>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</si>
  <si>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</si>
  <si>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</si>
  <si>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</si>
  <si>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</si>
  <si>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</si>
  <si>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</si>
  <si>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</si>
  <si>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</si>
  <si>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</si>
  <si>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</si>
  <si>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</si>
  <si>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</si>
  <si>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</si>
  <si>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</si>
  <si>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</si>
  <si>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</si>
  <si>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</si>
  <si>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</si>
  <si>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</si>
  <si>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</si>
  <si>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</si>
  <si>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</si>
  <si>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</si>
  <si>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</si>
  <si>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</si>
  <si>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</si>
  <si>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</si>
  <si>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</si>
  <si>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</si>
  <si>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</si>
  <si>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</si>
  <si>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</si>
  <si>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</si>
  <si>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</si>
  <si>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</si>
  <si>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</si>
  <si>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</si>
  <si>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</si>
  <si>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</si>
  <si>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</si>
  <si>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</si>
  <si>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</si>
  <si>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</si>
  <si>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</si>
  <si>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</si>
  <si>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</si>
  <si>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</si>
  <si>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</si>
  <si>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</si>
  <si>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</si>
  <si>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</si>
  <si>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</si>
  <si>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</si>
  <si>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</si>
  <si>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</si>
  <si>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</si>
  <si>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</si>
  <si>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</si>
  <si>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</si>
  <si>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</si>
  <si>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</si>
  <si>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</si>
  <si>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</si>
  <si>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</si>
  <si>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</si>
  <si>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</si>
  <si>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</si>
  <si>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</si>
  <si>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</si>
  <si>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</si>
  <si>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</si>
  <si>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</si>
  <si>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</si>
  <si>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</si>
  <si>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</si>
  <si>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</si>
  <si>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</si>
  <si>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</si>
  <si>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</si>
  <si>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</si>
  <si>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</si>
  <si>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</si>
  <si>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</si>
  <si>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</si>
  <si>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</si>
  <si>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</si>
  <si>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</si>
  <si>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</si>
  <si>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</si>
  <si>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</si>
  <si>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</si>
  <si>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</si>
  <si>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</si>
  <si>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</si>
  <si>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</si>
  <si>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</si>
  <si>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</si>
  <si>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</si>
  <si>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</si>
  <si>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</si>
  <si>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</si>
  <si>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</si>
  <si>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</si>
  <si>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</si>
  <si>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</si>
  <si>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</si>
  <si>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</si>
  <si>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</si>
  <si>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</si>
  <si>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</si>
  <si>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</si>
  <si>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</si>
  <si>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</si>
  <si>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</si>
  <si>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</si>
  <si>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</si>
  <si>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</si>
  <si>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</si>
  <si>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</si>
  <si>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</si>
  <si>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</si>
  <si>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</si>
  <si>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</si>
  <si>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</si>
  <si>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</si>
  <si>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</si>
  <si>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</si>
  <si>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</si>
  <si>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</si>
  <si>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</si>
  <si>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</si>
  <si>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</si>
  <si>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</si>
  <si>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</si>
  <si>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</si>
  <si>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</si>
  <si>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</si>
  <si>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</si>
  <si>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</si>
  <si>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</si>
  <si>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</si>
  <si>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</si>
  <si>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</si>
  <si>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</si>
  <si>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</si>
  <si>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</si>
  <si>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</si>
  <si>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</si>
  <si>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</si>
  <si>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</si>
  <si>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</si>
  <si>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</si>
  <si>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</si>
  <si>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</si>
  <si>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</si>
  <si>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</si>
  <si>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</si>
  <si>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</si>
  <si>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</si>
  <si>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</si>
  <si>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</si>
  <si>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</si>
  <si>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</si>
  <si>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</si>
  <si>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</si>
  <si>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</si>
  <si>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</si>
  <si>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</si>
  <si>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</si>
  <si>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</si>
  <si>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</si>
  <si>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</si>
  <si>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</si>
  <si>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</si>
  <si>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</si>
  <si>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</si>
  <si>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</si>
  <si>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</si>
  <si>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</si>
  <si>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</si>
  <si>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</si>
  <si>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</si>
  <si>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</si>
  <si>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</si>
  <si>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</si>
  <si>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</si>
  <si>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</si>
  <si>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</si>
  <si>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</si>
  <si>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</si>
  <si>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</si>
  <si>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</si>
  <si>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</si>
  <si>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</si>
  <si>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</si>
  <si>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</si>
  <si>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</si>
  <si>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</si>
  <si>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</si>
  <si>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</si>
  <si>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</si>
  <si>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</si>
  <si>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</si>
  <si>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</si>
  <si>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</si>
  <si>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</si>
  <si>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</si>
  <si>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</si>
  <si>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</si>
  <si>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</si>
  <si>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</si>
  <si>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Aldi 2</t>
  </si>
  <si>
    <t>Delhaize 2</t>
  </si>
  <si>
    <t>Fianza Cartama</t>
  </si>
  <si>
    <t xml:space="preserve">Fianza Cartama </t>
  </si>
  <si>
    <t>Mango 1</t>
  </si>
  <si>
    <t>Springfield 1</t>
  </si>
  <si>
    <t>Woman Secret 1</t>
  </si>
  <si>
    <t>196 acciones ITX.MC. Bloqueado.</t>
  </si>
  <si>
    <t>Amazon Sillon</t>
  </si>
  <si>
    <t>Superabit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</si>
</sst>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opLeftCell="A28" zoomScaleNormal="100" workbookViewId="0">
      <pane xSplit="1" topLeftCell="W1" activePane="topRight" state="frozen"/>
      <selection pane="topRight" activeCell="AA38" sqref="AA3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53" t="s">
        <v>0</v>
      </c>
      <c r="D4" s="254"/>
      <c r="E4" s="254"/>
      <c r="F4" s="255"/>
      <c r="G4" s="253" t="s">
        <v>1</v>
      </c>
      <c r="H4" s="254"/>
      <c r="I4" s="254"/>
      <c r="J4" s="255"/>
      <c r="K4" s="253" t="s">
        <v>2</v>
      </c>
      <c r="L4" s="254"/>
      <c r="M4" s="254"/>
      <c r="N4" s="255"/>
      <c r="O4" s="253" t="s">
        <v>3</v>
      </c>
      <c r="P4" s="254"/>
      <c r="Q4" s="254"/>
      <c r="R4" s="255"/>
      <c r="S4" s="253" t="s">
        <v>102</v>
      </c>
      <c r="T4" s="254"/>
      <c r="U4" s="254"/>
      <c r="V4" s="255"/>
      <c r="W4" s="253" t="s">
        <v>98</v>
      </c>
      <c r="X4" s="254"/>
      <c r="Y4" s="254"/>
      <c r="Z4" s="255"/>
      <c r="AA4" s="253" t="s">
        <v>106</v>
      </c>
      <c r="AB4" s="254"/>
      <c r="AC4" s="254"/>
      <c r="AD4" s="255"/>
      <c r="AE4" s="253" t="s">
        <v>107</v>
      </c>
      <c r="AF4" s="254"/>
      <c r="AG4" s="254"/>
      <c r="AH4" s="255"/>
      <c r="AI4" s="253" t="s">
        <v>110</v>
      </c>
      <c r="AJ4" s="254"/>
      <c r="AK4" s="254"/>
      <c r="AL4" s="255"/>
      <c r="AM4" s="253" t="s">
        <v>112</v>
      </c>
      <c r="AN4" s="254"/>
      <c r="AO4" s="254"/>
      <c r="AP4" s="255"/>
      <c r="AQ4" s="253" t="s">
        <v>116</v>
      </c>
      <c r="AR4" s="254"/>
      <c r="AS4" s="254"/>
      <c r="AT4" s="255"/>
      <c r="AU4" s="253" t="s">
        <v>122</v>
      </c>
      <c r="AV4" s="254"/>
      <c r="AW4" s="254"/>
      <c r="AX4" s="255"/>
      <c r="AY4" s="1"/>
      <c r="AZ4" s="1"/>
      <c r="BA4" s="1"/>
      <c r="BB4" s="1"/>
    </row>
    <row r="5" spans="1:54" ht="16.5" thickBot="1">
      <c r="A5" s="6" t="s">
        <v>5</v>
      </c>
      <c r="B5" s="78"/>
      <c r="C5" s="265">
        <f>'01'!K19</f>
        <v>17336.68</v>
      </c>
      <c r="D5" s="263"/>
      <c r="E5" s="263"/>
      <c r="F5" s="264"/>
      <c r="G5" s="265">
        <f>'02'!K19</f>
        <v>20217</v>
      </c>
      <c r="H5" s="263"/>
      <c r="I5" s="263"/>
      <c r="J5" s="264"/>
      <c r="K5" s="262">
        <f>'03'!K19</f>
        <v>21214.57</v>
      </c>
      <c r="L5" s="263"/>
      <c r="M5" s="263"/>
      <c r="N5" s="264"/>
      <c r="O5" s="262">
        <f>'04'!K19</f>
        <v>20719.909999999996</v>
      </c>
      <c r="P5" s="263"/>
      <c r="Q5" s="263"/>
      <c r="R5" s="264"/>
      <c r="S5" s="262">
        <f>'05'!K19</f>
        <v>22905.86</v>
      </c>
      <c r="T5" s="263"/>
      <c r="U5" s="263"/>
      <c r="V5" s="264"/>
      <c r="W5" s="262">
        <f>'06'!K19</f>
        <v>23622.14</v>
      </c>
      <c r="X5" s="263"/>
      <c r="Y5" s="263"/>
      <c r="Z5" s="264"/>
      <c r="AA5" s="262">
        <f>'07'!K19</f>
        <v>24911.559999999998</v>
      </c>
      <c r="AB5" s="263"/>
      <c r="AC5" s="263"/>
      <c r="AD5" s="264"/>
      <c r="AE5" s="262">
        <f>'08'!K19</f>
        <v>13713.429999999998</v>
      </c>
      <c r="AF5" s="263"/>
      <c r="AG5" s="263"/>
      <c r="AH5" s="264"/>
      <c r="AI5" s="262">
        <f>'09'!K19</f>
        <v>8480.98</v>
      </c>
      <c r="AJ5" s="263"/>
      <c r="AK5" s="263"/>
      <c r="AL5" s="264"/>
      <c r="AM5" s="262">
        <f>'10'!K19</f>
        <v>8480.98</v>
      </c>
      <c r="AN5" s="263"/>
      <c r="AO5" s="263"/>
      <c r="AP5" s="264"/>
      <c r="AQ5" s="262">
        <f>'11'!K19</f>
        <v>8480.98</v>
      </c>
      <c r="AR5" s="263"/>
      <c r="AS5" s="263"/>
      <c r="AT5" s="264"/>
      <c r="AU5" s="262">
        <f>'12'!K19</f>
        <v>8480.98</v>
      </c>
      <c r="AV5" s="263"/>
      <c r="AW5" s="263"/>
      <c r="AX5" s="264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56" t="s">
        <v>7</v>
      </c>
      <c r="D7" s="257"/>
      <c r="E7" s="257"/>
      <c r="F7" s="258"/>
      <c r="G7" s="256" t="s">
        <v>7</v>
      </c>
      <c r="H7" s="257"/>
      <c r="I7" s="257"/>
      <c r="J7" s="258"/>
      <c r="K7" s="256" t="s">
        <v>7</v>
      </c>
      <c r="L7" s="257"/>
      <c r="M7" s="257"/>
      <c r="N7" s="258"/>
      <c r="O7" s="256" t="s">
        <v>7</v>
      </c>
      <c r="P7" s="257"/>
      <c r="Q7" s="257"/>
      <c r="R7" s="258"/>
      <c r="S7" s="256" t="s">
        <v>7</v>
      </c>
      <c r="T7" s="257"/>
      <c r="U7" s="257"/>
      <c r="V7" s="258"/>
      <c r="W7" s="256" t="s">
        <v>7</v>
      </c>
      <c r="X7" s="257"/>
      <c r="Y7" s="257"/>
      <c r="Z7" s="258"/>
      <c r="AA7" s="256" t="s">
        <v>7</v>
      </c>
      <c r="AB7" s="257"/>
      <c r="AC7" s="257"/>
      <c r="AD7" s="258"/>
      <c r="AE7" s="256" t="s">
        <v>7</v>
      </c>
      <c r="AF7" s="257"/>
      <c r="AG7" s="257"/>
      <c r="AH7" s="258"/>
      <c r="AI7" s="256" t="s">
        <v>7</v>
      </c>
      <c r="AJ7" s="257"/>
      <c r="AK7" s="257"/>
      <c r="AL7" s="258"/>
      <c r="AM7" s="256" t="s">
        <v>7</v>
      </c>
      <c r="AN7" s="257"/>
      <c r="AO7" s="257"/>
      <c r="AP7" s="258"/>
      <c r="AQ7" s="256" t="s">
        <v>7</v>
      </c>
      <c r="AR7" s="257"/>
      <c r="AS7" s="257"/>
      <c r="AT7" s="258"/>
      <c r="AU7" s="256" t="s">
        <v>7</v>
      </c>
      <c r="AV7" s="257"/>
      <c r="AW7" s="257"/>
      <c r="AX7" s="258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59">
        <v>2317.46</v>
      </c>
      <c r="D8" s="260"/>
      <c r="E8" s="260"/>
      <c r="F8" s="261"/>
      <c r="G8" s="259">
        <f>2317.46+1638.24</f>
        <v>3955.7</v>
      </c>
      <c r="H8" s="260"/>
      <c r="I8" s="260"/>
      <c r="J8" s="261"/>
      <c r="K8" s="259">
        <v>2320.84</v>
      </c>
      <c r="L8" s="260"/>
      <c r="M8" s="260"/>
      <c r="N8" s="261"/>
      <c r="O8" s="259">
        <v>2325.9</v>
      </c>
      <c r="P8" s="260"/>
      <c r="Q8" s="260"/>
      <c r="R8" s="261"/>
      <c r="S8" s="259">
        <v>2321.1799999999998</v>
      </c>
      <c r="T8" s="260"/>
      <c r="U8" s="260"/>
      <c r="V8" s="261"/>
      <c r="W8" s="259">
        <v>3973.79</v>
      </c>
      <c r="X8" s="260"/>
      <c r="Y8" s="260"/>
      <c r="Z8" s="261"/>
      <c r="AA8" s="259"/>
      <c r="AB8" s="260"/>
      <c r="AC8" s="260"/>
      <c r="AD8" s="261"/>
      <c r="AE8" s="259"/>
      <c r="AF8" s="260"/>
      <c r="AG8" s="260"/>
      <c r="AH8" s="261"/>
      <c r="AI8" s="259"/>
      <c r="AJ8" s="260"/>
      <c r="AK8" s="260"/>
      <c r="AL8" s="261"/>
      <c r="AM8" s="259"/>
      <c r="AN8" s="260"/>
      <c r="AO8" s="260"/>
      <c r="AP8" s="261"/>
      <c r="AQ8" s="259"/>
      <c r="AR8" s="260"/>
      <c r="AS8" s="260"/>
      <c r="AT8" s="261"/>
      <c r="AU8" s="259"/>
      <c r="AV8" s="260"/>
      <c r="AW8" s="260"/>
      <c r="AX8" s="261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47">
        <f>72.66+314.12</f>
        <v>386.78</v>
      </c>
      <c r="D9" s="248"/>
      <c r="E9" s="248"/>
      <c r="F9" s="249"/>
      <c r="G9" s="247">
        <f>176.46</f>
        <v>176.46</v>
      </c>
      <c r="H9" s="248"/>
      <c r="I9" s="248"/>
      <c r="J9" s="249"/>
      <c r="K9" s="247">
        <f>259.63+176.46</f>
        <v>436.09000000000003</v>
      </c>
      <c r="L9" s="248"/>
      <c r="M9" s="248"/>
      <c r="N9" s="249"/>
      <c r="O9" s="247">
        <f>249.22+197.22+325.64</f>
        <v>772.07999999999993</v>
      </c>
      <c r="P9" s="248"/>
      <c r="Q9" s="248"/>
      <c r="R9" s="249"/>
      <c r="S9" s="247">
        <f>155.7+267.29</f>
        <v>422.99</v>
      </c>
      <c r="T9" s="248"/>
      <c r="U9" s="248"/>
      <c r="V9" s="249"/>
      <c r="W9" s="247">
        <f>197.22</f>
        <v>197.22</v>
      </c>
      <c r="X9" s="248"/>
      <c r="Y9" s="248"/>
      <c r="Z9" s="249"/>
      <c r="AA9" s="247">
        <f>786.42</f>
        <v>786.42</v>
      </c>
      <c r="AB9" s="248"/>
      <c r="AC9" s="248"/>
      <c r="AD9" s="249"/>
      <c r="AE9" s="247"/>
      <c r="AF9" s="248"/>
      <c r="AG9" s="248"/>
      <c r="AH9" s="249"/>
      <c r="AI9" s="247"/>
      <c r="AJ9" s="248"/>
      <c r="AK9" s="248"/>
      <c r="AL9" s="249"/>
      <c r="AM9" s="247"/>
      <c r="AN9" s="248"/>
      <c r="AO9" s="248"/>
      <c r="AP9" s="249"/>
      <c r="AQ9" s="247"/>
      <c r="AR9" s="248"/>
      <c r="AS9" s="248"/>
      <c r="AT9" s="249"/>
      <c r="AU9" s="247"/>
      <c r="AV9" s="248"/>
      <c r="AW9" s="248"/>
      <c r="AX9" s="249"/>
      <c r="AY9" s="14">
        <f t="shared" ref="AY9:AY15" si="0">SUM(C9:AX9)</f>
        <v>3178.0399999999995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50">
        <v>90.43</v>
      </c>
      <c r="D10" s="251"/>
      <c r="E10" s="251"/>
      <c r="F10" s="252"/>
      <c r="G10" s="250">
        <f>1117.39-956.06</f>
        <v>161.33000000000015</v>
      </c>
      <c r="H10" s="251"/>
      <c r="I10" s="251"/>
      <c r="J10" s="252"/>
      <c r="K10" s="250">
        <v>285.58</v>
      </c>
      <c r="L10" s="251"/>
      <c r="M10" s="251"/>
      <c r="N10" s="252"/>
      <c r="O10" s="250">
        <f>275.29+42.8</f>
        <v>318.09000000000003</v>
      </c>
      <c r="P10" s="251"/>
      <c r="Q10" s="251"/>
      <c r="R10" s="252"/>
      <c r="S10" s="250">
        <f>421.56</f>
        <v>421.56</v>
      </c>
      <c r="T10" s="251"/>
      <c r="U10" s="251"/>
      <c r="V10" s="252"/>
      <c r="W10" s="250">
        <v>341.74</v>
      </c>
      <c r="X10" s="251"/>
      <c r="Y10" s="251"/>
      <c r="Z10" s="252"/>
      <c r="AA10" s="250"/>
      <c r="AB10" s="251"/>
      <c r="AC10" s="251"/>
      <c r="AD10" s="252"/>
      <c r="AE10" s="250"/>
      <c r="AF10" s="251"/>
      <c r="AG10" s="251"/>
      <c r="AH10" s="252"/>
      <c r="AI10" s="250"/>
      <c r="AJ10" s="251"/>
      <c r="AK10" s="251"/>
      <c r="AL10" s="252"/>
      <c r="AM10" s="250"/>
      <c r="AN10" s="251"/>
      <c r="AO10" s="251"/>
      <c r="AP10" s="252"/>
      <c r="AQ10" s="250"/>
      <c r="AR10" s="251"/>
      <c r="AS10" s="251"/>
      <c r="AT10" s="252"/>
      <c r="AU10" s="250"/>
      <c r="AV10" s="251"/>
      <c r="AW10" s="251"/>
      <c r="AX10" s="252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47">
        <f>1.01+0.04+2831.41+0.05</f>
        <v>2832.51</v>
      </c>
      <c r="D11" s="248"/>
      <c r="E11" s="248"/>
      <c r="F11" s="249"/>
      <c r="G11" s="247"/>
      <c r="H11" s="248"/>
      <c r="I11" s="248"/>
      <c r="J11" s="249"/>
      <c r="K11" s="247"/>
      <c r="L11" s="248"/>
      <c r="M11" s="248"/>
      <c r="N11" s="249"/>
      <c r="O11" s="247">
        <v>0.03</v>
      </c>
      <c r="P11" s="248"/>
      <c r="Q11" s="248"/>
      <c r="R11" s="249"/>
      <c r="S11" s="247">
        <f>38.64</f>
        <v>38.64</v>
      </c>
      <c r="T11" s="248"/>
      <c r="U11" s="248"/>
      <c r="V11" s="249"/>
      <c r="W11" s="247"/>
      <c r="X11" s="248"/>
      <c r="Y11" s="248"/>
      <c r="Z11" s="249"/>
      <c r="AA11" s="247"/>
      <c r="AB11" s="248"/>
      <c r="AC11" s="248"/>
      <c r="AD11" s="249"/>
      <c r="AE11" s="247"/>
      <c r="AF11" s="248"/>
      <c r="AG11" s="248"/>
      <c r="AH11" s="249"/>
      <c r="AI11" s="247"/>
      <c r="AJ11" s="248"/>
      <c r="AK11" s="248"/>
      <c r="AL11" s="249"/>
      <c r="AM11" s="247"/>
      <c r="AN11" s="248"/>
      <c r="AO11" s="248"/>
      <c r="AP11" s="249"/>
      <c r="AQ11" s="247"/>
      <c r="AR11" s="248"/>
      <c r="AS11" s="248"/>
      <c r="AT11" s="249"/>
      <c r="AU11" s="247"/>
      <c r="AV11" s="248"/>
      <c r="AW11" s="248"/>
      <c r="AX11" s="249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50">
        <f>700+50+449</f>
        <v>1199</v>
      </c>
      <c r="D12" s="251"/>
      <c r="E12" s="251"/>
      <c r="F12" s="252"/>
      <c r="G12" s="250">
        <v>447.43</v>
      </c>
      <c r="H12" s="251"/>
      <c r="I12" s="251"/>
      <c r="J12" s="252"/>
      <c r="K12" s="250"/>
      <c r="L12" s="251"/>
      <c r="M12" s="251"/>
      <c r="N12" s="252"/>
      <c r="O12" s="250">
        <f>80.1</f>
        <v>80.099999999999994</v>
      </c>
      <c r="P12" s="251"/>
      <c r="Q12" s="251"/>
      <c r="R12" s="252"/>
      <c r="S12" s="250"/>
      <c r="T12" s="251"/>
      <c r="U12" s="251"/>
      <c r="V12" s="252"/>
      <c r="W12" s="250">
        <f>200</f>
        <v>200</v>
      </c>
      <c r="X12" s="251"/>
      <c r="Y12" s="251"/>
      <c r="Z12" s="252"/>
      <c r="AA12" s="250"/>
      <c r="AB12" s="251"/>
      <c r="AC12" s="251"/>
      <c r="AD12" s="252"/>
      <c r="AE12" s="250"/>
      <c r="AF12" s="251"/>
      <c r="AG12" s="251"/>
      <c r="AH12" s="252"/>
      <c r="AI12" s="250"/>
      <c r="AJ12" s="251"/>
      <c r="AK12" s="251"/>
      <c r="AL12" s="252"/>
      <c r="AM12" s="250"/>
      <c r="AN12" s="251"/>
      <c r="AO12" s="251"/>
      <c r="AP12" s="252"/>
      <c r="AQ12" s="250"/>
      <c r="AR12" s="251"/>
      <c r="AS12" s="251"/>
      <c r="AT12" s="252"/>
      <c r="AU12" s="250"/>
      <c r="AV12" s="251"/>
      <c r="AW12" s="251"/>
      <c r="AX12" s="252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47">
        <f>93.93</f>
        <v>93.93</v>
      </c>
      <c r="D13" s="248"/>
      <c r="E13" s="248"/>
      <c r="F13" s="249"/>
      <c r="G13" s="247">
        <f>93.93</f>
        <v>93.93</v>
      </c>
      <c r="H13" s="248"/>
      <c r="I13" s="248"/>
      <c r="J13" s="249"/>
      <c r="K13" s="247">
        <f>93.93</f>
        <v>93.93</v>
      </c>
      <c r="L13" s="248"/>
      <c r="M13" s="248"/>
      <c r="N13" s="249"/>
      <c r="O13" s="247">
        <f>93.93+2290.23</f>
        <v>2384.16</v>
      </c>
      <c r="P13" s="248"/>
      <c r="Q13" s="248"/>
      <c r="R13" s="249"/>
      <c r="S13" s="247">
        <f>93.93</f>
        <v>93.93</v>
      </c>
      <c r="T13" s="248"/>
      <c r="U13" s="248"/>
      <c r="V13" s="249"/>
      <c r="W13" s="247">
        <f>93.93</f>
        <v>93.93</v>
      </c>
      <c r="X13" s="248"/>
      <c r="Y13" s="248"/>
      <c r="Z13" s="249"/>
      <c r="AA13" s="247">
        <f>93.93</f>
        <v>93.93</v>
      </c>
      <c r="AB13" s="248"/>
      <c r="AC13" s="248"/>
      <c r="AD13" s="249"/>
      <c r="AE13" s="247"/>
      <c r="AF13" s="248"/>
      <c r="AG13" s="248"/>
      <c r="AH13" s="249"/>
      <c r="AI13" s="247"/>
      <c r="AJ13" s="248"/>
      <c r="AK13" s="248"/>
      <c r="AL13" s="249"/>
      <c r="AM13" s="247"/>
      <c r="AN13" s="248"/>
      <c r="AO13" s="248"/>
      <c r="AP13" s="249"/>
      <c r="AQ13" s="247"/>
      <c r="AR13" s="248"/>
      <c r="AS13" s="248"/>
      <c r="AT13" s="249"/>
      <c r="AU13" s="247"/>
      <c r="AV13" s="248"/>
      <c r="AW13" s="248"/>
      <c r="AX13" s="249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50"/>
      <c r="D14" s="251"/>
      <c r="E14" s="251"/>
      <c r="F14" s="252"/>
      <c r="G14" s="250">
        <f>27.27+13.86+8.75+34.09</f>
        <v>83.97</v>
      </c>
      <c r="H14" s="251"/>
      <c r="I14" s="251"/>
      <c r="J14" s="252"/>
      <c r="K14" s="250"/>
      <c r="L14" s="251"/>
      <c r="M14" s="251"/>
      <c r="N14" s="252"/>
      <c r="O14" s="250">
        <f>25+27.27+16.9+26.12</f>
        <v>95.289999999999992</v>
      </c>
      <c r="P14" s="251"/>
      <c r="Q14" s="251"/>
      <c r="R14" s="252"/>
      <c r="S14" s="250">
        <f>22.09+27.27</f>
        <v>49.36</v>
      </c>
      <c r="T14" s="251"/>
      <c r="U14" s="251"/>
      <c r="V14" s="252"/>
      <c r="W14" s="250">
        <f>8.75+27.27+27.27</f>
        <v>63.289999999999992</v>
      </c>
      <c r="X14" s="251"/>
      <c r="Y14" s="251"/>
      <c r="Z14" s="252"/>
      <c r="AA14" s="250"/>
      <c r="AB14" s="251"/>
      <c r="AC14" s="251"/>
      <c r="AD14" s="252"/>
      <c r="AE14" s="250"/>
      <c r="AF14" s="251"/>
      <c r="AG14" s="251"/>
      <c r="AH14" s="252"/>
      <c r="AI14" s="250"/>
      <c r="AJ14" s="251"/>
      <c r="AK14" s="251"/>
      <c r="AL14" s="252"/>
      <c r="AM14" s="250"/>
      <c r="AN14" s="251"/>
      <c r="AO14" s="251"/>
      <c r="AP14" s="252"/>
      <c r="AQ14" s="250"/>
      <c r="AR14" s="251"/>
      <c r="AS14" s="251"/>
      <c r="AT14" s="252"/>
      <c r="AU14" s="250"/>
      <c r="AV14" s="251"/>
      <c r="AW14" s="251"/>
      <c r="AX14" s="252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47">
        <v>648.49</v>
      </c>
      <c r="D15" s="248"/>
      <c r="E15" s="248"/>
      <c r="F15" s="249"/>
      <c r="G15" s="247">
        <v>550</v>
      </c>
      <c r="H15" s="248"/>
      <c r="I15" s="248"/>
      <c r="J15" s="249"/>
      <c r="K15" s="247">
        <v>690</v>
      </c>
      <c r="L15" s="248"/>
      <c r="M15" s="248"/>
      <c r="N15" s="249"/>
      <c r="O15" s="247">
        <f>550</f>
        <v>550</v>
      </c>
      <c r="P15" s="248"/>
      <c r="Q15" s="248"/>
      <c r="R15" s="249"/>
      <c r="S15" s="247">
        <v>650.01</v>
      </c>
      <c r="T15" s="248"/>
      <c r="U15" s="248"/>
      <c r="V15" s="249"/>
      <c r="W15" s="247">
        <v>568.34</v>
      </c>
      <c r="X15" s="248"/>
      <c r="Y15" s="248"/>
      <c r="Z15" s="249"/>
      <c r="AA15" s="247"/>
      <c r="AB15" s="248"/>
      <c r="AC15" s="248"/>
      <c r="AD15" s="249"/>
      <c r="AE15" s="247"/>
      <c r="AF15" s="248"/>
      <c r="AG15" s="248"/>
      <c r="AH15" s="249"/>
      <c r="AI15" s="247"/>
      <c r="AJ15" s="248"/>
      <c r="AK15" s="248"/>
      <c r="AL15" s="249"/>
      <c r="AM15" s="247"/>
      <c r="AN15" s="248"/>
      <c r="AO15" s="248"/>
      <c r="AP15" s="249"/>
      <c r="AQ15" s="247"/>
      <c r="AR15" s="248"/>
      <c r="AS15" s="248"/>
      <c r="AT15" s="249"/>
      <c r="AU15" s="247"/>
      <c r="AV15" s="248"/>
      <c r="AW15" s="248"/>
      <c r="AX15" s="249"/>
      <c r="AY15" s="14">
        <f t="shared" si="0"/>
        <v>3656.84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44">
        <f>28.78+200.62+1566.27</f>
        <v>1795.67</v>
      </c>
      <c r="D16" s="245"/>
      <c r="E16" s="245"/>
      <c r="F16" s="246"/>
      <c r="G16" s="244">
        <f>47.52</f>
        <v>47.52</v>
      </c>
      <c r="H16" s="245"/>
      <c r="I16" s="245"/>
      <c r="J16" s="246"/>
      <c r="K16" s="244"/>
      <c r="L16" s="245"/>
      <c r="M16" s="245"/>
      <c r="N16" s="246"/>
      <c r="O16" s="244"/>
      <c r="P16" s="245"/>
      <c r="Q16" s="245"/>
      <c r="R16" s="246"/>
      <c r="S16" s="244"/>
      <c r="T16" s="245"/>
      <c r="U16" s="245"/>
      <c r="V16" s="246"/>
      <c r="W16" s="244"/>
      <c r="X16" s="245"/>
      <c r="Y16" s="245"/>
      <c r="Z16" s="246"/>
      <c r="AA16" s="244"/>
      <c r="AB16" s="245"/>
      <c r="AC16" s="245"/>
      <c r="AD16" s="246"/>
      <c r="AE16" s="244"/>
      <c r="AF16" s="245"/>
      <c r="AG16" s="245"/>
      <c r="AH16" s="246"/>
      <c r="AI16" s="244"/>
      <c r="AJ16" s="245"/>
      <c r="AK16" s="245"/>
      <c r="AL16" s="246"/>
      <c r="AM16" s="244"/>
      <c r="AN16" s="245"/>
      <c r="AO16" s="245"/>
      <c r="AP16" s="246"/>
      <c r="AQ16" s="244"/>
      <c r="AR16" s="245"/>
      <c r="AS16" s="245"/>
      <c r="AT16" s="246"/>
      <c r="AU16" s="244"/>
      <c r="AV16" s="245"/>
      <c r="AW16" s="245"/>
      <c r="AX16" s="246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0">
        <f>SUM(C8:C16)</f>
        <v>9364.27</v>
      </c>
      <c r="D17" s="241"/>
      <c r="E17" s="241"/>
      <c r="F17" s="242"/>
      <c r="G17" s="240">
        <f>SUM(G8:G16)</f>
        <v>5516.3400000000011</v>
      </c>
      <c r="H17" s="241"/>
      <c r="I17" s="241"/>
      <c r="J17" s="242"/>
      <c r="K17" s="240">
        <f>SUM(K8:K16)</f>
        <v>3826.44</v>
      </c>
      <c r="L17" s="241"/>
      <c r="M17" s="241"/>
      <c r="N17" s="242"/>
      <c r="O17" s="240">
        <f>SUM(O8:O16)</f>
        <v>6525.6500000000005</v>
      </c>
      <c r="P17" s="241"/>
      <c r="Q17" s="241"/>
      <c r="R17" s="242"/>
      <c r="S17" s="240">
        <f>SUM(S8:S16)</f>
        <v>3997.67</v>
      </c>
      <c r="T17" s="241"/>
      <c r="U17" s="241"/>
      <c r="V17" s="242"/>
      <c r="W17" s="240">
        <f>SUM(W8:W16)</f>
        <v>5438.31</v>
      </c>
      <c r="X17" s="241"/>
      <c r="Y17" s="241"/>
      <c r="Z17" s="242"/>
      <c r="AA17" s="240">
        <f>SUM(AA8:AA16)</f>
        <v>880.34999999999991</v>
      </c>
      <c r="AB17" s="241"/>
      <c r="AC17" s="241"/>
      <c r="AD17" s="242"/>
      <c r="AE17" s="240">
        <f>SUM(AE8:AE16)</f>
        <v>0</v>
      </c>
      <c r="AF17" s="241"/>
      <c r="AG17" s="241"/>
      <c r="AH17" s="242"/>
      <c r="AI17" s="240">
        <f>SUM(AI8:AI16)</f>
        <v>0</v>
      </c>
      <c r="AJ17" s="241"/>
      <c r="AK17" s="241"/>
      <c r="AL17" s="242"/>
      <c r="AM17" s="240">
        <f>SUM(AM8:AM16)</f>
        <v>0</v>
      </c>
      <c r="AN17" s="241"/>
      <c r="AO17" s="241"/>
      <c r="AP17" s="242"/>
      <c r="AQ17" s="240">
        <f>SUM(AQ8:AQ16)</f>
        <v>0</v>
      </c>
      <c r="AR17" s="241"/>
      <c r="AS17" s="241"/>
      <c r="AT17" s="242"/>
      <c r="AU17" s="240">
        <f>SUM(AU8:AU16)</f>
        <v>0</v>
      </c>
      <c r="AV17" s="241"/>
      <c r="AW17" s="241"/>
      <c r="AX17" s="242"/>
      <c r="AY17" s="18">
        <f>SUM(AY8:AY16)</f>
        <v>35549.03</v>
      </c>
      <c r="AZ17" s="2">
        <f ca="1">AY17/BB17</f>
        <v>5078.4328571428568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 t="s">
        <v>212</v>
      </c>
      <c r="AV18" s="243"/>
      <c r="AW18" s="243"/>
      <c r="AX18" s="243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0</v>
      </c>
      <c r="AD20" s="83">
        <f t="shared" ref="AD20:AD45" si="7">Z20+AB20-AC20</f>
        <v>1742.4299999999998</v>
      </c>
      <c r="AE20" s="26" t="s">
        <v>107</v>
      </c>
      <c r="AF20" s="58">
        <f>'08'!B20</f>
        <v>1043.3</v>
      </c>
      <c r="AG20" s="58">
        <f>SUM('08'!D20:F20)</f>
        <v>0</v>
      </c>
      <c r="AH20" s="83">
        <f t="shared" ref="AH20:AH45" si="8">AD20+AF20-AG20</f>
        <v>2785.7299999999996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3577.7299999999996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4369.7299999999996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5161.7299999999996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5953.73</v>
      </c>
      <c r="AY20" s="40">
        <f t="shared" ref="AY20:AY27" si="13">E20+I20+M20+Q20+U20+Y20+AC20+AG20+AK20+AO20+AS20+AW20</f>
        <v>4116.7299999999996</v>
      </c>
      <c r="AZ20" s="41">
        <f t="shared" ref="AZ20:AZ45" si="14">AY20/AY$46</f>
        <v>0.14888253023594922</v>
      </c>
      <c r="BA20" s="42">
        <f>_xlfn.RANK.EQ(AZ20,$AZ$20:$AZ$45,)</f>
        <v>2</v>
      </c>
      <c r="BB20" s="42">
        <f t="shared" ref="BB20:BB45" ca="1" si="15">AY20/BB$17</f>
        <v>588.10428571428565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1651.86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2779.8599999999997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3937.8599999999997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5095.8599999999997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6253.86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7411.86</v>
      </c>
      <c r="AY21" s="45">
        <f t="shared" si="13"/>
        <v>6671.06</v>
      </c>
      <c r="AZ21" s="41">
        <f t="shared" si="14"/>
        <v>0.24126048882385573</v>
      </c>
      <c r="BA21" s="42">
        <f t="shared" ref="BA21:BA45" si="16">_xlfn.RANK.EQ(AZ21,$AZ$20:$AZ$45,)</f>
        <v>1</v>
      </c>
      <c r="BB21" s="42">
        <f t="shared" ca="1" si="15"/>
        <v>953.00857142857149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143.46</v>
      </c>
      <c r="AD22" s="85">
        <f t="shared" si="7"/>
        <v>257.49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767.49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1147.49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1527.49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1907.49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2287.4899999999998</v>
      </c>
      <c r="AY22" s="43">
        <f t="shared" si="13"/>
        <v>2851.9700000000003</v>
      </c>
      <c r="AZ22" s="41">
        <f t="shared" si="14"/>
        <v>0.10314218074953184</v>
      </c>
      <c r="BA22" s="42">
        <f t="shared" si="16"/>
        <v>3</v>
      </c>
      <c r="BB22" s="42">
        <f t="shared" ca="1" si="15"/>
        <v>407.42428571428576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0</v>
      </c>
      <c r="AD23" s="84">
        <f t="shared" si="7"/>
        <v>149.36000000000001</v>
      </c>
      <c r="AE23" s="27" t="s">
        <v>107</v>
      </c>
      <c r="AF23" s="62">
        <f>'08'!B80</f>
        <v>221</v>
      </c>
      <c r="AG23" s="63">
        <f>SUM('08'!D80:F80)</f>
        <v>0</v>
      </c>
      <c r="AH23" s="84">
        <f t="shared" si="8"/>
        <v>370.36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520.36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670.36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820.36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970.36</v>
      </c>
      <c r="AY23" s="45">
        <f t="shared" si="13"/>
        <v>1187.4399999999998</v>
      </c>
      <c r="AZ23" s="41">
        <f t="shared" si="14"/>
        <v>4.2944053096359375E-2</v>
      </c>
      <c r="BA23" s="42">
        <f t="shared" si="16"/>
        <v>8</v>
      </c>
      <c r="BB23" s="42">
        <f t="shared" ca="1" si="15"/>
        <v>169.63428571428568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0</v>
      </c>
      <c r="AD24" s="85">
        <f t="shared" si="7"/>
        <v>197.62000000000003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347.62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497.62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647.62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797.62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947.62</v>
      </c>
      <c r="AY24" s="43">
        <f t="shared" si="13"/>
        <v>916.94</v>
      </c>
      <c r="AZ24" s="41">
        <f t="shared" si="14"/>
        <v>3.3161355560007898E-2</v>
      </c>
      <c r="BA24" s="42">
        <f t="shared" si="16"/>
        <v>9</v>
      </c>
      <c r="BB24" s="42">
        <f t="shared" ca="1" si="15"/>
        <v>130.99142857142857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258.47000000000003</v>
      </c>
      <c r="AD25" s="84">
        <f t="shared" si="7"/>
        <v>3643.4299999999985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4043.4299999999985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4443.4299999999985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4843.4299999999985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5243.4299999999985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5643.4299999999985</v>
      </c>
      <c r="AY25" s="45">
        <f t="shared" si="13"/>
        <v>2231.3900000000003</v>
      </c>
      <c r="AZ25" s="41">
        <f t="shared" si="14"/>
        <v>8.0698755843398723E-2</v>
      </c>
      <c r="BA25" s="42">
        <f t="shared" si="16"/>
        <v>5</v>
      </c>
      <c r="BB25" s="42">
        <f t="shared" ca="1" si="15"/>
        <v>318.77000000000004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77.489999999999981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125.48999999999998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177.48999999999998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229.48999999999998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281.49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333.49</v>
      </c>
      <c r="AY26" s="43">
        <f t="shared" si="13"/>
        <v>283.98</v>
      </c>
      <c r="AZ26" s="41">
        <f t="shared" si="14"/>
        <v>1.027020497734971E-2</v>
      </c>
      <c r="BA26" s="42">
        <f t="shared" si="16"/>
        <v>15</v>
      </c>
      <c r="BB26" s="42">
        <f t="shared" ca="1" si="15"/>
        <v>40.568571428571431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8.9338993434562239E-3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7.7944411132239641E-2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1.0400000000000347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51.040000000000035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101.04000000000003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151.04000000000002</v>
      </c>
      <c r="AY29" s="45">
        <f t="shared" si="17"/>
        <v>715.24</v>
      </c>
      <c r="AZ29" s="41">
        <f t="shared" si="14"/>
        <v>2.5866826565249686E-2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8.6355361099076117E-3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90</v>
      </c>
      <c r="AG31" s="63">
        <f>SUM('08'!D240:F240)</f>
        <v>0</v>
      </c>
      <c r="AH31" s="88">
        <f t="shared" si="8"/>
        <v>182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252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322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392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462</v>
      </c>
      <c r="AY31" s="45">
        <f t="shared" si="17"/>
        <v>615</v>
      </c>
      <c r="AZ31" s="41">
        <f t="shared" si="14"/>
        <v>2.2241622864532962E-2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15.889999999999986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65.889999999999986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115.88999999999999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165.89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215.89</v>
      </c>
      <c r="AY32" s="43">
        <f t="shared" si="17"/>
        <v>544.11</v>
      </c>
      <c r="AZ32" s="41">
        <f t="shared" si="14"/>
        <v>1.9677868970440701E-2</v>
      </c>
      <c r="BA32" s="42">
        <f t="shared" si="16"/>
        <v>12</v>
      </c>
      <c r="BB32" s="42">
        <f t="shared" ca="1" si="15"/>
        <v>77.73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1.1406516831664547E-3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320</v>
      </c>
      <c r="AG34" s="59">
        <f>SUM('08'!D300:F300)</f>
        <v>0</v>
      </c>
      <c r="AH34" s="89">
        <f t="shared" si="8"/>
        <v>722.47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822.47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922.47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1022.47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1122.47</v>
      </c>
      <c r="AY34" s="43">
        <f>E34+I34+M34+Q34+U34+Y34+AC34+AG34+AK34+AO34+AS34+AW34+(E36+I36+M36)</f>
        <v>2518.71</v>
      </c>
      <c r="AZ34" s="41">
        <f t="shared" si="14"/>
        <v>9.108975272378507E-2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0</v>
      </c>
      <c r="AD35" s="86">
        <f t="shared" si="7"/>
        <v>1560.5300000000002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1660.5300000000002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1760.5300000000002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1860.5300000000002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1960.5300000000002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2060.5300000000002</v>
      </c>
      <c r="AY35" s="45">
        <f t="shared" si="17"/>
        <v>1218.5700000000002</v>
      </c>
      <c r="AZ35" s="41">
        <f t="shared" si="14"/>
        <v>4.4069877030949486E-2</v>
      </c>
      <c r="BA35" s="42">
        <f t="shared" si="16"/>
        <v>7</v>
      </c>
      <c r="BB35" s="42">
        <f t="shared" ca="1" si="15"/>
        <v>174.0814285714286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39.9</v>
      </c>
      <c r="AD36" s="85">
        <f t="shared" si="7"/>
        <v>-108.89999999999998</v>
      </c>
      <c r="AE36" s="26" t="s">
        <v>107</v>
      </c>
      <c r="AF36" s="64">
        <f>'08'!B340</f>
        <v>10</v>
      </c>
      <c r="AG36" s="64">
        <f>SUM('08'!D340:F340)</f>
        <v>0</v>
      </c>
      <c r="AH36" s="85">
        <f t="shared" si="8"/>
        <v>-98.899999999999977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-48.899999999999977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1.1000000000000227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51.100000000000023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101.10000000000002</v>
      </c>
      <c r="AY36" s="40">
        <f>Q36+U36+Y36+AC36+AG36+AK36+AO36+AS36+AW36</f>
        <v>132.9</v>
      </c>
      <c r="AZ36" s="41">
        <f t="shared" si="14"/>
        <v>4.8063604531649283E-3</v>
      </c>
      <c r="BA36" s="42">
        <f t="shared" si="16"/>
        <v>18</v>
      </c>
      <c r="BB36" s="42">
        <f t="shared" ca="1" si="15"/>
        <v>18.985714285714288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1.5049441500192036E-2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15.25</v>
      </c>
      <c r="AD38" s="85">
        <f t="shared" si="7"/>
        <v>48.300000000000011</v>
      </c>
      <c r="AE38" s="26" t="s">
        <v>107</v>
      </c>
      <c r="AF38" s="61">
        <f>'08'!B380</f>
        <v>103</v>
      </c>
      <c r="AG38" s="61">
        <f>SUM('08'!D380:F380)</f>
        <v>0</v>
      </c>
      <c r="AH38" s="85">
        <f t="shared" si="8"/>
        <v>151.30000000000001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191.3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231.3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271.3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311.3</v>
      </c>
      <c r="AY38" s="43">
        <f t="shared" si="17"/>
        <v>435.71999999999997</v>
      </c>
      <c r="AZ38" s="41">
        <f t="shared" si="14"/>
        <v>1.5757918560218378E-2</v>
      </c>
      <c r="BA38" s="42">
        <f t="shared" si="16"/>
        <v>13</v>
      </c>
      <c r="BB38" s="42">
        <f t="shared" ca="1" si="15"/>
        <v>62.245714285714278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4.2996854347387382E-3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-3737.9500000000003</v>
      </c>
      <c r="AC41" s="60">
        <f>SUM('07'!D440:F440)</f>
        <v>0</v>
      </c>
      <c r="AD41" s="84">
        <f t="shared" si="7"/>
        <v>5741.619999999999</v>
      </c>
      <c r="AE41" s="27" t="s">
        <v>107</v>
      </c>
      <c r="AF41" s="60">
        <f>'08'!B440</f>
        <v>-5478.65</v>
      </c>
      <c r="AG41" s="60">
        <f>SUM('08'!D440:F440)</f>
        <v>0</v>
      </c>
      <c r="AH41" s="84">
        <f t="shared" si="8"/>
        <v>262.96999999999935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262.96999999999935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262.96999999999935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262.96999999999935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262.96999999999935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1.2657834150547214E-4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880.34999999999991</v>
      </c>
      <c r="AC46" s="117">
        <f>SUM(AC20:AC45)</f>
        <v>558.06000000000006</v>
      </c>
      <c r="AD46" s="118">
        <f>SUM(AD20:AD45)</f>
        <v>25233.85</v>
      </c>
      <c r="AE46" s="116"/>
      <c r="AF46" s="117">
        <f>SUM(AF20:AF45)</f>
        <v>-880.34999999999945</v>
      </c>
      <c r="AG46" s="117">
        <f>SUM(AG20:AG45)</f>
        <v>0</v>
      </c>
      <c r="AH46" s="118">
        <f>SUM(AH20:AH45)</f>
        <v>24353.499999999996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28240.499999999996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32127.499999999996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36014.5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39901.5</v>
      </c>
      <c r="AY46" s="28">
        <f>SUM(AY20:AY45)</f>
        <v>27650.860000000004</v>
      </c>
      <c r="AZ46" s="1"/>
      <c r="BA46" s="1"/>
      <c r="BB46" s="29">
        <f ca="1">SUM(BB20:BB45)</f>
        <v>3950.1228571428574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322.28999999999985</v>
      </c>
      <c r="AD47" s="82"/>
      <c r="AE47" s="82">
        <f>AE5-AD46</f>
        <v>-11520.42</v>
      </c>
      <c r="AF47" s="82">
        <f>AE17-AF46</f>
        <v>880.34999999999945</v>
      </c>
      <c r="AG47" s="82">
        <f>AE17-AG46</f>
        <v>0</v>
      </c>
      <c r="AH47" s="82"/>
      <c r="AI47" s="82">
        <f>AI5-AH46</f>
        <v>-15872.519999999997</v>
      </c>
      <c r="AJ47" s="82">
        <f>AI17-AJ46</f>
        <v>-3887</v>
      </c>
      <c r="AK47" s="82">
        <f>AI17-AK46</f>
        <v>0</v>
      </c>
      <c r="AL47" s="82"/>
      <c r="AM47" s="82">
        <f>AM5-AL46</f>
        <v>-19759.519999999997</v>
      </c>
      <c r="AN47" s="82">
        <f>AM17-AN46</f>
        <v>-3887</v>
      </c>
      <c r="AO47" s="82">
        <f>AM17-AO46</f>
        <v>0</v>
      </c>
      <c r="AP47" s="82"/>
      <c r="AQ47" s="82">
        <f>AQ5-AP46</f>
        <v>-23646.519999999997</v>
      </c>
      <c r="AR47" s="82">
        <f>AQ17-AR46</f>
        <v>-3887</v>
      </c>
      <c r="AS47" s="82">
        <f>AQ17-AS46</f>
        <v>0</v>
      </c>
      <c r="AT47" s="82"/>
      <c r="AU47" s="82">
        <f>AU5-AT46</f>
        <v>-27533.52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171.46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15" t="s">
        <v>204</v>
      </c>
      <c r="D52" s="216"/>
      <c r="E52" s="216"/>
      <c r="F52" s="217"/>
      <c r="G52" s="215" t="s">
        <v>204</v>
      </c>
      <c r="H52" s="216"/>
      <c r="I52" s="216"/>
      <c r="J52" s="217"/>
      <c r="K52" s="215" t="s">
        <v>204</v>
      </c>
      <c r="L52" s="216"/>
      <c r="M52" s="216"/>
      <c r="N52" s="217"/>
      <c r="O52" s="215" t="s">
        <v>204</v>
      </c>
      <c r="P52" s="216"/>
      <c r="Q52" s="216"/>
      <c r="R52" s="217"/>
      <c r="S52" s="215" t="s">
        <v>204</v>
      </c>
      <c r="T52" s="216"/>
      <c r="U52" s="216"/>
      <c r="V52" s="217"/>
      <c r="W52" s="215" t="s">
        <v>204</v>
      </c>
      <c r="X52" s="216"/>
      <c r="Y52" s="216"/>
      <c r="Z52" s="217"/>
      <c r="AA52" s="215" t="s">
        <v>204</v>
      </c>
      <c r="AB52" s="216"/>
      <c r="AC52" s="216"/>
      <c r="AD52" s="217"/>
      <c r="AE52" s="215" t="s">
        <v>204</v>
      </c>
      <c r="AF52" s="216"/>
      <c r="AG52" s="216"/>
      <c r="AH52" s="217"/>
      <c r="AI52" s="215" t="s">
        <v>204</v>
      </c>
      <c r="AJ52" s="216"/>
      <c r="AK52" s="216"/>
      <c r="AL52" s="217"/>
      <c r="AM52" s="215" t="s">
        <v>204</v>
      </c>
      <c r="AN52" s="216"/>
      <c r="AO52" s="216"/>
      <c r="AP52" s="217"/>
      <c r="AQ52" s="215" t="s">
        <v>204</v>
      </c>
      <c r="AR52" s="216"/>
      <c r="AS52" s="216"/>
      <c r="AT52" s="217"/>
      <c r="AU52" s="215" t="s">
        <v>204</v>
      </c>
      <c r="AV52" s="216"/>
      <c r="AW52" s="216"/>
      <c r="AX52" s="217"/>
    </row>
    <row r="53" spans="1:51" ht="15.75" thickBot="1">
      <c r="C53" s="188" t="s">
        <v>205</v>
      </c>
      <c r="D53" s="218" t="s">
        <v>33</v>
      </c>
      <c r="E53" s="219"/>
      <c r="F53" s="189" t="s">
        <v>139</v>
      </c>
      <c r="G53" s="188" t="s">
        <v>205</v>
      </c>
      <c r="H53" s="218" t="s">
        <v>33</v>
      </c>
      <c r="I53" s="219"/>
      <c r="J53" s="189" t="s">
        <v>139</v>
      </c>
      <c r="K53" s="188" t="s">
        <v>205</v>
      </c>
      <c r="L53" s="218" t="s">
        <v>33</v>
      </c>
      <c r="M53" s="219"/>
      <c r="N53" s="189" t="s">
        <v>139</v>
      </c>
      <c r="O53" s="188" t="s">
        <v>205</v>
      </c>
      <c r="P53" s="218" t="s">
        <v>33</v>
      </c>
      <c r="Q53" s="219"/>
      <c r="R53" s="189" t="s">
        <v>139</v>
      </c>
      <c r="S53" s="188" t="s">
        <v>205</v>
      </c>
      <c r="T53" s="218" t="s">
        <v>33</v>
      </c>
      <c r="U53" s="219"/>
      <c r="V53" s="189" t="s">
        <v>139</v>
      </c>
      <c r="W53" s="188" t="s">
        <v>205</v>
      </c>
      <c r="X53" s="218" t="s">
        <v>33</v>
      </c>
      <c r="Y53" s="219"/>
      <c r="Z53" s="189" t="s">
        <v>139</v>
      </c>
      <c r="AA53" s="188" t="s">
        <v>205</v>
      </c>
      <c r="AB53" s="218" t="s">
        <v>33</v>
      </c>
      <c r="AC53" s="219"/>
      <c r="AD53" s="189" t="s">
        <v>139</v>
      </c>
      <c r="AE53" s="188" t="s">
        <v>205</v>
      </c>
      <c r="AF53" s="218" t="s">
        <v>33</v>
      </c>
      <c r="AG53" s="219"/>
      <c r="AH53" s="189" t="s">
        <v>139</v>
      </c>
      <c r="AI53" s="188" t="s">
        <v>205</v>
      </c>
      <c r="AJ53" s="218" t="s">
        <v>33</v>
      </c>
      <c r="AK53" s="219"/>
      <c r="AL53" s="189" t="s">
        <v>139</v>
      </c>
      <c r="AM53" s="188" t="s">
        <v>205</v>
      </c>
      <c r="AN53" s="218" t="s">
        <v>33</v>
      </c>
      <c r="AO53" s="219"/>
      <c r="AP53" s="189" t="s">
        <v>139</v>
      </c>
      <c r="AQ53" s="188" t="s">
        <v>205</v>
      </c>
      <c r="AR53" s="218" t="s">
        <v>33</v>
      </c>
      <c r="AS53" s="219"/>
      <c r="AT53" s="189" t="s">
        <v>139</v>
      </c>
      <c r="AU53" s="188" t="s">
        <v>205</v>
      </c>
      <c r="AV53" s="218" t="s">
        <v>33</v>
      </c>
      <c r="AW53" s="219"/>
      <c r="AX53" s="189" t="s">
        <v>139</v>
      </c>
    </row>
    <row r="54" spans="1:51">
      <c r="C54" s="190">
        <v>43112</v>
      </c>
      <c r="D54" s="220" t="s">
        <v>206</v>
      </c>
      <c r="E54" s="221"/>
      <c r="F54" s="193">
        <v>10</v>
      </c>
      <c r="G54" s="190">
        <v>43137</v>
      </c>
      <c r="H54" s="220" t="s">
        <v>229</v>
      </c>
      <c r="I54" s="221"/>
      <c r="J54" s="195">
        <v>10</v>
      </c>
      <c r="K54" s="190">
        <v>43166</v>
      </c>
      <c r="L54" s="236" t="s">
        <v>297</v>
      </c>
      <c r="M54" s="237"/>
      <c r="N54" s="195"/>
      <c r="O54" s="190">
        <v>43195</v>
      </c>
      <c r="P54" s="236" t="s">
        <v>229</v>
      </c>
      <c r="Q54" s="237"/>
      <c r="R54" s="201">
        <v>10</v>
      </c>
      <c r="S54" s="190">
        <v>43224</v>
      </c>
      <c r="T54" s="236" t="s">
        <v>297</v>
      </c>
      <c r="U54" s="237"/>
      <c r="V54" s="202"/>
      <c r="W54" s="191">
        <v>43264</v>
      </c>
      <c r="X54" s="234" t="s">
        <v>206</v>
      </c>
      <c r="Y54" s="235"/>
      <c r="Z54" s="203">
        <v>15</v>
      </c>
      <c r="AA54" s="190"/>
      <c r="AB54" s="230" t="s">
        <v>380</v>
      </c>
      <c r="AC54" s="231"/>
      <c r="AD54" s="195">
        <f>1452-580.8</f>
        <v>871.2</v>
      </c>
      <c r="AE54" s="190"/>
      <c r="AF54" s="226"/>
      <c r="AG54" s="227"/>
      <c r="AH54" s="195"/>
      <c r="AI54" s="190"/>
      <c r="AJ54" s="226"/>
      <c r="AK54" s="227"/>
      <c r="AL54" s="195"/>
      <c r="AM54" s="190"/>
      <c r="AN54" s="226"/>
      <c r="AO54" s="227"/>
      <c r="AP54" s="195"/>
      <c r="AQ54" s="190"/>
      <c r="AR54" s="220" t="s">
        <v>465</v>
      </c>
      <c r="AS54" s="221"/>
      <c r="AT54" s="195">
        <f>50*11</f>
        <v>550</v>
      </c>
      <c r="AU54" s="190"/>
      <c r="AV54" s="220"/>
      <c r="AW54" s="221"/>
      <c r="AX54" s="195"/>
    </row>
    <row r="55" spans="1:51">
      <c r="C55" s="191"/>
      <c r="D55" s="211"/>
      <c r="E55" s="212"/>
      <c r="F55" s="193"/>
      <c r="G55" s="191">
        <v>43146</v>
      </c>
      <c r="H55" s="211" t="s">
        <v>282</v>
      </c>
      <c r="I55" s="212"/>
      <c r="J55" s="195">
        <v>10</v>
      </c>
      <c r="K55" s="191">
        <v>43168</v>
      </c>
      <c r="L55" s="238" t="s">
        <v>282</v>
      </c>
      <c r="M55" s="239"/>
      <c r="N55" s="195">
        <v>15</v>
      </c>
      <c r="O55" s="191">
        <v>43209</v>
      </c>
      <c r="P55" s="234" t="s">
        <v>206</v>
      </c>
      <c r="Q55" s="235"/>
      <c r="R55" s="201">
        <v>15</v>
      </c>
      <c r="S55" s="191">
        <v>43238</v>
      </c>
      <c r="T55" s="234" t="s">
        <v>369</v>
      </c>
      <c r="U55" s="235"/>
      <c r="V55" s="195"/>
      <c r="W55" s="191">
        <v>43253</v>
      </c>
      <c r="X55" s="234" t="s">
        <v>229</v>
      </c>
      <c r="Y55" s="235"/>
      <c r="Z55" s="195">
        <v>10</v>
      </c>
      <c r="AA55" s="191"/>
      <c r="AB55" s="211" t="s">
        <v>381</v>
      </c>
      <c r="AC55" s="212"/>
      <c r="AD55" s="195">
        <f>200-43.62+(76.38*6)</f>
        <v>614.66</v>
      </c>
      <c r="AE55" s="191"/>
      <c r="AF55" s="222"/>
      <c r="AG55" s="223"/>
      <c r="AH55" s="195"/>
      <c r="AI55" s="191"/>
      <c r="AJ55" s="222"/>
      <c r="AK55" s="223"/>
      <c r="AL55" s="195"/>
      <c r="AM55" s="191"/>
      <c r="AN55" s="222"/>
      <c r="AO55" s="223"/>
      <c r="AP55" s="195"/>
      <c r="AQ55" s="191"/>
      <c r="AR55" s="211"/>
      <c r="AS55" s="212"/>
      <c r="AT55" s="195"/>
      <c r="AU55" s="191"/>
      <c r="AV55" s="211"/>
      <c r="AW55" s="212"/>
      <c r="AX55" s="195"/>
    </row>
    <row r="56" spans="1:51">
      <c r="C56" s="191">
        <v>43117</v>
      </c>
      <c r="D56" s="211" t="s">
        <v>208</v>
      </c>
      <c r="E56" s="212"/>
      <c r="F56" s="193"/>
      <c r="G56" s="191">
        <v>43147</v>
      </c>
      <c r="H56" s="211" t="s">
        <v>293</v>
      </c>
      <c r="I56" s="212"/>
      <c r="J56" s="195"/>
      <c r="K56" s="191">
        <v>43189</v>
      </c>
      <c r="L56" s="211" t="s">
        <v>302</v>
      </c>
      <c r="M56" s="212"/>
      <c r="N56" s="195"/>
      <c r="O56" s="191">
        <v>43193</v>
      </c>
      <c r="P56" s="234" t="s">
        <v>338</v>
      </c>
      <c r="Q56" s="235"/>
      <c r="R56" s="201">
        <v>258.52</v>
      </c>
      <c r="S56" s="191">
        <v>43249</v>
      </c>
      <c r="T56" s="211" t="s">
        <v>384</v>
      </c>
      <c r="U56" s="212"/>
      <c r="V56" s="195"/>
      <c r="W56" s="191">
        <v>43249</v>
      </c>
      <c r="X56" s="211" t="s">
        <v>389</v>
      </c>
      <c r="Y56" s="212"/>
      <c r="Z56" s="195"/>
      <c r="AA56" s="191"/>
      <c r="AB56" s="211" t="s">
        <v>382</v>
      </c>
      <c r="AC56" s="212"/>
      <c r="AD56" s="195">
        <f>AD54-AD55</f>
        <v>256.54000000000008</v>
      </c>
      <c r="AE56" s="191">
        <v>43313</v>
      </c>
      <c r="AF56" s="211" t="s">
        <v>229</v>
      </c>
      <c r="AG56" s="212"/>
      <c r="AH56" s="195">
        <v>10</v>
      </c>
      <c r="AI56" s="191"/>
      <c r="AJ56" s="222"/>
      <c r="AK56" s="223"/>
      <c r="AL56" s="195"/>
      <c r="AM56" s="191"/>
      <c r="AN56" s="222"/>
      <c r="AO56" s="223"/>
      <c r="AP56" s="195"/>
      <c r="AQ56" s="191"/>
      <c r="AR56" s="211"/>
      <c r="AS56" s="212"/>
      <c r="AT56" s="195"/>
      <c r="AU56" s="191"/>
      <c r="AV56" s="211"/>
      <c r="AW56" s="212"/>
      <c r="AX56" s="195"/>
    </row>
    <row r="57" spans="1:51">
      <c r="C57" s="191"/>
      <c r="D57" s="211" t="s">
        <v>209</v>
      </c>
      <c r="E57" s="212"/>
      <c r="F57" s="193"/>
      <c r="G57" s="191"/>
      <c r="H57" s="211" t="s">
        <v>294</v>
      </c>
      <c r="I57" s="212"/>
      <c r="J57" s="195"/>
      <c r="K57" s="191"/>
      <c r="L57" s="211" t="s">
        <v>303</v>
      </c>
      <c r="M57" s="212"/>
      <c r="N57" s="195"/>
      <c r="O57" s="191"/>
      <c r="P57" s="234" t="s">
        <v>309</v>
      </c>
      <c r="Q57" s="235"/>
      <c r="R57" s="195">
        <v>2290.23</v>
      </c>
      <c r="S57" s="191"/>
      <c r="T57" s="211" t="s">
        <v>385</v>
      </c>
      <c r="U57" s="212"/>
      <c r="V57" s="195"/>
      <c r="W57" s="191"/>
      <c r="X57" s="211" t="s">
        <v>390</v>
      </c>
      <c r="Y57" s="212"/>
      <c r="Z57" s="195"/>
      <c r="AA57" s="191">
        <v>43282</v>
      </c>
      <c r="AB57" s="211" t="s">
        <v>297</v>
      </c>
      <c r="AC57" s="212"/>
      <c r="AD57" s="195"/>
      <c r="AE57" s="191">
        <v>43189</v>
      </c>
      <c r="AF57" s="211" t="s">
        <v>393</v>
      </c>
      <c r="AG57" s="212"/>
      <c r="AH57" s="195"/>
      <c r="AI57" s="191"/>
      <c r="AJ57" s="222"/>
      <c r="AK57" s="223"/>
      <c r="AL57" s="195"/>
      <c r="AM57" s="191"/>
      <c r="AN57" s="222"/>
      <c r="AO57" s="223"/>
      <c r="AP57" s="195"/>
      <c r="AQ57" s="191"/>
      <c r="AR57" s="211"/>
      <c r="AS57" s="212"/>
      <c r="AT57" s="195"/>
      <c r="AU57" s="191"/>
      <c r="AV57" s="211"/>
      <c r="AW57" s="212"/>
      <c r="AX57" s="195"/>
    </row>
    <row r="58" spans="1:51">
      <c r="C58" s="191"/>
      <c r="D58" s="211" t="s">
        <v>210</v>
      </c>
      <c r="E58" s="212"/>
      <c r="F58" s="193"/>
      <c r="G58" s="191"/>
      <c r="H58" s="211" t="s">
        <v>295</v>
      </c>
      <c r="I58" s="212"/>
      <c r="J58" s="195"/>
      <c r="K58" s="191"/>
      <c r="L58" s="211" t="s">
        <v>304</v>
      </c>
      <c r="M58" s="212"/>
      <c r="N58" s="195"/>
      <c r="O58" s="191"/>
      <c r="P58" s="211"/>
      <c r="Q58" s="212"/>
      <c r="R58" s="195"/>
      <c r="S58" s="191"/>
      <c r="T58" s="211" t="s">
        <v>386</v>
      </c>
      <c r="U58" s="212"/>
      <c r="V58" s="195"/>
      <c r="W58" s="191"/>
      <c r="X58" s="211" t="s">
        <v>391</v>
      </c>
      <c r="Y58" s="212"/>
      <c r="Z58" s="195"/>
      <c r="AA58" s="191"/>
      <c r="AB58" s="211" t="s">
        <v>369</v>
      </c>
      <c r="AC58" s="212"/>
      <c r="AD58" s="195"/>
      <c r="AE58" s="191"/>
      <c r="AF58" s="211" t="s">
        <v>394</v>
      </c>
      <c r="AG58" s="212"/>
      <c r="AH58" s="195"/>
      <c r="AI58" s="191"/>
      <c r="AJ58" s="222"/>
      <c r="AK58" s="223"/>
      <c r="AL58" s="195"/>
      <c r="AM58" s="191"/>
      <c r="AN58" s="222"/>
      <c r="AO58" s="223"/>
      <c r="AP58" s="195"/>
      <c r="AQ58" s="191"/>
      <c r="AR58" s="211"/>
      <c r="AS58" s="212"/>
      <c r="AT58" s="195"/>
      <c r="AU58" s="191"/>
      <c r="AV58" s="211"/>
      <c r="AW58" s="212"/>
      <c r="AX58" s="195"/>
    </row>
    <row r="59" spans="1:51">
      <c r="C59" s="191"/>
      <c r="D59" s="211"/>
      <c r="E59" s="212"/>
      <c r="F59" s="193"/>
      <c r="G59" s="191"/>
      <c r="H59" s="211"/>
      <c r="I59" s="212"/>
      <c r="J59" s="195"/>
      <c r="K59" s="191"/>
      <c r="L59" s="211"/>
      <c r="M59" s="212"/>
      <c r="N59" s="195"/>
      <c r="O59" s="191"/>
      <c r="P59" s="211"/>
      <c r="Q59" s="212"/>
      <c r="R59" s="195"/>
      <c r="S59" s="191">
        <v>43236</v>
      </c>
      <c r="T59" s="232" t="s">
        <v>388</v>
      </c>
      <c r="U59" s="233"/>
      <c r="V59" s="195"/>
      <c r="W59" s="191">
        <v>43263</v>
      </c>
      <c r="X59" s="232" t="s">
        <v>388</v>
      </c>
      <c r="Y59" s="233"/>
      <c r="Z59" s="195"/>
      <c r="AA59" s="191"/>
      <c r="AB59" s="232" t="s">
        <v>464</v>
      </c>
      <c r="AC59" s="233"/>
      <c r="AD59" s="195">
        <f>50*7</f>
        <v>350</v>
      </c>
      <c r="AE59" s="191"/>
      <c r="AF59" s="211" t="s">
        <v>395</v>
      </c>
      <c r="AG59" s="212"/>
      <c r="AH59" s="195"/>
      <c r="AI59" s="191"/>
      <c r="AJ59" s="222"/>
      <c r="AK59" s="223"/>
      <c r="AL59" s="195"/>
      <c r="AM59" s="191"/>
      <c r="AN59" s="222"/>
      <c r="AO59" s="223"/>
      <c r="AP59" s="195"/>
      <c r="AQ59" s="191"/>
      <c r="AR59" s="211"/>
      <c r="AS59" s="212"/>
      <c r="AT59" s="195"/>
      <c r="AU59" s="191">
        <v>43189</v>
      </c>
      <c r="AV59" s="211" t="s">
        <v>450</v>
      </c>
      <c r="AW59" s="212"/>
      <c r="AX59" s="195"/>
    </row>
    <row r="60" spans="1:51">
      <c r="C60" s="191"/>
      <c r="D60" s="211"/>
      <c r="E60" s="212"/>
      <c r="F60" s="193"/>
      <c r="G60" s="191"/>
      <c r="H60" s="211"/>
      <c r="I60" s="212"/>
      <c r="J60" s="195"/>
      <c r="K60" s="191"/>
      <c r="L60" s="211"/>
      <c r="M60" s="212"/>
      <c r="N60" s="195"/>
      <c r="O60" s="191"/>
      <c r="P60" s="211"/>
      <c r="Q60" s="212"/>
      <c r="R60" s="195"/>
      <c r="S60" s="191"/>
      <c r="T60" s="232"/>
      <c r="U60" s="233"/>
      <c r="V60" s="195"/>
      <c r="W60" s="191"/>
      <c r="X60" s="222" t="s">
        <v>318</v>
      </c>
      <c r="Y60" s="223"/>
      <c r="Z60" s="195">
        <f>622.46*2</f>
        <v>1244.92</v>
      </c>
      <c r="AA60" s="191"/>
      <c r="AB60" s="222"/>
      <c r="AC60" s="223"/>
      <c r="AD60" s="195"/>
      <c r="AE60" s="191"/>
      <c r="AF60" s="222"/>
      <c r="AG60" s="223"/>
      <c r="AH60" s="195"/>
      <c r="AI60" s="191"/>
      <c r="AJ60" s="222"/>
      <c r="AK60" s="223"/>
      <c r="AL60" s="195"/>
      <c r="AM60" s="191"/>
      <c r="AN60" s="222"/>
      <c r="AO60" s="223"/>
      <c r="AP60" s="195"/>
      <c r="AQ60" s="191"/>
      <c r="AR60" s="211"/>
      <c r="AS60" s="212"/>
      <c r="AT60" s="195"/>
      <c r="AU60" s="191"/>
      <c r="AV60" s="211" t="s">
        <v>303</v>
      </c>
      <c r="AW60" s="212"/>
      <c r="AX60" s="195"/>
    </row>
    <row r="61" spans="1:51">
      <c r="C61" s="191"/>
      <c r="D61" s="211"/>
      <c r="E61" s="212"/>
      <c r="F61" s="193"/>
      <c r="G61" s="191"/>
      <c r="H61" s="211"/>
      <c r="I61" s="212"/>
      <c r="J61" s="195"/>
      <c r="K61" s="191"/>
      <c r="L61" s="211"/>
      <c r="M61" s="212"/>
      <c r="N61" s="195"/>
      <c r="O61" s="191"/>
      <c r="P61" s="211"/>
      <c r="Q61" s="212"/>
      <c r="R61" s="195"/>
      <c r="S61" s="191"/>
      <c r="T61" s="232"/>
      <c r="U61" s="233"/>
      <c r="V61" s="195"/>
      <c r="W61" s="191"/>
      <c r="X61" s="222"/>
      <c r="Y61" s="223"/>
      <c r="Z61" s="195"/>
      <c r="AA61" s="191"/>
      <c r="AB61" s="222"/>
      <c r="AC61" s="223"/>
      <c r="AD61" s="195"/>
      <c r="AE61" s="191"/>
      <c r="AF61" s="222"/>
      <c r="AG61" s="223"/>
      <c r="AH61" s="195"/>
      <c r="AI61" s="191"/>
      <c r="AJ61" s="222"/>
      <c r="AK61" s="223"/>
      <c r="AL61" s="195"/>
      <c r="AM61" s="191"/>
      <c r="AN61" s="222"/>
      <c r="AO61" s="223"/>
      <c r="AP61" s="195"/>
      <c r="AQ61" s="191"/>
      <c r="AR61" s="211"/>
      <c r="AS61" s="212"/>
      <c r="AT61" s="195"/>
      <c r="AU61" s="191"/>
      <c r="AV61" s="211" t="s">
        <v>451</v>
      </c>
      <c r="AW61" s="212"/>
      <c r="AX61" s="195"/>
    </row>
    <row r="62" spans="1:51">
      <c r="C62" s="191"/>
      <c r="D62" s="211"/>
      <c r="E62" s="212"/>
      <c r="F62" s="193"/>
      <c r="G62" s="191"/>
      <c r="H62" s="211"/>
      <c r="I62" s="212"/>
      <c r="J62" s="195"/>
      <c r="K62" s="191"/>
      <c r="L62" s="211"/>
      <c r="M62" s="212"/>
      <c r="N62" s="195"/>
      <c r="O62" s="191"/>
      <c r="P62" s="211"/>
      <c r="Q62" s="212"/>
      <c r="R62" s="195"/>
      <c r="S62" s="191"/>
      <c r="T62" s="232"/>
      <c r="U62" s="233"/>
      <c r="V62" s="195"/>
      <c r="W62" s="191"/>
      <c r="X62" s="222"/>
      <c r="Y62" s="223"/>
      <c r="Z62" s="195"/>
      <c r="AA62" s="191"/>
      <c r="AB62" s="222"/>
      <c r="AC62" s="223"/>
      <c r="AD62" s="195"/>
      <c r="AE62" s="191"/>
      <c r="AF62" s="222"/>
      <c r="AG62" s="223"/>
      <c r="AH62" s="195"/>
      <c r="AI62" s="191"/>
      <c r="AJ62" s="222"/>
      <c r="AK62" s="223"/>
      <c r="AL62" s="195"/>
      <c r="AM62" s="191"/>
      <c r="AN62" s="222"/>
      <c r="AO62" s="223"/>
      <c r="AP62" s="195"/>
      <c r="AQ62" s="191"/>
      <c r="AR62" s="211"/>
      <c r="AS62" s="212"/>
      <c r="AT62" s="195"/>
      <c r="AU62" s="191"/>
      <c r="AV62" s="211"/>
      <c r="AW62" s="212"/>
      <c r="AX62" s="195"/>
    </row>
    <row r="63" spans="1:51">
      <c r="C63" s="191"/>
      <c r="D63" s="211"/>
      <c r="E63" s="212"/>
      <c r="F63" s="193"/>
      <c r="G63" s="191"/>
      <c r="H63" s="211"/>
      <c r="I63" s="212"/>
      <c r="J63" s="195"/>
      <c r="K63" s="191"/>
      <c r="L63" s="211"/>
      <c r="M63" s="212"/>
      <c r="N63" s="195"/>
      <c r="O63" s="191"/>
      <c r="P63" s="211"/>
      <c r="Q63" s="212"/>
      <c r="R63" s="195"/>
      <c r="S63" s="191"/>
      <c r="T63" s="232"/>
      <c r="U63" s="233"/>
      <c r="V63" s="195"/>
      <c r="W63" s="191"/>
      <c r="X63" s="222"/>
      <c r="Y63" s="223"/>
      <c r="Z63" s="195"/>
      <c r="AA63" s="191"/>
      <c r="AB63" s="222"/>
      <c r="AC63" s="223"/>
      <c r="AD63" s="195"/>
      <c r="AE63" s="191"/>
      <c r="AF63" s="222"/>
      <c r="AG63" s="223"/>
      <c r="AH63" s="195"/>
      <c r="AI63" s="191"/>
      <c r="AJ63" s="222"/>
      <c r="AK63" s="223"/>
      <c r="AL63" s="195"/>
      <c r="AM63" s="191"/>
      <c r="AN63" s="222"/>
      <c r="AO63" s="223"/>
      <c r="AP63" s="195"/>
      <c r="AQ63" s="191"/>
      <c r="AR63" s="211"/>
      <c r="AS63" s="212"/>
      <c r="AT63" s="195"/>
      <c r="AU63" s="191"/>
      <c r="AV63" s="211"/>
      <c r="AW63" s="212"/>
      <c r="AX63" s="195"/>
    </row>
    <row r="64" spans="1:51">
      <c r="C64" s="191"/>
      <c r="D64" s="211"/>
      <c r="E64" s="212"/>
      <c r="F64" s="193"/>
      <c r="G64" s="191"/>
      <c r="H64" s="211"/>
      <c r="I64" s="212"/>
      <c r="J64" s="195"/>
      <c r="K64" s="191"/>
      <c r="L64" s="211"/>
      <c r="M64" s="212"/>
      <c r="N64" s="195"/>
      <c r="O64" s="191"/>
      <c r="P64" s="211"/>
      <c r="Q64" s="212"/>
      <c r="R64" s="195"/>
      <c r="S64" s="191"/>
      <c r="T64" s="232"/>
      <c r="U64" s="233"/>
      <c r="V64" s="195"/>
      <c r="W64" s="191"/>
      <c r="X64" s="222"/>
      <c r="Y64" s="223"/>
      <c r="Z64" s="195"/>
      <c r="AA64" s="191"/>
      <c r="AB64" s="222"/>
      <c r="AC64" s="223"/>
      <c r="AD64" s="195"/>
      <c r="AE64" s="191"/>
      <c r="AF64" s="222"/>
      <c r="AG64" s="223"/>
      <c r="AH64" s="195"/>
      <c r="AI64" s="191"/>
      <c r="AJ64" s="222"/>
      <c r="AK64" s="223"/>
      <c r="AL64" s="195"/>
      <c r="AM64" s="191"/>
      <c r="AN64" s="222"/>
      <c r="AO64" s="223"/>
      <c r="AP64" s="195"/>
      <c r="AQ64" s="191"/>
      <c r="AR64" s="211"/>
      <c r="AS64" s="212"/>
      <c r="AT64" s="195"/>
      <c r="AU64" s="191"/>
      <c r="AV64" s="211"/>
      <c r="AW64" s="212"/>
      <c r="AX64" s="195"/>
    </row>
    <row r="65" spans="3:50">
      <c r="C65" s="191"/>
      <c r="D65" s="211"/>
      <c r="E65" s="212"/>
      <c r="F65" s="193"/>
      <c r="G65" s="191"/>
      <c r="H65" s="211"/>
      <c r="I65" s="212"/>
      <c r="J65" s="195"/>
      <c r="K65" s="191"/>
      <c r="L65" s="211"/>
      <c r="M65" s="212"/>
      <c r="N65" s="195"/>
      <c r="O65" s="191"/>
      <c r="P65" s="211"/>
      <c r="Q65" s="212"/>
      <c r="R65" s="195"/>
      <c r="S65" s="191"/>
      <c r="T65" s="232"/>
      <c r="U65" s="233"/>
      <c r="V65" s="195"/>
      <c r="W65" s="191"/>
      <c r="X65" s="222"/>
      <c r="Y65" s="223"/>
      <c r="Z65" s="195"/>
      <c r="AA65" s="191"/>
      <c r="AB65" s="222"/>
      <c r="AC65" s="223"/>
      <c r="AD65" s="195"/>
      <c r="AE65" s="191"/>
      <c r="AF65" s="222"/>
      <c r="AG65" s="223"/>
      <c r="AH65" s="195"/>
      <c r="AI65" s="191"/>
      <c r="AJ65" s="222"/>
      <c r="AK65" s="223"/>
      <c r="AL65" s="195"/>
      <c r="AM65" s="191"/>
      <c r="AN65" s="222"/>
      <c r="AO65" s="223"/>
      <c r="AP65" s="195"/>
      <c r="AQ65" s="191"/>
      <c r="AR65" s="211"/>
      <c r="AS65" s="212"/>
      <c r="AT65" s="195"/>
      <c r="AU65" s="191"/>
      <c r="AV65" s="211"/>
      <c r="AW65" s="212"/>
      <c r="AX65" s="195"/>
    </row>
    <row r="66" spans="3:50">
      <c r="C66" s="191"/>
      <c r="D66" s="211"/>
      <c r="E66" s="212"/>
      <c r="F66" s="193"/>
      <c r="G66" s="191"/>
      <c r="H66" s="211"/>
      <c r="I66" s="212"/>
      <c r="J66" s="195"/>
      <c r="K66" s="191"/>
      <c r="L66" s="211"/>
      <c r="M66" s="212"/>
      <c r="N66" s="195"/>
      <c r="O66" s="191"/>
      <c r="P66" s="211"/>
      <c r="Q66" s="212"/>
      <c r="R66" s="195"/>
      <c r="S66" s="191"/>
      <c r="T66" s="222"/>
      <c r="U66" s="223"/>
      <c r="V66" s="195"/>
      <c r="W66" s="191"/>
      <c r="X66" s="222"/>
      <c r="Y66" s="223"/>
      <c r="Z66" s="195"/>
      <c r="AA66" s="191"/>
      <c r="AB66" s="222"/>
      <c r="AC66" s="223"/>
      <c r="AD66" s="195"/>
      <c r="AE66" s="191"/>
      <c r="AF66" s="222"/>
      <c r="AG66" s="223"/>
      <c r="AH66" s="195"/>
      <c r="AI66" s="191"/>
      <c r="AJ66" s="222"/>
      <c r="AK66" s="223"/>
      <c r="AL66" s="195"/>
      <c r="AM66" s="191"/>
      <c r="AN66" s="222"/>
      <c r="AO66" s="223"/>
      <c r="AP66" s="195"/>
      <c r="AQ66" s="191"/>
      <c r="AR66" s="211"/>
      <c r="AS66" s="212"/>
      <c r="AT66" s="195"/>
      <c r="AU66" s="191"/>
      <c r="AV66" s="211"/>
      <c r="AW66" s="212"/>
      <c r="AX66" s="195"/>
    </row>
    <row r="67" spans="3:50">
      <c r="C67" s="191"/>
      <c r="D67" s="211"/>
      <c r="E67" s="212"/>
      <c r="F67" s="193"/>
      <c r="G67" s="191"/>
      <c r="H67" s="211"/>
      <c r="I67" s="212"/>
      <c r="J67" s="195"/>
      <c r="K67" s="191"/>
      <c r="L67" s="211"/>
      <c r="M67" s="212"/>
      <c r="N67" s="195"/>
      <c r="O67" s="191"/>
      <c r="P67" s="211"/>
      <c r="Q67" s="212"/>
      <c r="R67" s="195"/>
      <c r="S67" s="191"/>
      <c r="T67" s="222"/>
      <c r="U67" s="223"/>
      <c r="V67" s="195"/>
      <c r="W67" s="191"/>
      <c r="X67" s="222"/>
      <c r="Y67" s="223"/>
      <c r="Z67" s="195"/>
      <c r="AA67" s="191"/>
      <c r="AB67" s="222"/>
      <c r="AC67" s="223"/>
      <c r="AD67" s="195"/>
      <c r="AE67" s="191"/>
      <c r="AF67" s="222"/>
      <c r="AG67" s="223"/>
      <c r="AH67" s="195"/>
      <c r="AI67" s="191"/>
      <c r="AJ67" s="222"/>
      <c r="AK67" s="223"/>
      <c r="AL67" s="195"/>
      <c r="AM67" s="191"/>
      <c r="AN67" s="222"/>
      <c r="AO67" s="223"/>
      <c r="AP67" s="195"/>
      <c r="AQ67" s="191"/>
      <c r="AR67" s="211"/>
      <c r="AS67" s="212"/>
      <c r="AT67" s="195"/>
      <c r="AU67" s="191"/>
      <c r="AV67" s="211"/>
      <c r="AW67" s="212"/>
      <c r="AX67" s="195"/>
    </row>
    <row r="68" spans="3:50">
      <c r="C68" s="191"/>
      <c r="D68" s="211"/>
      <c r="E68" s="212"/>
      <c r="F68" s="193"/>
      <c r="G68" s="191"/>
      <c r="H68" s="211"/>
      <c r="I68" s="212"/>
      <c r="J68" s="195"/>
      <c r="K68" s="191"/>
      <c r="L68" s="211"/>
      <c r="M68" s="212"/>
      <c r="N68" s="195"/>
      <c r="O68" s="191"/>
      <c r="P68" s="211"/>
      <c r="Q68" s="212"/>
      <c r="R68" s="195"/>
      <c r="S68" s="191"/>
      <c r="T68" s="222"/>
      <c r="U68" s="223"/>
      <c r="V68" s="195"/>
      <c r="W68" s="191"/>
      <c r="X68" s="222"/>
      <c r="Y68" s="223"/>
      <c r="Z68" s="195"/>
      <c r="AA68" s="191"/>
      <c r="AB68" s="222"/>
      <c r="AC68" s="223"/>
      <c r="AD68" s="195"/>
      <c r="AE68" s="191"/>
      <c r="AF68" s="222"/>
      <c r="AG68" s="223"/>
      <c r="AH68" s="195"/>
      <c r="AI68" s="191"/>
      <c r="AJ68" s="222"/>
      <c r="AK68" s="223"/>
      <c r="AL68" s="195"/>
      <c r="AM68" s="191"/>
      <c r="AN68" s="222"/>
      <c r="AO68" s="223"/>
      <c r="AP68" s="195"/>
      <c r="AQ68" s="191"/>
      <c r="AR68" s="211"/>
      <c r="AS68" s="212"/>
      <c r="AT68" s="195"/>
      <c r="AU68" s="191"/>
      <c r="AV68" s="211"/>
      <c r="AW68" s="212"/>
      <c r="AX68" s="195"/>
    </row>
    <row r="69" spans="3:50">
      <c r="C69" s="191"/>
      <c r="D69" s="211"/>
      <c r="E69" s="212"/>
      <c r="F69" s="193"/>
      <c r="G69" s="191"/>
      <c r="H69" s="211"/>
      <c r="I69" s="212"/>
      <c r="J69" s="195"/>
      <c r="K69" s="191"/>
      <c r="L69" s="211"/>
      <c r="M69" s="212"/>
      <c r="N69" s="195"/>
      <c r="O69" s="191"/>
      <c r="P69" s="211"/>
      <c r="Q69" s="212"/>
      <c r="R69" s="195"/>
      <c r="S69" s="191"/>
      <c r="T69" s="222"/>
      <c r="U69" s="223"/>
      <c r="V69" s="195"/>
      <c r="W69" s="191"/>
      <c r="X69" s="222"/>
      <c r="Y69" s="223"/>
      <c r="Z69" s="195"/>
      <c r="AA69" s="191"/>
      <c r="AB69" s="222"/>
      <c r="AC69" s="223"/>
      <c r="AD69" s="195"/>
      <c r="AE69" s="191"/>
      <c r="AF69" s="222"/>
      <c r="AG69" s="223"/>
      <c r="AH69" s="195"/>
      <c r="AI69" s="191"/>
      <c r="AJ69" s="222"/>
      <c r="AK69" s="223"/>
      <c r="AL69" s="195"/>
      <c r="AM69" s="191"/>
      <c r="AN69" s="222"/>
      <c r="AO69" s="223"/>
      <c r="AP69" s="195"/>
      <c r="AQ69" s="191"/>
      <c r="AR69" s="211"/>
      <c r="AS69" s="212"/>
      <c r="AT69" s="195"/>
      <c r="AU69" s="191"/>
      <c r="AV69" s="211"/>
      <c r="AW69" s="212"/>
      <c r="AX69" s="195"/>
    </row>
    <row r="70" spans="3:50">
      <c r="C70" s="191"/>
      <c r="D70" s="211"/>
      <c r="E70" s="212"/>
      <c r="F70" s="193"/>
      <c r="G70" s="191"/>
      <c r="H70" s="211"/>
      <c r="I70" s="212"/>
      <c r="J70" s="195"/>
      <c r="K70" s="191"/>
      <c r="L70" s="211"/>
      <c r="M70" s="212"/>
      <c r="N70" s="195"/>
      <c r="O70" s="191"/>
      <c r="P70" s="211"/>
      <c r="Q70" s="212"/>
      <c r="R70" s="195"/>
      <c r="S70" s="191"/>
      <c r="T70" s="222"/>
      <c r="U70" s="223"/>
      <c r="V70" s="195"/>
      <c r="W70" s="191"/>
      <c r="X70" s="211" t="s">
        <v>441</v>
      </c>
      <c r="Y70" s="212"/>
      <c r="Z70" s="195">
        <f>3289.11+270.87</f>
        <v>3559.98</v>
      </c>
      <c r="AA70" s="191"/>
      <c r="AB70" s="222"/>
      <c r="AC70" s="223"/>
      <c r="AD70" s="195"/>
      <c r="AE70" s="191"/>
      <c r="AF70" s="222"/>
      <c r="AG70" s="223"/>
      <c r="AH70" s="195"/>
      <c r="AI70" s="191"/>
      <c r="AJ70" s="222"/>
      <c r="AK70" s="223"/>
      <c r="AL70" s="195"/>
      <c r="AM70" s="191"/>
      <c r="AN70" s="222"/>
      <c r="AO70" s="223"/>
      <c r="AP70" s="195"/>
      <c r="AQ70" s="191"/>
      <c r="AR70" s="211"/>
      <c r="AS70" s="212"/>
      <c r="AT70" s="195"/>
      <c r="AU70" s="191"/>
      <c r="AV70" s="211"/>
      <c r="AW70" s="212"/>
      <c r="AX70" s="195"/>
    </row>
    <row r="71" spans="3:50" ht="15.75" thickBot="1">
      <c r="C71" s="192"/>
      <c r="D71" s="213"/>
      <c r="E71" s="214"/>
      <c r="F71" s="194"/>
      <c r="G71" s="192"/>
      <c r="H71" s="213"/>
      <c r="I71" s="214"/>
      <c r="J71" s="196"/>
      <c r="K71" s="192"/>
      <c r="L71" s="213"/>
      <c r="M71" s="214"/>
      <c r="N71" s="196"/>
      <c r="O71" s="192"/>
      <c r="P71" s="213"/>
      <c r="Q71" s="214"/>
      <c r="R71" s="196"/>
      <c r="S71" s="192"/>
      <c r="T71" s="224"/>
      <c r="U71" s="225"/>
      <c r="V71" s="196"/>
      <c r="W71" s="192"/>
      <c r="X71" s="228" t="s">
        <v>442</v>
      </c>
      <c r="Y71" s="229"/>
      <c r="Z71" s="196">
        <f>Z70-1484.91-429.89</f>
        <v>1645.1799999999998</v>
      </c>
      <c r="AA71" s="192"/>
      <c r="AB71" s="224"/>
      <c r="AC71" s="225"/>
      <c r="AD71" s="196"/>
      <c r="AE71" s="192"/>
      <c r="AF71" s="224"/>
      <c r="AG71" s="225"/>
      <c r="AH71" s="196"/>
      <c r="AI71" s="192"/>
      <c r="AJ71" s="224"/>
      <c r="AK71" s="225"/>
      <c r="AL71" s="196"/>
      <c r="AM71" s="192"/>
      <c r="AN71" s="224"/>
      <c r="AO71" s="225"/>
      <c r="AP71" s="196"/>
      <c r="AQ71" s="192"/>
      <c r="AR71" s="213"/>
      <c r="AS71" s="214"/>
      <c r="AT71" s="196"/>
      <c r="AU71" s="192"/>
      <c r="AV71" s="213"/>
      <c r="AW71" s="214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/>
      <c r="L5" s="277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/>
      <c r="L7" s="267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/>
      <c r="L9" s="267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66"/>
      <c r="L13" s="267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8480.98</v>
      </c>
      <c r="L19" s="283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66"/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0" sqref="E1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  <c r="E10" t="s">
        <v>201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K50" sqref="K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421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422</v>
      </c>
      <c r="B48" t="s">
        <v>423</v>
      </c>
    </row>
    <row r="49" spans="1:2">
      <c r="A49" t="s">
        <v>59</v>
      </c>
      <c r="B49" t="s">
        <v>423</v>
      </c>
    </row>
    <row r="50" spans="1:2">
      <c r="A50" t="s">
        <v>425</v>
      </c>
      <c r="B50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1462.46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423.18</v>
      </c>
      <c r="L6" s="267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7102.9</v>
      </c>
      <c r="L7" s="267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1250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66">
        <v>100.34</v>
      </c>
      <c r="L9" s="267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66">
        <f>5007.8</f>
        <v>5007.8</v>
      </c>
      <c r="L10" s="267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66">
        <v>1566.09</v>
      </c>
      <c r="L11" s="267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66">
        <v>1800</v>
      </c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66">
        <f>75+20+95</f>
        <v>190</v>
      </c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SUM(K5:K18)-K11</f>
        <v>17336.68</v>
      </c>
      <c r="L19" s="28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76">
        <v>1.01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66">
        <v>0.04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66">
        <v>2831.41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66">
        <v>72.66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66">
        <v>93.93</v>
      </c>
      <c r="L29" s="267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66">
        <v>700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66">
        <v>50</v>
      </c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66">
        <v>229.4</v>
      </c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66">
        <v>0.05</v>
      </c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66">
        <v>1566.27</v>
      </c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66">
        <v>449</v>
      </c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66">
        <v>314.12</v>
      </c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8" ht="15" customHeight="1" thickBot="1">
      <c r="B303" s="271"/>
      <c r="C303" s="272"/>
      <c r="D303" s="272"/>
      <c r="E303" s="272"/>
      <c r="F303" s="272"/>
      <c r="G303" s="273"/>
    </row>
    <row r="304" spans="2:8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69"/>
      <c r="D422" s="269"/>
      <c r="E422" s="269"/>
      <c r="F422" s="269"/>
      <c r="G422" s="270"/>
    </row>
    <row r="423" spans="2:7" ht="15" customHeight="1" thickBot="1">
      <c r="B423" s="271"/>
      <c r="C423" s="272"/>
      <c r="D423" s="272"/>
      <c r="E423" s="272"/>
      <c r="F423" s="272"/>
      <c r="G423" s="273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69"/>
      <c r="D442" s="269"/>
      <c r="E442" s="269"/>
      <c r="F442" s="269"/>
      <c r="G442" s="270"/>
    </row>
    <row r="443" spans="2:7" ht="15" customHeight="1" thickBot="1">
      <c r="B443" s="271"/>
      <c r="C443" s="272"/>
      <c r="D443" s="272"/>
      <c r="E443" s="272"/>
      <c r="F443" s="272"/>
      <c r="G443" s="273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69"/>
      <c r="D462" s="269"/>
      <c r="E462" s="269"/>
      <c r="F462" s="269"/>
      <c r="G462" s="270"/>
    </row>
    <row r="463" spans="2:7" ht="15" customHeight="1" thickBot="1">
      <c r="B463" s="271"/>
      <c r="C463" s="272"/>
      <c r="D463" s="272"/>
      <c r="E463" s="272"/>
      <c r="F463" s="272"/>
      <c r="G463" s="273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69"/>
      <c r="D482" s="269"/>
      <c r="E482" s="269"/>
      <c r="F482" s="269"/>
      <c r="G482" s="270"/>
    </row>
    <row r="483" spans="2:7" ht="15" customHeight="1" thickBot="1">
      <c r="B483" s="271"/>
      <c r="C483" s="272"/>
      <c r="D483" s="272"/>
      <c r="E483" s="272"/>
      <c r="F483" s="272"/>
      <c r="G483" s="273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69"/>
      <c r="D502" s="269"/>
      <c r="E502" s="269"/>
      <c r="F502" s="269"/>
      <c r="G502" s="270"/>
    </row>
    <row r="503" spans="2:7" ht="15" customHeight="1" thickBot="1">
      <c r="B503" s="271"/>
      <c r="C503" s="272"/>
      <c r="D503" s="272"/>
      <c r="E503" s="272"/>
      <c r="F503" s="272"/>
      <c r="G503" s="273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91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1295.79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379.61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66">
        <v>7271.78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66">
        <v>9090.56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69.22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290+20</f>
        <v>310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66"/>
      <c r="L12" s="267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20217</v>
      </c>
      <c r="L19" s="28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66">
        <v>176.46</v>
      </c>
      <c r="L25" s="26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66">
        <v>47.52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66">
        <v>93.93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66">
        <v>447.43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66">
        <v>1638.24</v>
      </c>
      <c r="L29" s="267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8" ht="15" customHeight="1" thickBot="1">
      <c r="B283" s="271"/>
      <c r="C283" s="272"/>
      <c r="D283" s="272"/>
      <c r="E283" s="272"/>
      <c r="F283" s="272"/>
      <c r="G283" s="273"/>
    </row>
    <row r="284" spans="2:8">
      <c r="B284" s="279" t="s">
        <v>10</v>
      </c>
      <c r="C284" s="280"/>
      <c r="D284" s="281" t="s">
        <v>11</v>
      </c>
      <c r="E284" s="281"/>
      <c r="F284" s="281"/>
      <c r="G284" s="280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442" workbookViewId="0">
      <selection activeCell="D53" sqref="D5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1852.76</v>
      </c>
      <c r="L5" s="277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66">
        <v>335.99</v>
      </c>
      <c r="L6" s="267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66">
        <v>7882.01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3390.56</v>
      </c>
      <c r="L8" s="267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30+40+170</f>
        <v>240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21214.57</v>
      </c>
      <c r="L19" s="28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259.36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66">
        <v>176.46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1117.3699999999999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292.37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66">
        <f>6685.64-16.84-6.88</f>
        <v>6661.92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90+30+15</f>
        <v>135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20719.909999999996</v>
      </c>
      <c r="L19" s="28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76">
        <v>249.22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66">
        <v>197.22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66">
        <v>2290.23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66">
        <v>80.099999999999994</v>
      </c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66">
        <v>0.03</v>
      </c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66">
        <v>325.64</v>
      </c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32" t="s">
        <v>72</v>
      </c>
      <c r="J4" s="33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76">
        <v>1091.18</v>
      </c>
      <c r="L5" s="277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66">
        <v>248.78</v>
      </c>
      <c r="L6" s="267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66">
        <v>8736.65</v>
      </c>
      <c r="L7" s="267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66">
        <v>5000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66">
        <v>621.13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66">
        <f>40+276</f>
        <v>316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22905.86</v>
      </c>
      <c r="L19" s="28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76">
        <v>38.64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66">
        <v>249.22</v>
      </c>
      <c r="L26" s="267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66">
        <v>155.69999999999999</v>
      </c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14" workbookViewId="0">
      <selection activeCell="F428" sqref="F4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2311.09</v>
      </c>
      <c r="L5" s="277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66">
        <v>205.16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6999</v>
      </c>
      <c r="L7" s="267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66">
        <f>465+90</f>
        <v>555</v>
      </c>
      <c r="L11" s="267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23622.14</v>
      </c>
      <c r="L19" s="28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76">
        <v>197.22</v>
      </c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436</v>
      </c>
      <c r="K26" s="266">
        <v>200</v>
      </c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407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416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408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458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412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413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415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427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433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435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440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448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453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454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406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426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431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432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438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445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444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455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419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439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447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410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428</v>
      </c>
    </row>
    <row r="207" spans="2:7">
      <c r="B207" s="68"/>
      <c r="C207" s="34"/>
      <c r="D207" s="70">
        <v>9</v>
      </c>
      <c r="E207" s="71"/>
      <c r="F207" s="71"/>
      <c r="G207" s="34" t="s">
        <v>452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434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437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443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446</v>
      </c>
    </row>
    <row r="290" spans="2:7">
      <c r="B290" s="68"/>
      <c r="C290" s="34"/>
      <c r="D290" s="70">
        <v>6.95</v>
      </c>
      <c r="E290" s="71"/>
      <c r="F290" s="71"/>
      <c r="G290" s="34" t="s">
        <v>459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411</v>
      </c>
    </row>
    <row r="307" spans="2:7">
      <c r="B307" s="121"/>
      <c r="C307" s="79"/>
      <c r="D307" s="70">
        <v>94</v>
      </c>
      <c r="E307" s="71"/>
      <c r="F307" s="71"/>
      <c r="G307" s="34" t="s">
        <v>417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418</v>
      </c>
    </row>
    <row r="327" spans="2:7">
      <c r="B327" s="68"/>
      <c r="C327" s="34"/>
      <c r="D327" s="70">
        <v>9</v>
      </c>
      <c r="E327" s="71"/>
      <c r="F327" s="71"/>
      <c r="G327" s="34" t="s">
        <v>435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405</v>
      </c>
    </row>
    <row r="367" spans="2:7">
      <c r="B367" s="68"/>
      <c r="C367" s="34"/>
      <c r="D367" s="70">
        <v>6.5</v>
      </c>
      <c r="E367" s="71"/>
      <c r="F367" s="71"/>
      <c r="G367" s="91" t="s">
        <v>429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448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449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471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B354" workbookViewId="0">
      <selection activeCell="F367" sqref="F367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>
        <v>2946.37</v>
      </c>
      <c r="L5" s="277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>
        <v>7451.76</v>
      </c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6">
        <v>800</v>
      </c>
      <c r="L11" s="267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 t="s">
        <v>469</v>
      </c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24911.559999999998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</f>
        <v>56.85</v>
      </c>
      <c r="E46" s="71"/>
      <c r="F46" s="71"/>
      <c r="G46" s="90" t="s">
        <v>462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</f>
        <v>86.61</v>
      </c>
      <c r="E47" s="71"/>
      <c r="F47" s="71"/>
      <c r="G47" s="34" t="s">
        <v>463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143.46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258.47000000000003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466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463</v>
      </c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470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39.9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>
        <f>4.45+3.4+3.4+4</f>
        <v>15.25</v>
      </c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15.25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-4618.3+'2018'!AA17</f>
        <v>-3737.9500000000003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-3737.9500000000003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75" workbookViewId="0">
      <selection activeCell="B182" sqref="B182:G18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8" t="str">
        <f>'2018'!A20</f>
        <v>Cártama</v>
      </c>
      <c r="C2" s="269"/>
      <c r="D2" s="269"/>
      <c r="E2" s="269"/>
      <c r="F2" s="269"/>
      <c r="G2" s="270"/>
      <c r="H2" s="1"/>
      <c r="I2" s="268" t="s">
        <v>4</v>
      </c>
      <c r="J2" s="269"/>
      <c r="K2" s="269"/>
      <c r="L2" s="270"/>
      <c r="M2" s="1"/>
      <c r="N2" s="1"/>
      <c r="R2" s="3"/>
    </row>
    <row r="3" spans="1:22" ht="16.5" thickBot="1">
      <c r="A3" s="1"/>
      <c r="B3" s="271"/>
      <c r="C3" s="272"/>
      <c r="D3" s="272"/>
      <c r="E3" s="272"/>
      <c r="F3" s="272"/>
      <c r="G3" s="273"/>
      <c r="H3" s="1"/>
      <c r="I3" s="271"/>
      <c r="J3" s="272"/>
      <c r="K3" s="272"/>
      <c r="L3" s="273"/>
      <c r="M3" s="1"/>
      <c r="N3" s="1"/>
      <c r="R3" s="3"/>
    </row>
    <row r="4" spans="1:22" ht="15.75">
      <c r="A4" s="1"/>
      <c r="B4" s="279" t="s">
        <v>10</v>
      </c>
      <c r="C4" s="280"/>
      <c r="D4" s="281" t="s">
        <v>11</v>
      </c>
      <c r="E4" s="281"/>
      <c r="F4" s="281"/>
      <c r="G4" s="280"/>
      <c r="H4" s="1"/>
      <c r="I4" s="129" t="s">
        <v>72</v>
      </c>
      <c r="J4" s="204" t="s">
        <v>73</v>
      </c>
      <c r="K4" s="274" t="s">
        <v>74</v>
      </c>
      <c r="L4" s="275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76"/>
      <c r="L5" s="277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66">
        <v>161.54</v>
      </c>
      <c r="L6" s="267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66"/>
      <c r="L7" s="267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66">
        <v>6000</v>
      </c>
      <c r="L8" s="267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66">
        <v>659.77</v>
      </c>
      <c r="L9" s="267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66">
        <v>1800.04</v>
      </c>
      <c r="L10" s="267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66"/>
      <c r="L11" s="267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66">
        <v>5092.08</v>
      </c>
      <c r="L12" s="267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66"/>
      <c r="L13" s="267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66"/>
      <c r="L14" s="267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66"/>
      <c r="L15" s="267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66"/>
      <c r="L16" s="267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66"/>
      <c r="L17" s="267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82">
        <f>SUM(K5:K18)</f>
        <v>13713.429999999998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8" t="str">
        <f>'2018'!A21</f>
        <v>Waterloo</v>
      </c>
      <c r="C22" s="269"/>
      <c r="D22" s="269"/>
      <c r="E22" s="269"/>
      <c r="F22" s="269"/>
      <c r="G22" s="270"/>
      <c r="H22" s="1"/>
      <c r="I22" s="268" t="s">
        <v>6</v>
      </c>
      <c r="J22" s="269"/>
      <c r="K22" s="269"/>
      <c r="L22" s="270"/>
      <c r="M22" s="1"/>
      <c r="R22" s="3"/>
    </row>
    <row r="23" spans="1:18" ht="16.149999999999999" customHeight="1" thickBot="1">
      <c r="A23" s="1"/>
      <c r="B23" s="271"/>
      <c r="C23" s="272"/>
      <c r="D23" s="272"/>
      <c r="E23" s="272"/>
      <c r="F23" s="272"/>
      <c r="G23" s="273"/>
      <c r="H23" s="1"/>
      <c r="I23" s="271"/>
      <c r="J23" s="272"/>
      <c r="K23" s="272"/>
      <c r="L23" s="273"/>
      <c r="M23" s="1"/>
      <c r="R23" s="3"/>
    </row>
    <row r="24" spans="1:18" ht="15.75">
      <c r="A24" s="1"/>
      <c r="B24" s="279" t="s">
        <v>10</v>
      </c>
      <c r="C24" s="280"/>
      <c r="D24" s="281" t="s">
        <v>11</v>
      </c>
      <c r="E24" s="281"/>
      <c r="F24" s="281"/>
      <c r="G24" s="280"/>
      <c r="H24" s="1"/>
      <c r="I24" s="129" t="s">
        <v>33</v>
      </c>
      <c r="J24" s="33" t="s">
        <v>138</v>
      </c>
      <c r="K24" s="274" t="s">
        <v>139</v>
      </c>
      <c r="L24" s="275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76"/>
      <c r="L25" s="277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66"/>
      <c r="L26" s="267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66"/>
      <c r="L27" s="267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66"/>
      <c r="L28" s="267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66"/>
      <c r="L29" s="267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66"/>
      <c r="L30" s="267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66"/>
      <c r="L31" s="267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66"/>
      <c r="L32" s="267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66"/>
      <c r="L33" s="267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66"/>
      <c r="L34" s="267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66"/>
      <c r="L35" s="267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66"/>
      <c r="L36" s="267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66"/>
      <c r="L37" s="267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8" t="str">
        <f>'2018'!A22</f>
        <v>Comida+Limpieza</v>
      </c>
      <c r="C42" s="269"/>
      <c r="D42" s="269"/>
      <c r="E42" s="269"/>
      <c r="F42" s="269"/>
      <c r="G42" s="270"/>
      <c r="H42" s="1"/>
      <c r="M42" s="1"/>
      <c r="R42" s="3"/>
    </row>
    <row r="43" spans="1:18" ht="16.149999999999999" customHeight="1" thickBot="1">
      <c r="A43" s="1"/>
      <c r="B43" s="271"/>
      <c r="C43" s="272"/>
      <c r="D43" s="272"/>
      <c r="E43" s="272"/>
      <c r="F43" s="272"/>
      <c r="G43" s="273"/>
      <c r="H43" s="1"/>
      <c r="M43" s="1"/>
      <c r="R43" s="3"/>
    </row>
    <row r="44" spans="1:18" ht="15.75">
      <c r="A44" s="1"/>
      <c r="B44" s="279" t="s">
        <v>10</v>
      </c>
      <c r="C44" s="280"/>
      <c r="D44" s="281" t="s">
        <v>11</v>
      </c>
      <c r="E44" s="281"/>
      <c r="F44" s="281"/>
      <c r="G44" s="28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8" t="str">
        <f>'2018'!A23</f>
        <v>Ocio</v>
      </c>
      <c r="C62" s="269"/>
      <c r="D62" s="269"/>
      <c r="E62" s="269"/>
      <c r="F62" s="269"/>
      <c r="G62" s="270"/>
      <c r="H62" s="1"/>
      <c r="M62" s="1"/>
      <c r="R62" s="3"/>
    </row>
    <row r="63" spans="1:18" ht="16.149999999999999" customHeight="1" thickBot="1">
      <c r="A63" s="1"/>
      <c r="B63" s="271"/>
      <c r="C63" s="272"/>
      <c r="D63" s="272"/>
      <c r="E63" s="272"/>
      <c r="F63" s="272"/>
      <c r="G63" s="273"/>
      <c r="H63" s="1"/>
      <c r="M63" s="1"/>
      <c r="R63" s="3"/>
    </row>
    <row r="64" spans="1:18" ht="15.75">
      <c r="A64" s="1"/>
      <c r="B64" s="279" t="s">
        <v>10</v>
      </c>
      <c r="C64" s="280"/>
      <c r="D64" s="281" t="s">
        <v>11</v>
      </c>
      <c r="E64" s="281"/>
      <c r="F64" s="281"/>
      <c r="G64" s="28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8" t="str">
        <f>'2018'!A24</f>
        <v>Transportes</v>
      </c>
      <c r="C82" s="269"/>
      <c r="D82" s="269"/>
      <c r="E82" s="269"/>
      <c r="F82" s="269"/>
      <c r="G82" s="270"/>
      <c r="H82" s="1"/>
      <c r="M82" s="1"/>
      <c r="R82" s="3"/>
    </row>
    <row r="83" spans="1:18" ht="16.149999999999999" customHeight="1" thickBot="1">
      <c r="A83" s="1"/>
      <c r="B83" s="271"/>
      <c r="C83" s="272"/>
      <c r="D83" s="272"/>
      <c r="E83" s="272"/>
      <c r="F83" s="272"/>
      <c r="G83" s="273"/>
      <c r="H83" s="1"/>
      <c r="M83" s="1"/>
      <c r="R83" s="3"/>
    </row>
    <row r="84" spans="1:18" ht="15.75">
      <c r="A84" s="1"/>
      <c r="B84" s="279" t="s">
        <v>10</v>
      </c>
      <c r="C84" s="280"/>
      <c r="D84" s="281" t="s">
        <v>11</v>
      </c>
      <c r="E84" s="281"/>
      <c r="F84" s="281"/>
      <c r="G84" s="28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8" t="str">
        <f>'2018'!A25</f>
        <v>Coche</v>
      </c>
      <c r="C102" s="269"/>
      <c r="D102" s="269"/>
      <c r="E102" s="269"/>
      <c r="F102" s="269"/>
      <c r="G102" s="270"/>
      <c r="H102" s="1"/>
      <c r="M102" s="1"/>
      <c r="R102" s="3"/>
    </row>
    <row r="103" spans="1:18" ht="16.149999999999999" customHeight="1" thickBot="1">
      <c r="A103" s="1"/>
      <c r="B103" s="271"/>
      <c r="C103" s="272"/>
      <c r="D103" s="272"/>
      <c r="E103" s="272"/>
      <c r="F103" s="272"/>
      <c r="G103" s="273"/>
      <c r="H103" s="1"/>
      <c r="M103" s="1"/>
      <c r="R103" s="3"/>
    </row>
    <row r="104" spans="1:18" ht="15.75">
      <c r="A104" s="1"/>
      <c r="B104" s="279" t="s">
        <v>10</v>
      </c>
      <c r="C104" s="280"/>
      <c r="D104" s="281" t="s">
        <v>11</v>
      </c>
      <c r="E104" s="281"/>
      <c r="F104" s="281"/>
      <c r="G104" s="28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8" t="str">
        <f>'2018'!A26</f>
        <v>Teléfono</v>
      </c>
      <c r="C122" s="269"/>
      <c r="D122" s="269"/>
      <c r="E122" s="269"/>
      <c r="F122" s="269"/>
      <c r="G122" s="270"/>
      <c r="H122" s="1"/>
      <c r="M122" s="1"/>
      <c r="R122" s="3"/>
    </row>
    <row r="123" spans="1:18" ht="16.149999999999999" customHeight="1" thickBot="1">
      <c r="A123" s="1"/>
      <c r="B123" s="271"/>
      <c r="C123" s="272"/>
      <c r="D123" s="272"/>
      <c r="E123" s="272"/>
      <c r="F123" s="272"/>
      <c r="G123" s="273"/>
      <c r="H123" s="1"/>
      <c r="M123" s="1"/>
      <c r="R123" s="3"/>
    </row>
    <row r="124" spans="1:18" ht="15.75">
      <c r="A124" s="1"/>
      <c r="B124" s="279" t="s">
        <v>10</v>
      </c>
      <c r="C124" s="280"/>
      <c r="D124" s="281" t="s">
        <v>11</v>
      </c>
      <c r="E124" s="281"/>
      <c r="F124" s="281"/>
      <c r="G124" s="28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8" t="str">
        <f>'2018'!A27</f>
        <v>Gatos</v>
      </c>
      <c r="C142" s="269"/>
      <c r="D142" s="269"/>
      <c r="E142" s="269"/>
      <c r="F142" s="269"/>
      <c r="G142" s="270"/>
      <c r="H142" s="1"/>
      <c r="M142" s="1"/>
      <c r="R142" s="3"/>
    </row>
    <row r="143" spans="1:18" ht="16.149999999999999" customHeight="1" thickBot="1">
      <c r="A143" s="1"/>
      <c r="B143" s="271"/>
      <c r="C143" s="272"/>
      <c r="D143" s="272"/>
      <c r="E143" s="272"/>
      <c r="F143" s="272"/>
      <c r="G143" s="273"/>
      <c r="H143" s="1"/>
      <c r="M143" s="1"/>
      <c r="R143" s="3"/>
    </row>
    <row r="144" spans="1:18" ht="15.75">
      <c r="A144" s="1"/>
      <c r="B144" s="279" t="s">
        <v>10</v>
      </c>
      <c r="C144" s="280"/>
      <c r="D144" s="281" t="s">
        <v>11</v>
      </c>
      <c r="E144" s="281"/>
      <c r="F144" s="281"/>
      <c r="G144" s="28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8" t="str">
        <f>'2018'!A28</f>
        <v>Vacaciones</v>
      </c>
      <c r="C162" s="269"/>
      <c r="D162" s="269"/>
      <c r="E162" s="269"/>
      <c r="F162" s="269"/>
      <c r="G162" s="2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1"/>
      <c r="C163" s="272"/>
      <c r="D163" s="272"/>
      <c r="E163" s="272"/>
      <c r="F163" s="272"/>
      <c r="G163" s="27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80"/>
      <c r="D164" s="281" t="s">
        <v>11</v>
      </c>
      <c r="E164" s="281"/>
      <c r="F164" s="281"/>
      <c r="G164" s="28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8" t="str">
        <f>'2018'!A29</f>
        <v>Ropa</v>
      </c>
      <c r="C182" s="269"/>
      <c r="D182" s="269"/>
      <c r="E182" s="269"/>
      <c r="F182" s="269"/>
      <c r="G182" s="27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1"/>
      <c r="C183" s="272"/>
      <c r="D183" s="272"/>
      <c r="E183" s="272"/>
      <c r="F183" s="272"/>
      <c r="G183" s="27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80"/>
      <c r="D184" s="281" t="s">
        <v>11</v>
      </c>
      <c r="E184" s="281"/>
      <c r="F184" s="281"/>
      <c r="G184" s="28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78" t="str">
        <f>'2018'!A30</f>
        <v>Belleza</v>
      </c>
      <c r="C202" s="269"/>
      <c r="D202" s="269"/>
      <c r="E202" s="269"/>
      <c r="F202" s="269"/>
      <c r="G202" s="270"/>
    </row>
    <row r="203" spans="2:7" ht="15" customHeight="1" thickBot="1">
      <c r="B203" s="271"/>
      <c r="C203" s="272"/>
      <c r="D203" s="272"/>
      <c r="E203" s="272"/>
      <c r="F203" s="272"/>
      <c r="G203" s="273"/>
    </row>
    <row r="204" spans="2:7">
      <c r="B204" s="279" t="s">
        <v>10</v>
      </c>
      <c r="C204" s="280"/>
      <c r="D204" s="281" t="s">
        <v>11</v>
      </c>
      <c r="E204" s="281"/>
      <c r="F204" s="281"/>
      <c r="G204" s="280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78" t="str">
        <f>'2018'!A31</f>
        <v>Deportes</v>
      </c>
      <c r="C222" s="269"/>
      <c r="D222" s="269"/>
      <c r="E222" s="269"/>
      <c r="F222" s="269"/>
      <c r="G222" s="270"/>
    </row>
    <row r="223" spans="2:7" ht="15" customHeight="1" thickBot="1">
      <c r="B223" s="271"/>
      <c r="C223" s="272"/>
      <c r="D223" s="272"/>
      <c r="E223" s="272"/>
      <c r="F223" s="272"/>
      <c r="G223" s="273"/>
    </row>
    <row r="224" spans="2:7">
      <c r="B224" s="279" t="s">
        <v>10</v>
      </c>
      <c r="C224" s="280"/>
      <c r="D224" s="281" t="s">
        <v>11</v>
      </c>
      <c r="E224" s="281"/>
      <c r="F224" s="281"/>
      <c r="G224" s="280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78" t="str">
        <f>'2018'!A32</f>
        <v>Hogar</v>
      </c>
      <c r="C242" s="269"/>
      <c r="D242" s="269"/>
      <c r="E242" s="269"/>
      <c r="F242" s="269"/>
      <c r="G242" s="270"/>
    </row>
    <row r="243" spans="2:7" ht="15" customHeight="1" thickBot="1">
      <c r="B243" s="271"/>
      <c r="C243" s="272"/>
      <c r="D243" s="272"/>
      <c r="E243" s="272"/>
      <c r="F243" s="272"/>
      <c r="G243" s="273"/>
    </row>
    <row r="244" spans="2:7" ht="15" customHeight="1">
      <c r="B244" s="279" t="s">
        <v>10</v>
      </c>
      <c r="C244" s="280"/>
      <c r="D244" s="281" t="s">
        <v>11</v>
      </c>
      <c r="E244" s="281"/>
      <c r="F244" s="281"/>
      <c r="G244" s="280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78" t="str">
        <f>'2018'!A33</f>
        <v>Formación</v>
      </c>
      <c r="C262" s="269"/>
      <c r="D262" s="269"/>
      <c r="E262" s="269"/>
      <c r="F262" s="269"/>
      <c r="G262" s="270"/>
    </row>
    <row r="263" spans="2:7" ht="15" customHeight="1" thickBot="1">
      <c r="B263" s="271"/>
      <c r="C263" s="272"/>
      <c r="D263" s="272"/>
      <c r="E263" s="272"/>
      <c r="F263" s="272"/>
      <c r="G263" s="273"/>
    </row>
    <row r="264" spans="2:7">
      <c r="B264" s="279" t="s">
        <v>10</v>
      </c>
      <c r="C264" s="280"/>
      <c r="D264" s="281" t="s">
        <v>11</v>
      </c>
      <c r="E264" s="281"/>
      <c r="F264" s="281"/>
      <c r="G264" s="280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78" t="str">
        <f>'2018'!A34</f>
        <v>Regalos</v>
      </c>
      <c r="C282" s="269"/>
      <c r="D282" s="269"/>
      <c r="E282" s="269"/>
      <c r="F282" s="269"/>
      <c r="G282" s="270"/>
    </row>
    <row r="283" spans="2:7" ht="15" customHeight="1" thickBot="1">
      <c r="B283" s="271"/>
      <c r="C283" s="272"/>
      <c r="D283" s="272"/>
      <c r="E283" s="272"/>
      <c r="F283" s="272"/>
      <c r="G283" s="273"/>
    </row>
    <row r="284" spans="2:7">
      <c r="B284" s="279" t="s">
        <v>10</v>
      </c>
      <c r="C284" s="280"/>
      <c r="D284" s="281" t="s">
        <v>11</v>
      </c>
      <c r="E284" s="281"/>
      <c r="F284" s="281"/>
      <c r="G284" s="280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78" t="str">
        <f>'2018'!A35</f>
        <v>Salud</v>
      </c>
      <c r="C302" s="269"/>
      <c r="D302" s="269"/>
      <c r="E302" s="269"/>
      <c r="F302" s="269"/>
      <c r="G302" s="270"/>
    </row>
    <row r="303" spans="2:7" ht="15" customHeight="1" thickBot="1">
      <c r="B303" s="271"/>
      <c r="C303" s="272"/>
      <c r="D303" s="272"/>
      <c r="E303" s="272"/>
      <c r="F303" s="272"/>
      <c r="G303" s="273"/>
    </row>
    <row r="304" spans="2:7">
      <c r="B304" s="279" t="s">
        <v>10</v>
      </c>
      <c r="C304" s="280"/>
      <c r="D304" s="281" t="s">
        <v>11</v>
      </c>
      <c r="E304" s="281"/>
      <c r="F304" s="281"/>
      <c r="G304" s="280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78" t="str">
        <f>'2018'!A36</f>
        <v>Martina</v>
      </c>
      <c r="C322" s="269"/>
      <c r="D322" s="269"/>
      <c r="E322" s="269"/>
      <c r="F322" s="269"/>
      <c r="G322" s="270"/>
    </row>
    <row r="323" spans="2:7" ht="15" customHeight="1" thickBot="1">
      <c r="B323" s="271"/>
      <c r="C323" s="272"/>
      <c r="D323" s="272"/>
      <c r="E323" s="272"/>
      <c r="F323" s="272"/>
      <c r="G323" s="273"/>
    </row>
    <row r="324" spans="2:7">
      <c r="B324" s="279" t="s">
        <v>10</v>
      </c>
      <c r="C324" s="280"/>
      <c r="D324" s="281" t="s">
        <v>11</v>
      </c>
      <c r="E324" s="281"/>
      <c r="F324" s="281"/>
      <c r="G324" s="280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78" t="str">
        <f>'2018'!A37</f>
        <v>Impuestos</v>
      </c>
      <c r="C342" s="269"/>
      <c r="D342" s="269"/>
      <c r="E342" s="269"/>
      <c r="F342" s="269"/>
      <c r="G342" s="270"/>
    </row>
    <row r="343" spans="2:7" ht="15" customHeight="1" thickBot="1">
      <c r="B343" s="271"/>
      <c r="C343" s="272"/>
      <c r="D343" s="272"/>
      <c r="E343" s="272"/>
      <c r="F343" s="272"/>
      <c r="G343" s="273"/>
    </row>
    <row r="344" spans="2:7">
      <c r="B344" s="279" t="s">
        <v>10</v>
      </c>
      <c r="C344" s="280"/>
      <c r="D344" s="281" t="s">
        <v>11</v>
      </c>
      <c r="E344" s="281"/>
      <c r="F344" s="281"/>
      <c r="G344" s="280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78" t="str">
        <f>'2018'!A38</f>
        <v>Gastos Curros</v>
      </c>
      <c r="C362" s="269"/>
      <c r="D362" s="269"/>
      <c r="E362" s="269"/>
      <c r="F362" s="269"/>
      <c r="G362" s="270"/>
    </row>
    <row r="363" spans="2:7" ht="15" customHeight="1" thickBot="1">
      <c r="B363" s="271"/>
      <c r="C363" s="272"/>
      <c r="D363" s="272"/>
      <c r="E363" s="272"/>
      <c r="F363" s="272"/>
      <c r="G363" s="273"/>
    </row>
    <row r="364" spans="2:7">
      <c r="B364" s="279" t="s">
        <v>10</v>
      </c>
      <c r="C364" s="280"/>
      <c r="D364" s="281" t="s">
        <v>11</v>
      </c>
      <c r="E364" s="281"/>
      <c r="F364" s="281"/>
      <c r="G364" s="280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78" t="str">
        <f>'2018'!A39</f>
        <v>Dreamed Holidays</v>
      </c>
      <c r="C382" s="269"/>
      <c r="D382" s="269"/>
      <c r="E382" s="269"/>
      <c r="F382" s="269"/>
      <c r="G382" s="270"/>
    </row>
    <row r="383" spans="2:7" ht="15" customHeight="1" thickBot="1">
      <c r="B383" s="271"/>
      <c r="C383" s="272"/>
      <c r="D383" s="272"/>
      <c r="E383" s="272"/>
      <c r="F383" s="272"/>
      <c r="G383" s="273"/>
    </row>
    <row r="384" spans="2:7">
      <c r="B384" s="279" t="s">
        <v>10</v>
      </c>
      <c r="C384" s="280"/>
      <c r="D384" s="281" t="s">
        <v>11</v>
      </c>
      <c r="E384" s="281"/>
      <c r="F384" s="281"/>
      <c r="G384" s="280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78" t="str">
        <f>'2018'!A40</f>
        <v>Financieros</v>
      </c>
      <c r="C402" s="269"/>
      <c r="D402" s="269"/>
      <c r="E402" s="269"/>
      <c r="F402" s="269"/>
      <c r="G402" s="270"/>
    </row>
    <row r="403" spans="2:7" ht="15" customHeight="1" thickBot="1">
      <c r="B403" s="271"/>
      <c r="C403" s="272"/>
      <c r="D403" s="272"/>
      <c r="E403" s="272"/>
      <c r="F403" s="272"/>
      <c r="G403" s="273"/>
    </row>
    <row r="404" spans="2:7">
      <c r="B404" s="279" t="s">
        <v>10</v>
      </c>
      <c r="C404" s="280"/>
      <c r="D404" s="281" t="s">
        <v>11</v>
      </c>
      <c r="E404" s="281"/>
      <c r="F404" s="281"/>
      <c r="G404" s="280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78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9" t="s">
        <v>10</v>
      </c>
      <c r="C424" s="280"/>
      <c r="D424" s="281" t="s">
        <v>11</v>
      </c>
      <c r="E424" s="281"/>
      <c r="F424" s="281"/>
      <c r="G424" s="280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-4598.3-'2018'!AA17</f>
        <v>-5478.65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-5478.65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78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9" t="s">
        <v>10</v>
      </c>
      <c r="C444" s="280"/>
      <c r="D444" s="281" t="s">
        <v>11</v>
      </c>
      <c r="E444" s="281"/>
      <c r="F444" s="281"/>
      <c r="G444" s="280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78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9" t="s">
        <v>10</v>
      </c>
      <c r="C464" s="280"/>
      <c r="D464" s="281" t="s">
        <v>11</v>
      </c>
      <c r="E464" s="281"/>
      <c r="F464" s="281"/>
      <c r="G464" s="280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78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9" t="s">
        <v>10</v>
      </c>
      <c r="C484" s="280"/>
      <c r="D484" s="281" t="s">
        <v>11</v>
      </c>
      <c r="E484" s="281"/>
      <c r="F484" s="281"/>
      <c r="G484" s="280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78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9" t="s">
        <v>10</v>
      </c>
      <c r="C504" s="280"/>
      <c r="D504" s="281" t="s">
        <v>11</v>
      </c>
      <c r="E504" s="281"/>
      <c r="F504" s="281"/>
      <c r="G504" s="280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2018-07-06T11:54:45Z</dcterms:modified>
</cp:coreProperties>
</file>