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 defaultThemeVersion="124226"/>
  <xr:revisionPtr revIDLastSave="0" documentId="13_ncr:1_{5A15F81F-97E7-4EB6-9D8C-D56DB9E0D61E}" xr6:coauthVersionLast="36" xr6:coauthVersionMax="36" xr10:uidLastSave="{00000000-0000-0000-0000-000000000000}"/>
  <bookViews>
    <workbookView xWindow="0" yWindow="0" windowWidth="27330" windowHeight="5790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9" i="18" l="1"/>
  <c r="S13" i="18"/>
  <c r="D308" i="6"/>
  <c r="B3" i="19" l="1"/>
  <c r="B7" i="19" s="1"/>
  <c r="B12" i="19" l="1"/>
  <c r="C4" i="19"/>
  <c r="D4" i="19" s="1"/>
  <c r="C5" i="19"/>
  <c r="D5" i="19" s="1"/>
  <c r="C6" i="19"/>
  <c r="D6" i="19" s="1"/>
  <c r="C3" i="19"/>
  <c r="C7" i="19" l="1"/>
  <c r="D3" i="19"/>
  <c r="E366" i="6" l="1"/>
  <c r="F366" i="6"/>
  <c r="D22" i="18"/>
  <c r="D23" i="18"/>
  <c r="D24" i="18"/>
  <c r="D25" i="18"/>
  <c r="D26" i="18"/>
  <c r="D27" i="18"/>
  <c r="D29" i="18"/>
  <c r="D30" i="18"/>
  <c r="D31" i="18"/>
  <c r="D32" i="18"/>
  <c r="D33" i="18"/>
  <c r="D34" i="18"/>
  <c r="D14" i="18"/>
  <c r="D15" i="18"/>
  <c r="D16" i="18"/>
  <c r="D17" i="18"/>
  <c r="D18" i="18"/>
  <c r="D19" i="18"/>
  <c r="D20" i="18"/>
  <c r="D21" i="18"/>
  <c r="D13" i="18"/>
  <c r="D43" i="18"/>
  <c r="A430" i="6"/>
  <c r="B109" i="6"/>
  <c r="W27" i="18" l="1"/>
  <c r="X27" i="18" s="1"/>
  <c r="W19" i="18"/>
  <c r="W39" i="18"/>
  <c r="X39" i="18" s="1"/>
  <c r="W31" i="18"/>
  <c r="X31" i="18" s="1"/>
  <c r="W23" i="18"/>
  <c r="X23" i="18" s="1"/>
  <c r="W15" i="18"/>
  <c r="X15" i="18" s="1"/>
  <c r="W38" i="18"/>
  <c r="X38" i="18" s="1"/>
  <c r="W30" i="18"/>
  <c r="X30" i="18" s="1"/>
  <c r="W22" i="18"/>
  <c r="X22" i="18" s="1"/>
  <c r="W14" i="18"/>
  <c r="X14" i="18" s="1"/>
  <c r="W37" i="18"/>
  <c r="X37" i="18" s="1"/>
  <c r="W29" i="18"/>
  <c r="X29" i="18" s="1"/>
  <c r="W21" i="18"/>
  <c r="X21" i="18" s="1"/>
  <c r="W36" i="18"/>
  <c r="X36" i="18" s="1"/>
  <c r="W20" i="18"/>
  <c r="W34" i="18"/>
  <c r="X34" i="18" s="1"/>
  <c r="W26" i="18"/>
  <c r="X26" i="18" s="1"/>
  <c r="W18" i="18"/>
  <c r="X18" i="18" s="1"/>
  <c r="W41" i="18"/>
  <c r="X41" i="18" s="1"/>
  <c r="W33" i="18"/>
  <c r="W25" i="18"/>
  <c r="W17" i="18"/>
  <c r="X17" i="18" s="1"/>
  <c r="W40" i="18"/>
  <c r="X40" i="18" s="1"/>
  <c r="W32" i="18"/>
  <c r="X32" i="18" s="1"/>
  <c r="W24" i="18"/>
  <c r="X24" i="18" s="1"/>
  <c r="W16" i="18"/>
  <c r="X16" i="18" s="1"/>
  <c r="W13" i="18"/>
  <c r="V70" i="1"/>
  <c r="H431" i="6"/>
  <c r="S8" i="1"/>
  <c r="B467" i="6"/>
  <c r="B468" i="6"/>
  <c r="A426" i="6"/>
  <c r="B257" i="6"/>
  <c r="K5" i="18"/>
  <c r="D5" i="18" s="1"/>
  <c r="K4" i="18"/>
  <c r="D4" i="18" s="1"/>
  <c r="K3" i="18"/>
  <c r="D3" i="18" s="1"/>
  <c r="H20" i="18"/>
  <c r="I20" i="18" s="1"/>
  <c r="M20" i="18" l="1"/>
  <c r="O20" i="18" l="1"/>
  <c r="E20" i="18"/>
  <c r="X20" i="18" s="1"/>
  <c r="T71" i="18"/>
  <c r="T68" i="18"/>
  <c r="T69" i="18" s="1"/>
  <c r="T70" i="18" s="1"/>
  <c r="T60" i="18"/>
  <c r="T61" i="18" s="1"/>
  <c r="H59" i="18"/>
  <c r="H58" i="18"/>
  <c r="H57" i="18"/>
  <c r="H56" i="18"/>
  <c r="K35" i="18"/>
  <c r="H35" i="18"/>
  <c r="M35" i="18" s="1"/>
  <c r="N35" i="18" s="1"/>
  <c r="P34" i="18"/>
  <c r="Q34" i="18" s="1"/>
  <c r="H33" i="18"/>
  <c r="M33" i="18" s="1"/>
  <c r="P32" i="18"/>
  <c r="P30" i="18"/>
  <c r="Q30" i="18" s="1"/>
  <c r="P29" i="18"/>
  <c r="Q29" i="18" s="1"/>
  <c r="K28" i="18"/>
  <c r="H28" i="18"/>
  <c r="M28" i="18" s="1"/>
  <c r="H25" i="18"/>
  <c r="M25" i="18" s="1"/>
  <c r="N25" i="18" s="1"/>
  <c r="Q24" i="18"/>
  <c r="Q21" i="18"/>
  <c r="H19" i="18"/>
  <c r="M19" i="18" s="1"/>
  <c r="N19" i="18" s="1"/>
  <c r="Q14" i="18"/>
  <c r="H13" i="18"/>
  <c r="I13" i="18" s="1"/>
  <c r="J13" i="18" s="1"/>
  <c r="H5" i="18"/>
  <c r="M5" i="18" s="1"/>
  <c r="H4" i="18"/>
  <c r="M4" i="18" s="1"/>
  <c r="H3" i="18"/>
  <c r="I3" i="18" s="1"/>
  <c r="J3" i="18" s="1"/>
  <c r="O3" i="18" l="1"/>
  <c r="I4" i="18"/>
  <c r="J4" i="18" s="1"/>
  <c r="I25" i="18"/>
  <c r="J25" i="18" s="1"/>
  <c r="M3" i="18"/>
  <c r="N3" i="18" s="1"/>
  <c r="P20" i="18"/>
  <c r="Q20" i="18" s="1"/>
  <c r="D35" i="18"/>
  <c r="W35" i="18" s="1"/>
  <c r="D28" i="18"/>
  <c r="W28" i="18" s="1"/>
  <c r="M13" i="18"/>
  <c r="N13" i="18" s="1"/>
  <c r="I33" i="18"/>
  <c r="I19" i="18"/>
  <c r="J19" i="18" s="1"/>
  <c r="O19" i="18" s="1"/>
  <c r="I28" i="18"/>
  <c r="J28" i="18" s="1"/>
  <c r="I35" i="18"/>
  <c r="J35" i="18" s="1"/>
  <c r="O35" i="18" s="1"/>
  <c r="N28" i="18"/>
  <c r="N5" i="18"/>
  <c r="O25" i="18"/>
  <c r="N33" i="18"/>
  <c r="N4" i="18"/>
  <c r="I5" i="18"/>
  <c r="E13" i="18"/>
  <c r="X13" i="18" s="1"/>
  <c r="P3" i="18"/>
  <c r="P25" i="18"/>
  <c r="Q25" i="18" s="1"/>
  <c r="E3" i="18"/>
  <c r="E25" i="18"/>
  <c r="X25" i="18" s="1"/>
  <c r="B46" i="7"/>
  <c r="E33" i="18" l="1"/>
  <c r="X33" i="18" s="1"/>
  <c r="J33" i="18"/>
  <c r="O33" i="18" s="1"/>
  <c r="X35" i="18"/>
  <c r="Q3" i="18"/>
  <c r="O28" i="18"/>
  <c r="W42" i="18"/>
  <c r="D42" i="18"/>
  <c r="J42" i="18"/>
  <c r="O42" i="18"/>
  <c r="N42" i="18"/>
  <c r="E35" i="18"/>
  <c r="E19" i="18"/>
  <c r="X19" i="18" s="1"/>
  <c r="O4" i="18"/>
  <c r="E4" i="18"/>
  <c r="E28" i="18"/>
  <c r="X28" i="18" s="1"/>
  <c r="J5" i="18"/>
  <c r="O5" i="18" s="1"/>
  <c r="P33" i="18"/>
  <c r="Q33" i="18" s="1"/>
  <c r="P35" i="18"/>
  <c r="Q35" i="18" s="1"/>
  <c r="A109" i="6"/>
  <c r="D51" i="6"/>
  <c r="X42" i="18" l="1"/>
  <c r="E42" i="18"/>
  <c r="P4" i="18"/>
  <c r="Q4" i="18" s="1"/>
  <c r="E5" i="18"/>
  <c r="P28" i="18"/>
  <c r="A429" i="6"/>
  <c r="Q28" i="18" l="1"/>
  <c r="S28" i="18" s="1"/>
  <c r="P42" i="18"/>
  <c r="P5" i="18"/>
  <c r="Q5" i="18" s="1"/>
  <c r="A256" i="6"/>
  <c r="A257" i="6"/>
  <c r="A258" i="6"/>
  <c r="A259" i="6"/>
  <c r="Q42" i="18" l="1"/>
  <c r="Y42" i="18"/>
  <c r="Z42" i="18" s="1"/>
  <c r="G22" i="17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G21" i="17"/>
  <c r="G20" i="17"/>
  <c r="D47" i="6"/>
  <c r="D146" i="6"/>
  <c r="B257" i="5" l="1"/>
  <c r="B468" i="5"/>
  <c r="K11" i="6"/>
  <c r="A430" i="5" l="1"/>
  <c r="B308" i="5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8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A66" i="5"/>
  <c r="F366" i="5" l="1"/>
  <c r="A109" i="5" l="1"/>
  <c r="A108" i="5"/>
  <c r="M25" i="5" l="1"/>
  <c r="E407" i="5" l="1"/>
  <c r="A256" i="7" l="1"/>
  <c r="A258" i="7"/>
  <c r="A259" i="7"/>
  <c r="A246" i="6"/>
  <c r="A246" i="7" s="1"/>
  <c r="A260" i="7" s="1"/>
  <c r="A468" i="5" l="1"/>
  <c r="A466" i="5"/>
  <c r="D167" i="5" l="1"/>
  <c r="D186" i="5"/>
  <c r="D306" i="5"/>
  <c r="J56" i="5" l="1"/>
  <c r="J55" i="5"/>
  <c r="B109" i="4" l="1"/>
  <c r="K10" i="1"/>
  <c r="L24" i="15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A79" i="6" l="1"/>
  <c r="A79" i="7" s="1"/>
  <c r="F520" i="6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9" i="5"/>
  <c r="A129" i="6" s="1"/>
  <c r="A129" i="7" s="1"/>
  <c r="A126" i="5"/>
  <c r="A126" i="6" s="1"/>
  <c r="A126" i="7" s="1"/>
  <c r="A140" i="7" s="1"/>
  <c r="A140" i="6" l="1"/>
  <c r="A140" i="5"/>
  <c r="B308" i="4" l="1"/>
  <c r="J55" i="4"/>
  <c r="E7" i="4"/>
  <c r="B502" i="5" l="1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K19" i="5" l="1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N59" i="1" l="1"/>
  <c r="D51" i="4" l="1"/>
  <c r="D247" i="4"/>
  <c r="F68" i="4"/>
  <c r="D49" i="4"/>
  <c r="D67" i="4"/>
  <c r="A173" i="4" l="1"/>
  <c r="A166" i="4"/>
  <c r="A180" i="4" s="1"/>
  <c r="A173" i="2"/>
  <c r="A166" i="2"/>
  <c r="D74" i="1"/>
  <c r="A78" i="4" l="1"/>
  <c r="A66" i="4"/>
  <c r="B3" i="14" l="1"/>
  <c r="B25" i="15"/>
  <c r="C25" i="15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A66" i="3" l="1"/>
  <c r="A66" i="6" s="1"/>
  <c r="M24" i="15"/>
  <c r="A80" i="6" l="1"/>
  <c r="A66" i="7"/>
  <c r="A80" i="7" s="1"/>
  <c r="A82" i="15"/>
  <c r="I82" i="15" s="1"/>
  <c r="D187" i="3"/>
  <c r="D326" i="3"/>
  <c r="D367" i="3" l="1"/>
  <c r="B468" i="3" l="1"/>
  <c r="A24" i="15" l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79" i="4" l="1"/>
  <c r="A79" i="5" s="1"/>
  <c r="A80" i="5" s="1"/>
  <c r="D47" i="3" l="1"/>
  <c r="D146" i="3"/>
  <c r="K7" i="3" l="1"/>
  <c r="K5" i="3"/>
  <c r="K11" i="3"/>
  <c r="D366" i="2"/>
  <c r="F366" i="2"/>
  <c r="A426" i="2" l="1"/>
  <c r="M45" i="2" l="1"/>
  <c r="A66" i="2" l="1"/>
  <c r="D57" i="2" l="1"/>
  <c r="D58" i="2" l="1"/>
  <c r="D56" i="2" l="1"/>
  <c r="D55" i="2"/>
  <c r="D54" i="2"/>
  <c r="B467" i="2" l="1"/>
  <c r="A79" i="3" l="1"/>
  <c r="A80" i="2"/>
  <c r="A79" i="2"/>
  <c r="D53" i="2" l="1"/>
  <c r="D306" i="2"/>
  <c r="F72" i="1"/>
  <c r="F73" i="1" s="1"/>
  <c r="D75" i="1"/>
  <c r="D76" i="1" s="1"/>
  <c r="K11" i="2" l="1"/>
  <c r="A80" i="3" l="1"/>
  <c r="A80" i="4"/>
  <c r="AZ18" i="1"/>
  <c r="K16" i="1" l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L20" i="13"/>
  <c r="F20" i="13"/>
  <c r="E20" i="13"/>
  <c r="D20" i="13"/>
  <c r="B20" i="13"/>
  <c r="K19" i="13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L20" i="12"/>
  <c r="F20" i="12"/>
  <c r="E20" i="12"/>
  <c r="D20" i="12"/>
  <c r="B20" i="12"/>
  <c r="K19" i="12"/>
  <c r="B2" i="12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9" i="11"/>
  <c r="L20" i="11" s="1"/>
  <c r="B2" i="11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9" i="10"/>
  <c r="L20" i="10" s="1"/>
  <c r="B2" i="10"/>
  <c r="F520" i="9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9" i="9"/>
  <c r="L20" i="9" s="1"/>
  <c r="B2" i="9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I65" i="8"/>
  <c r="B62" i="8"/>
  <c r="I60" i="8"/>
  <c r="F60" i="8"/>
  <c r="E60" i="8"/>
  <c r="D60" i="8"/>
  <c r="B60" i="8"/>
  <c r="I55" i="8"/>
  <c r="I50" i="8"/>
  <c r="I45" i="8"/>
  <c r="B42" i="8"/>
  <c r="I40" i="8"/>
  <c r="F40" i="8"/>
  <c r="E40" i="8"/>
  <c r="D40" i="8"/>
  <c r="B40" i="8"/>
  <c r="I30" i="8"/>
  <c r="I25" i="8"/>
  <c r="B22" i="8"/>
  <c r="F20" i="8"/>
  <c r="E20" i="8"/>
  <c r="D20" i="8"/>
  <c r="B20" i="8"/>
  <c r="K19" i="8"/>
  <c r="L20" i="8" s="1"/>
  <c r="B2" i="8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20" i="2"/>
  <c r="A26" i="2"/>
  <c r="A40" i="2" s="1"/>
  <c r="A468" i="2"/>
  <c r="A480" i="2" s="1"/>
  <c r="AZ48" i="1"/>
  <c r="A467" i="3" l="1"/>
  <c r="A467" i="4" s="1"/>
  <c r="A467" i="5" s="1"/>
  <c r="A467" i="6" s="1"/>
  <c r="A467" i="7" s="1"/>
  <c r="A467" i="8" s="1"/>
  <c r="A467" i="9" s="1"/>
  <c r="A467" i="10" s="1"/>
  <c r="A467" i="11" s="1"/>
  <c r="A467" i="12" s="1"/>
  <c r="A467" i="13" s="1"/>
  <c r="A468" i="3"/>
  <c r="A468" i="4" s="1"/>
  <c r="A468" i="6" s="1"/>
  <c r="A468" i="7" s="1"/>
  <c r="A468" i="8" s="1"/>
  <c r="A468" i="9" s="1"/>
  <c r="A468" i="10" s="1"/>
  <c r="A468" i="11" s="1"/>
  <c r="A468" i="12" s="1"/>
  <c r="A468" i="13" s="1"/>
  <c r="A466" i="3"/>
  <c r="A466" i="4" s="1"/>
  <c r="A466" i="6" s="1"/>
  <c r="A107" i="3"/>
  <c r="A107" i="4" s="1"/>
  <c r="A107" i="5" s="1"/>
  <c r="A107" i="6" s="1"/>
  <c r="A107" i="7" s="1"/>
  <c r="A107" i="8" s="1"/>
  <c r="A107" i="9" s="1"/>
  <c r="A107" i="10" s="1"/>
  <c r="A107" i="11" s="1"/>
  <c r="A107" i="12" s="1"/>
  <c r="A107" i="13" s="1"/>
  <c r="A108" i="3"/>
  <c r="A108" i="4" s="1"/>
  <c r="A108" i="6" s="1"/>
  <c r="A108" i="7" s="1"/>
  <c r="A108" i="8" s="1"/>
  <c r="A108" i="9" s="1"/>
  <c r="A108" i="10" s="1"/>
  <c r="A108" i="11" s="1"/>
  <c r="A108" i="12" s="1"/>
  <c r="A108" i="13" s="1"/>
  <c r="A109" i="3"/>
  <c r="A109" i="4" s="1"/>
  <c r="A109" i="7" s="1"/>
  <c r="A109" i="8" s="1"/>
  <c r="A109" i="9" s="1"/>
  <c r="A109" i="10" s="1"/>
  <c r="A109" i="11" s="1"/>
  <c r="A109" i="12" s="1"/>
  <c r="A109" i="13" s="1"/>
  <c r="A106" i="3"/>
  <c r="A27" i="3"/>
  <c r="A27" i="4" s="1"/>
  <c r="A27" i="5" s="1"/>
  <c r="A27" i="6" s="1"/>
  <c r="A27" i="7" s="1"/>
  <c r="A27" i="8" s="1"/>
  <c r="A27" i="9" s="1"/>
  <c r="A27" i="10" s="1"/>
  <c r="A27" i="11" s="1"/>
  <c r="A27" i="12" s="1"/>
  <c r="A27" i="13" s="1"/>
  <c r="A28" i="3"/>
  <c r="A28" i="4" s="1"/>
  <c r="A28" i="5" s="1"/>
  <c r="A28" i="6" s="1"/>
  <c r="A28" i="7" s="1"/>
  <c r="A28" i="8" s="1"/>
  <c r="A28" i="9" s="1"/>
  <c r="A28" i="10" s="1"/>
  <c r="A28" i="11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29" i="11" s="1"/>
  <c r="A29" i="12" s="1"/>
  <c r="A29" i="13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8" i="11" s="1"/>
  <c r="A8" i="12" s="1"/>
  <c r="A8" i="13" s="1"/>
  <c r="A9" i="3"/>
  <c r="A9" i="4" s="1"/>
  <c r="A9" i="5" s="1"/>
  <c r="A9" i="6" s="1"/>
  <c r="A9" i="7" s="1"/>
  <c r="A9" i="8" s="1"/>
  <c r="A9" i="9" s="1"/>
  <c r="A9" i="10" s="1"/>
  <c r="A9" i="11" s="1"/>
  <c r="A9" i="12" s="1"/>
  <c r="A9" i="13" s="1"/>
  <c r="A10" i="3"/>
  <c r="A10" i="4" s="1"/>
  <c r="A10" i="5" s="1"/>
  <c r="A10" i="6" s="1"/>
  <c r="A10" i="7" s="1"/>
  <c r="A10" i="8" s="1"/>
  <c r="A10" i="9" s="1"/>
  <c r="A10" i="10" s="1"/>
  <c r="A10" i="11" s="1"/>
  <c r="A10" i="12" s="1"/>
  <c r="A10" i="13" s="1"/>
  <c r="A11" i="3"/>
  <c r="A11" i="4" s="1"/>
  <c r="A11" i="5" s="1"/>
  <c r="A11" i="6" s="1"/>
  <c r="A11" i="7" s="1"/>
  <c r="A11" i="8" s="1"/>
  <c r="A11" i="9" s="1"/>
  <c r="A11" i="10" s="1"/>
  <c r="A11" i="11" s="1"/>
  <c r="A11" i="12" s="1"/>
  <c r="A11" i="13" s="1"/>
  <c r="A12" i="3"/>
  <c r="A12" i="4" s="1"/>
  <c r="A12" i="5" s="1"/>
  <c r="A12" i="6" s="1"/>
  <c r="A12" i="7" s="1"/>
  <c r="A12" i="8" s="1"/>
  <c r="A12" i="9" s="1"/>
  <c r="A12" i="10" s="1"/>
  <c r="A12" i="11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1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1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V71" i="1" s="1"/>
  <c r="V72" i="1" s="1"/>
  <c r="O9" i="1"/>
  <c r="O10" i="1"/>
  <c r="O11" i="1"/>
  <c r="A120" i="3" l="1"/>
  <c r="A466" i="7"/>
  <c r="A480" i="6"/>
  <c r="A480" i="3"/>
  <c r="A106" i="4"/>
  <c r="A40" i="3"/>
  <c r="A30" i="4"/>
  <c r="A30" i="5" s="1"/>
  <c r="A30" i="6" s="1"/>
  <c r="A30" i="7" s="1"/>
  <c r="A30" i="8" s="1"/>
  <c r="A30" i="9" s="1"/>
  <c r="A30" i="10" s="1"/>
  <c r="A30" i="11" s="1"/>
  <c r="A30" i="12" s="1"/>
  <c r="A30" i="13" s="1"/>
  <c r="A26" i="7"/>
  <c r="A20" i="6"/>
  <c r="A6" i="7"/>
  <c r="A480" i="5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0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L20" i="2" l="1"/>
  <c r="N22" i="2"/>
  <c r="A40" i="4"/>
  <c r="A40" i="5"/>
  <c r="A40" i="6"/>
  <c r="A466" i="8"/>
  <c r="A480" i="7"/>
  <c r="A120" i="4"/>
  <c r="A106" i="5"/>
  <c r="A26" i="8"/>
  <c r="A40" i="7"/>
  <c r="A6" i="8"/>
  <c r="A20" i="7"/>
  <c r="T20" i="1"/>
  <c r="U20" i="1"/>
  <c r="T21" i="1"/>
  <c r="U21" i="1"/>
  <c r="T22" i="1"/>
  <c r="U22" i="1"/>
  <c r="U50" i="1" s="1"/>
  <c r="A466" i="9" l="1"/>
  <c r="A480" i="8"/>
  <c r="A106" i="6"/>
  <c r="A120" i="5"/>
  <c r="A26" i="9"/>
  <c r="A40" i="8"/>
  <c r="A6" i="9"/>
  <c r="A20" i="8"/>
  <c r="A466" i="10" l="1"/>
  <c r="A480" i="9"/>
  <c r="A106" i="7"/>
  <c r="A120" i="6"/>
  <c r="A40" i="9"/>
  <c r="A26" i="10"/>
  <c r="A6" i="10"/>
  <c r="A20" i="9"/>
  <c r="A466" i="11" l="1"/>
  <c r="A480" i="10"/>
  <c r="A106" i="8"/>
  <c r="A120" i="7"/>
  <c r="A26" i="11"/>
  <c r="A40" i="10"/>
  <c r="A6" i="11"/>
  <c r="A20" i="10"/>
  <c r="BC17" i="1"/>
  <c r="A466" i="12" l="1"/>
  <c r="A480" i="11"/>
  <c r="A106" i="9"/>
  <c r="A120" i="8"/>
  <c r="A26" i="12"/>
  <c r="A40" i="11"/>
  <c r="A6" i="12"/>
  <c r="A20" i="11"/>
  <c r="O5" i="11"/>
  <c r="A466" i="13" l="1"/>
  <c r="A480" i="13" s="1"/>
  <c r="A480" i="12"/>
  <c r="A106" i="10"/>
  <c r="A120" i="9"/>
  <c r="A26" i="13"/>
  <c r="A40" i="13" s="1"/>
  <c r="A40" i="12"/>
  <c r="A6" i="13"/>
  <c r="A20" i="13" s="1"/>
  <c r="A20" i="12"/>
  <c r="A106" i="11" l="1"/>
  <c r="A120" i="10"/>
  <c r="G41" i="14"/>
  <c r="G42" i="14"/>
  <c r="G43" i="14"/>
  <c r="A106" i="12" l="1"/>
  <c r="A120" i="1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C23" i="14"/>
  <c r="G22" i="14"/>
  <c r="G21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E19" i="14" s="1"/>
  <c r="B6" i="14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M21" i="15"/>
  <c r="M20" i="15"/>
  <c r="M19" i="15"/>
  <c r="M18" i="15"/>
  <c r="M22" i="15"/>
  <c r="M83" i="15"/>
  <c r="E8" i="14"/>
  <c r="C83" i="15"/>
  <c r="I17" i="15"/>
  <c r="A18" i="15"/>
  <c r="D63" i="17" l="1"/>
  <c r="C5" i="1"/>
  <c r="B14" i="14"/>
  <c r="L6" i="14"/>
  <c r="E9" i="14"/>
  <c r="I18" i="15"/>
  <c r="A19" i="15"/>
  <c r="G23" i="15" l="1"/>
  <c r="E23" i="15"/>
  <c r="G22" i="15"/>
  <c r="A20" i="15"/>
  <c r="I19" i="15"/>
  <c r="E22" i="15" l="1"/>
  <c r="I20" i="15"/>
  <c r="A21" i="15"/>
  <c r="I21" i="15" l="1"/>
  <c r="A22" i="15"/>
  <c r="A23" i="15" l="1"/>
  <c r="I22" i="15"/>
  <c r="I23" i="15" l="1"/>
  <c r="I24" i="15" l="1"/>
  <c r="B5" i="14" s="1"/>
  <c r="I25" i="15" l="1"/>
  <c r="I26" i="15" l="1"/>
  <c r="I27" i="15" l="1"/>
  <c r="AV22" i="1"/>
  <c r="I28" i="15" l="1"/>
  <c r="I29" i="15" l="1"/>
  <c r="I30" i="15" l="1"/>
  <c r="I31" i="15" l="1"/>
  <c r="I32" i="15" l="1"/>
  <c r="I33" i="15" l="1"/>
  <c r="I34" i="15" l="1"/>
  <c r="I35" i="15" l="1"/>
  <c r="I36" i="15" l="1"/>
  <c r="I37" i="15" l="1"/>
  <c r="I38" i="15" l="1"/>
  <c r="I39" i="15" l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AW21" i="1"/>
  <c r="AW40" i="1"/>
  <c r="AW26" i="1"/>
  <c r="AW34" i="1"/>
  <c r="AW43" i="1"/>
  <c r="AW22" i="1"/>
  <c r="AW50" i="1" s="1"/>
  <c r="AW23" i="1"/>
  <c r="AW46" i="1" l="1"/>
  <c r="AW47" i="1" s="1"/>
  <c r="I41" i="15"/>
  <c r="I42" i="15" l="1"/>
  <c r="I43" i="15" l="1"/>
  <c r="I44" i="15" l="1"/>
  <c r="I45" i="15" l="1"/>
  <c r="I46" i="15" l="1"/>
  <c r="I47" i="15" l="1"/>
  <c r="I48" i="15" l="1"/>
  <c r="I49" i="15" l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AS24" i="1"/>
  <c r="AS22" i="1"/>
  <c r="AS50" i="1" s="1"/>
  <c r="AS31" i="1"/>
  <c r="AS34" i="1"/>
  <c r="AS23" i="1"/>
  <c r="AS21" i="1"/>
  <c r="AS46" i="1" l="1"/>
  <c r="I51" i="15"/>
  <c r="I52" i="15" l="1"/>
  <c r="I53" i="15" l="1"/>
  <c r="I54" i="15" l="1"/>
  <c r="I55" i="15" l="1"/>
  <c r="I56" i="15" l="1"/>
  <c r="I57" i="15" l="1"/>
  <c r="I58" i="15" l="1"/>
  <c r="I59" i="15" l="1"/>
  <c r="I60" i="15" l="1"/>
  <c r="I61" i="15" l="1"/>
  <c r="I62" i="15" l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425" i="11" s="1"/>
  <c r="B426" i="11" s="1"/>
  <c r="B440" i="11" s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B426" i="3" l="1"/>
  <c r="B440" i="3" s="1"/>
  <c r="I64" i="15"/>
  <c r="AF41" i="1"/>
  <c r="AO21" i="1"/>
  <c r="AO22" i="1"/>
  <c r="AO50" i="1" s="1"/>
  <c r="AO42" i="1"/>
  <c r="AO23" i="1"/>
  <c r="AO46" i="1" l="1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AK31" i="1"/>
  <c r="AK34" i="1"/>
  <c r="AK42" i="1"/>
  <c r="AK43" i="1"/>
  <c r="AK27" i="1"/>
  <c r="AK21" i="1"/>
  <c r="I67" i="15" l="1"/>
  <c r="AK46" i="1"/>
  <c r="AK47" i="1" s="1"/>
  <c r="I68" i="15" l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G28" i="1"/>
  <c r="AG22" i="1"/>
  <c r="AG50" i="1" s="1"/>
  <c r="AG43" i="1"/>
  <c r="AG31" i="1"/>
  <c r="AG34" i="1"/>
  <c r="AG32" i="1"/>
  <c r="AG21" i="1"/>
  <c r="I71" i="15" l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C31" i="1"/>
  <c r="AC23" i="1"/>
  <c r="AC24" i="1"/>
  <c r="AC20" i="1"/>
  <c r="AC32" i="1"/>
  <c r="AC34" i="1"/>
  <c r="I73" i="15" l="1"/>
  <c r="AC46" i="1"/>
  <c r="AC47" i="1" s="1"/>
  <c r="AS47" i="1"/>
  <c r="AO47" i="1"/>
  <c r="AF46" i="1"/>
  <c r="AF47" i="1" s="1"/>
  <c r="AB46" i="1"/>
  <c r="AB47" i="1" s="1"/>
  <c r="I74" i="15" l="1"/>
  <c r="AJ46" i="1"/>
  <c r="AJ47" i="1" s="1"/>
  <c r="I75" i="15" l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Y46" i="1"/>
  <c r="Y47" i="1" s="1"/>
  <c r="M46" i="1"/>
  <c r="M47" i="1" s="1"/>
  <c r="Q46" i="1"/>
  <c r="Q47" i="1" s="1"/>
  <c r="I46" i="1"/>
  <c r="I47" i="1" s="1"/>
  <c r="I79" i="15" l="1"/>
  <c r="D45" i="1"/>
  <c r="BE45" i="1" s="1"/>
  <c r="BH45" i="1" s="1"/>
  <c r="E45" i="1"/>
  <c r="I80" i="15" l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E10" i="14" l="1"/>
  <c r="E11" i="14" s="1"/>
  <c r="B13" i="14" s="1"/>
  <c r="D25" i="15" s="1"/>
  <c r="E25" i="15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AD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N41" i="1" l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B15" i="14"/>
  <c r="K6" i="14" s="1"/>
  <c r="L7" i="14" s="1"/>
  <c r="M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R32" i="1" l="1"/>
  <c r="V32" i="1" s="1"/>
  <c r="Z32" i="1" s="1"/>
  <c r="AD32" i="1" s="1"/>
  <c r="AH32" i="1" s="1"/>
  <c r="AL32" i="1" s="1"/>
  <c r="AP32" i="1" s="1"/>
  <c r="AT32" i="1" s="1"/>
  <c r="AX32" i="1" s="1"/>
  <c r="D83" i="15"/>
  <c r="E24" i="15"/>
  <c r="E83" i="15" s="1"/>
  <c r="K7" i="14"/>
  <c r="L8" i="14" s="1"/>
  <c r="K8" i="14" s="1"/>
  <c r="AX23" i="1"/>
  <c r="BJ23" i="1"/>
  <c r="AX38" i="1"/>
  <c r="BJ38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A260" i="6" l="1"/>
  <c r="A246" i="5"/>
  <c r="AX21" i="1"/>
  <c r="BJ21" i="1"/>
  <c r="AX22" i="1"/>
  <c r="BJ22" i="1"/>
  <c r="L9" i="14"/>
  <c r="M9" i="14" s="1"/>
  <c r="M8" i="14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K9" i="14" l="1"/>
  <c r="L10" i="14" s="1"/>
  <c r="K10" i="14" s="1"/>
  <c r="L11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B22" i="14" l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K11" i="14"/>
  <c r="M11" i="14"/>
  <c r="M10" i="14"/>
  <c r="L13" i="14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AX20" i="1" l="1"/>
  <c r="BJ20" i="1"/>
  <c r="AX40" i="1"/>
  <c r="BJ40" i="1"/>
  <c r="M13" i="14"/>
  <c r="B23" i="14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BC48" i="1" l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80" i="3" s="1"/>
  <c r="A173" i="3"/>
  <c r="A256" i="5" l="1"/>
  <c r="A258" i="5"/>
  <c r="A259" i="5"/>
  <c r="A257" i="5"/>
  <c r="A257" i="7" l="1"/>
  <c r="A260" i="5"/>
</calcChain>
</file>

<file path=xl/sharedStrings.xml><?xml version="1.0" encoding="utf-8"?>
<sst xmlns="http://schemas.openxmlformats.org/spreadsheetml/2006/main" count="5349" uniqueCount="615">
  <si>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</si>
  <si>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</si>
  <si>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</si>
  <si>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</si>
  <si>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</si>
  <si>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</si>
  <si>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</si>
  <si>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</si>
  <si>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</si>
  <si>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</si>
  <si>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</si>
  <si>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</si>
  <si>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</si>
  <si>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</si>
  <si>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</si>
  <si>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</si>
  <si>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</si>
  <si>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</si>
  <si>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</si>
  <si>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</si>
  <si>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</si>
  <si>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</si>
  <si>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</si>
  <si>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</si>
  <si>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</si>
  <si>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</si>
  <si>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</si>
  <si>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</si>
  <si>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</si>
  <si>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</si>
  <si>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</si>
  <si>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</si>
  <si>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</si>
  <si>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</si>
  <si>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</si>
  <si>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</si>
  <si>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</si>
  <si>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</si>
  <si>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</si>
  <si>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</si>
  <si>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</si>
  <si>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</si>
  <si>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</si>
  <si>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</si>
  <si>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</si>
  <si>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</si>
  <si>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</si>
  <si>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</si>
  <si>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</si>
  <si>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</si>
  <si>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</si>
  <si>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</si>
  <si>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</si>
  <si>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</si>
  <si>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</si>
  <si>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</si>
  <si>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</si>
  <si>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</si>
  <si>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</si>
  <si>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</si>
  <si>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</si>
  <si>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</si>
  <si>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</si>
  <si>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</si>
  <si>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</si>
  <si>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</si>
  <si>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</si>
  <si>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</si>
  <si>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</si>
  <si>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</si>
  <si>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</si>
  <si>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</si>
  <si>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</si>
  <si>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</si>
  <si>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</si>
  <si>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</si>
  <si>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</si>
  <si>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</si>
  <si>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</si>
  <si>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</si>
  <si>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</si>
  <si>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</si>
  <si>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</si>
  <si>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</si>
  <si>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</si>
  <si>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</si>
  <si>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</si>
  <si>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</si>
  <si>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</si>
  <si>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</si>
  <si>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</si>
  <si>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</si>
  <si>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</si>
  <si>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</si>
  <si>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</si>
  <si>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</si>
  <si>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</si>
  <si>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</si>
  <si>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</si>
  <si>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</si>
  <si>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</si>
  <si>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</si>
  <si>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</si>
  <si>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</si>
  <si>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</si>
  <si>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</si>
  <si>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</si>
  <si>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</si>
  <si>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</si>
  <si>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</si>
  <si>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</si>
  <si>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</si>
  <si>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</si>
  <si>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</si>
  <si>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</si>
  <si>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</si>
  <si>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</si>
  <si>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</si>
  <si>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</si>
  <si>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</si>
  <si>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</si>
  <si>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</si>
  <si>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</si>
  <si>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</si>
  <si>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</si>
  <si>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</si>
  <si>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</si>
  <si>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</si>
  <si>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</si>
  <si>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</si>
  <si>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</si>
  <si>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</si>
  <si>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</si>
  <si>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</si>
  <si>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</si>
  <si>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</si>
  <si>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</si>
  <si>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</si>
  <si>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</si>
  <si>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</si>
  <si>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</si>
  <si>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</si>
  <si>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</si>
  <si>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</si>
  <si>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</si>
  <si>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</si>
  <si>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</si>
  <si>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</si>
  <si>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</si>
  <si>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</si>
  <si>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</si>
  <si>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</si>
  <si>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</si>
  <si>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</si>
  <si>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</si>
  <si>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</si>
  <si>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</si>
  <si>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</si>
  <si>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</si>
  <si>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</si>
  <si>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</si>
  <si>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</si>
  <si>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</si>
  <si>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</si>
  <si>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</si>
  <si>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</si>
  <si>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</si>
  <si>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</si>
  <si>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</si>
  <si>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</si>
  <si>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</si>
  <si>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</si>
  <si>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</si>
  <si>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</si>
  <si>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</si>
  <si>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</si>
  <si>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</si>
  <si>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</si>
  <si>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</si>
  <si>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</si>
  <si>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</si>
  <si>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</si>
  <si>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</si>
  <si>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</si>
  <si>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</si>
  <si>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</si>
  <si>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</si>
  <si>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</si>
  <si>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</si>
  <si>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</si>
  <si>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</si>
  <si>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</si>
  <si>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</si>
  <si>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</si>
  <si>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</si>
  <si>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</si>
  <si>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</si>
  <si>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</si>
  <si>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Deficit Noviembre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</si>
  <si>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</si>
  <si>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</si>
  <si>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</si>
  <si>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</si>
  <si>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</si>
  <si>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</si>
  <si>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</si>
  <si>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</si>
  <si>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</si>
  <si>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</si>
  <si>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</si>
  <si>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</si>
  <si>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</si>
  <si>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</si>
  <si>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</si>
  <si>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</si>
  <si>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</si>
  <si>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</si>
  <si>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</si>
  <si>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</si>
  <si>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</si>
  <si>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</si>
  <si>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</si>
  <si>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</si>
  <si>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</si>
  <si>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</si>
  <si>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</si>
  <si>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</si>
  <si>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</si>
  <si>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</si>
  <si>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</si>
  <si>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</si>
  <si>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</si>
  <si>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</si>
  <si>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</si>
  <si>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</si>
  <si>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</si>
  <si>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</si>
  <si>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</si>
  <si>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</si>
  <si>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</si>
  <si>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</si>
  <si>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</si>
  <si>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</si>
  <si>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</si>
  <si>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</si>
  <si>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</si>
  <si>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</si>
  <si>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</si>
  <si>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</si>
  <si>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</si>
  <si>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</si>
  <si>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</si>
  <si>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</si>
  <si>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</si>
  <si>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</si>
  <si>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</si>
  <si>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</si>
  <si>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</si>
  <si>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</si>
  <si>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</si>
  <si>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</si>
  <si>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</si>
  <si>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</si>
  <si>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</si>
  <si>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</si>
  <si>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</si>
  <si>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</si>
  <si>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</si>
  <si>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</si>
  <si>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</si>
  <si>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</si>
  <si>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</si>
  <si>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</si>
  <si>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</si>
  <si>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</si>
  <si>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</si>
  <si>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</si>
  <si>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</si>
  <si>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</si>
  <si>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</si>
  <si>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</si>
  <si>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</si>
  <si>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</si>
  <si>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</si>
  <si>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</si>
  <si>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</si>
  <si>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</si>
  <si>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</si>
  <si>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</si>
  <si>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</si>
  <si>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</si>
  <si>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</si>
  <si>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</si>
  <si>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</si>
  <si>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</si>
  <si>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</si>
  <si>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</si>
  <si>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</si>
  <si>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</si>
  <si>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</si>
  <si>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</si>
  <si>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</si>
  <si>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</si>
  <si>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</si>
  <si>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</si>
  <si>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</si>
  <si>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</si>
  <si>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</si>
  <si>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</si>
  <si>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</si>
  <si>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</si>
  <si>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</si>
  <si>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</si>
  <si>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</si>
  <si>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</si>
  <si>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</si>
  <si>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</si>
  <si>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</si>
  <si>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</si>
  <si>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</si>
  <si>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</si>
  <si>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</si>
  <si>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</si>
  <si>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</si>
  <si>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</si>
  <si>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</si>
  <si>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</si>
  <si>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</si>
  <si>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</si>
  <si>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</si>
  <si>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</si>
  <si>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</si>
  <si>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</si>
  <si>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</si>
  <si>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</si>
  <si>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</si>
  <si>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</si>
  <si>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</si>
  <si>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</si>
  <si>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</si>
  <si>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</si>
  <si>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</si>
  <si>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</si>
  <si>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</si>
  <si>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</si>
  <si>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</si>
  <si>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</si>
  <si>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</si>
  <si>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</si>
  <si>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</si>
  <si>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</si>
  <si>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</si>
  <si>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</si>
  <si>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</si>
  <si>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</si>
  <si>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</si>
  <si>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</si>
  <si>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</si>
  <si>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</si>
  <si>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</si>
  <si>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</si>
  <si>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</si>
  <si>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 xml:space="preserve"> 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</si>
  <si>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</si>
  <si>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</si>
  <si>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</si>
  <si>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</si>
  <si>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</si>
  <si>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</si>
  <si>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</si>
  <si>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</si>
  <si>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</si>
  <si>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</si>
  <si>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</si>
  <si>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</si>
  <si>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</si>
  <si>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</si>
  <si>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</si>
  <si>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</si>
  <si>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</si>
  <si>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</si>
  <si>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</si>
  <si>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</si>
  <si>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</si>
  <si>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</si>
  <si>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</si>
  <si>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</si>
  <si>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</si>
  <si>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</si>
  <si>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</si>
  <si>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</si>
  <si>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</si>
  <si>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</si>
  <si>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</si>
  <si>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</si>
  <si>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</si>
  <si>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</si>
  <si>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</si>
  <si>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</si>
  <si>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</si>
  <si>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</si>
  <si>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</si>
  <si>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</si>
  <si>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</si>
  <si>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</si>
  <si>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</si>
  <si>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</si>
  <si>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</si>
  <si>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</si>
  <si>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</si>
  <si>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</si>
  <si>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</si>
  <si>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</si>
  <si>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</si>
  <si>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</si>
  <si>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</si>
  <si>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</si>
  <si>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</si>
  <si>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</si>
  <si>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</si>
  <si>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</si>
  <si>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</si>
  <si>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</si>
  <si>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</si>
  <si>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</si>
  <si>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</si>
  <si>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</si>
  <si>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</si>
  <si>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</si>
  <si>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</si>
  <si>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</si>
  <si>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</si>
  <si>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</si>
  <si>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</si>
  <si>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</si>
  <si>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</si>
  <si>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</si>
  <si>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</si>
  <si>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</si>
  <si>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</si>
  <si>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</si>
  <si>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</si>
  <si>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</si>
  <si>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</si>
  <si>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</si>
  <si>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</si>
  <si>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</si>
  <si>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</si>
  <si>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</si>
  <si>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</si>
  <si>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</si>
  <si>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</si>
  <si>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</si>
  <si>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</si>
  <si>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</si>
  <si>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</si>
  <si>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</si>
  <si>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</si>
  <si>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</si>
  <si>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</si>
  <si>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</si>
  <si>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</si>
  <si>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</si>
  <si>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</si>
  <si>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</si>
  <si>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</si>
  <si>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</si>
  <si>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</si>
  <si>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</si>
  <si>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</si>
  <si>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&lt;430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</si>
  <si>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</si>
  <si>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</si>
  <si>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</si>
  <si>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</si>
  <si>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</si>
  <si>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</si>
  <si>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</si>
  <si>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Vacaciones Restantes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</si>
  <si>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</si>
  <si>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</si>
  <si>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</si>
  <si>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</si>
  <si>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</si>
  <si>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</si>
  <si>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</si>
  <si>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</si>
  <si>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184€ Cheques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</si>
  <si>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</si>
  <si>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</si>
  <si>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</si>
  <si>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</si>
  <si>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</si>
  <si>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</si>
  <si>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</si>
  <si>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</si>
  <si>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</si>
  <si>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</si>
  <si>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</si>
  <si>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</si>
  <si>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</si>
  <si>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</si>
  <si>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</si>
  <si>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</si>
  <si>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</si>
  <si>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</si>
  <si>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</si>
  <si>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</si>
  <si>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</si>
  <si>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</si>
  <si>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</si>
  <si>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</si>
  <si>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</si>
  <si>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</si>
  <si>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</si>
  <si>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</si>
  <si>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</si>
  <si>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</si>
  <si>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</si>
  <si>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</si>
  <si>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</si>
  <si>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</si>
  <si>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</si>
  <si>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</si>
  <si>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</si>
  <si>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</si>
  <si>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</si>
  <si>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</si>
  <si>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</si>
  <si>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</si>
  <si>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</si>
  <si>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</si>
  <si>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</si>
  <si>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</si>
  <si>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</si>
  <si>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</si>
  <si>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</si>
  <si>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</si>
  <si>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</si>
  <si>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</si>
  <si>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</si>
  <si>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</si>
  <si>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</si>
  <si>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</si>
  <si>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</si>
  <si>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</si>
  <si>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</si>
  <si>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</si>
  <si>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</si>
  <si>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</si>
  <si>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Interim dividend payment</t>
  </si>
  <si>
    <t>71.28-76.50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</si>
  <si>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</si>
  <si>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</si>
  <si>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</si>
  <si>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</si>
  <si>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</si>
  <si>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</si>
  <si>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</si>
  <si>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</si>
  <si>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</si>
  <si>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</si>
  <si>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</si>
  <si>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</si>
  <si>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DIAS</t>
  </si>
  <si>
    <t>Ampliacion de Capital MT.AS</t>
  </si>
  <si>
    <t>Paga Extra bruto 2018</t>
  </si>
  <si>
    <t>Paga Extra neto 2018</t>
  </si>
  <si>
    <t>Paga Extra bruto 2019</t>
  </si>
  <si>
    <t>Paga Extra neto 2019</t>
  </si>
  <si>
    <t>Paga Extra</t>
  </si>
  <si>
    <t>Ultima (hasta 9.486,92€)+Paga 100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</si>
  <si>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</si>
  <si>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</si>
  <si>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</si>
  <si>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</si>
  <si>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</si>
  <si>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</si>
  <si>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</si>
  <si>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</si>
  <si>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</si>
  <si>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</si>
  <si>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</si>
  <si>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</si>
  <si>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</si>
  <si>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</si>
  <si>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</si>
  <si>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</si>
  <si>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</si>
  <si>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</si>
  <si>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</si>
  <si>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</si>
  <si>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</si>
  <si>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</si>
  <si>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</si>
  <si>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</si>
  <si>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</si>
  <si>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</si>
  <si>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</si>
  <si>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</si>
  <si>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</si>
  <si>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</si>
  <si>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</si>
  <si>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</si>
  <si>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</si>
  <si>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</si>
  <si>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</si>
  <si>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</si>
  <si>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</si>
  <si>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</si>
  <si>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</si>
  <si>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</si>
  <si>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</si>
  <si>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</si>
  <si>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24/05 arrefour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</si>
</sst>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</numFmts>
  <fonts count="26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9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8" fontId="0" fillId="17" borderId="0" xfId="0" applyNumberFormat="1" applyFill="1" applyBorder="1"/>
    <xf numFmtId="8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8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7" fontId="0" fillId="0" borderId="0" xfId="0" applyNumberFormat="1" applyAlignment="1">
      <alignment horizontal="right"/>
    </xf>
    <xf numFmtId="177" fontId="0" fillId="18" borderId="95" xfId="0" applyNumberFormat="1" applyFill="1" applyBorder="1" applyAlignment="1">
      <alignment horizontal="right"/>
    </xf>
    <xf numFmtId="8" fontId="0" fillId="18" borderId="0" xfId="0" applyNumberFormat="1" applyFill="1"/>
    <xf numFmtId="178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8" fontId="0" fillId="18" borderId="0" xfId="0" applyNumberFormat="1" applyFill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8" fontId="1" fillId="0" borderId="6" xfId="0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0" fontId="1" fillId="0" borderId="125" xfId="0" applyFont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3" xfId="0" applyNumberFormat="1" applyBorder="1" applyAlignment="1">
      <alignment horizontal="center"/>
    </xf>
    <xf numFmtId="0" fontId="0" fillId="0" borderId="94" xfId="0" applyNumberFormat="1" applyBorder="1" applyAlignment="1">
      <alignment horizontal="center"/>
    </xf>
    <xf numFmtId="0" fontId="18" fillId="0" borderId="93" xfId="0" applyNumberFormat="1" applyFont="1" applyBorder="1" applyAlignment="1">
      <alignment horizontal="left"/>
    </xf>
    <xf numFmtId="0" fontId="18" fillId="0" borderId="94" xfId="0" applyNumberFormat="1" applyFont="1" applyBorder="1" applyAlignment="1">
      <alignment horizontal="left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49" fontId="5" fillId="0" borderId="29" xfId="1" quotePrefix="1" applyNumberFormat="1" applyFont="1" applyBorder="1" applyAlignment="1">
      <alignment horizontal="center" vertical="center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29" xfId="1" applyNumberFormat="1" applyFont="1" applyBorder="1" applyAlignment="1">
      <alignment horizontal="center" vertic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17" fontId="2" fillId="0" borderId="12" xfId="0" applyNumberFormat="1" applyFont="1" applyBorder="1" applyAlignment="1">
      <alignment horizontal="lef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55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49" fontId="2" fillId="0" borderId="12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abSelected="1" topLeftCell="A13" zoomScaleNormal="100" workbookViewId="0">
      <pane xSplit="1" topLeftCell="P1" activePane="topRight" state="frozen"/>
      <selection pane="topRight" activeCell="U22" sqref="U22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353" t="s">
        <v>0</v>
      </c>
      <c r="D4" s="354"/>
      <c r="E4" s="354"/>
      <c r="F4" s="355"/>
      <c r="G4" s="353" t="s">
        <v>1</v>
      </c>
      <c r="H4" s="354"/>
      <c r="I4" s="354"/>
      <c r="J4" s="355"/>
      <c r="K4" s="353" t="s">
        <v>2</v>
      </c>
      <c r="L4" s="354"/>
      <c r="M4" s="354"/>
      <c r="N4" s="355"/>
      <c r="O4" s="353" t="s">
        <v>3</v>
      </c>
      <c r="P4" s="354"/>
      <c r="Q4" s="354"/>
      <c r="R4" s="355"/>
      <c r="S4" s="353" t="s">
        <v>71</v>
      </c>
      <c r="T4" s="354"/>
      <c r="U4" s="354"/>
      <c r="V4" s="355"/>
      <c r="W4" s="353" t="s">
        <v>70</v>
      </c>
      <c r="X4" s="354"/>
      <c r="Y4" s="354"/>
      <c r="Z4" s="355"/>
      <c r="AA4" s="353" t="s">
        <v>72</v>
      </c>
      <c r="AB4" s="354"/>
      <c r="AC4" s="354"/>
      <c r="AD4" s="355"/>
      <c r="AE4" s="353" t="s">
        <v>73</v>
      </c>
      <c r="AF4" s="354"/>
      <c r="AG4" s="354"/>
      <c r="AH4" s="355"/>
      <c r="AI4" s="353" t="s">
        <v>75</v>
      </c>
      <c r="AJ4" s="354"/>
      <c r="AK4" s="354"/>
      <c r="AL4" s="355"/>
      <c r="AM4" s="353" t="s">
        <v>77</v>
      </c>
      <c r="AN4" s="354"/>
      <c r="AO4" s="354"/>
      <c r="AP4" s="355"/>
      <c r="AQ4" s="353" t="s">
        <v>79</v>
      </c>
      <c r="AR4" s="354"/>
      <c r="AS4" s="354"/>
      <c r="AT4" s="355"/>
      <c r="AU4" s="353" t="s">
        <v>84</v>
      </c>
      <c r="AV4" s="354"/>
      <c r="AW4" s="354"/>
      <c r="AX4" s="355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356">
        <f>'01'!K19</f>
        <v>26383.54</v>
      </c>
      <c r="D5" s="357"/>
      <c r="E5" s="357"/>
      <c r="F5" s="358"/>
      <c r="G5" s="356">
        <f>'02'!K19</f>
        <v>25229.379999999997</v>
      </c>
      <c r="H5" s="357"/>
      <c r="I5" s="357"/>
      <c r="J5" s="358"/>
      <c r="K5" s="363">
        <f>'03'!K19</f>
        <v>25574.760000000002</v>
      </c>
      <c r="L5" s="357"/>
      <c r="M5" s="357"/>
      <c r="N5" s="358"/>
      <c r="O5" s="363">
        <f>'04'!K19</f>
        <v>26443.759999999998</v>
      </c>
      <c r="P5" s="357"/>
      <c r="Q5" s="357"/>
      <c r="R5" s="358"/>
      <c r="S5" s="363">
        <f>'05'!K19</f>
        <v>27163.090000000004</v>
      </c>
      <c r="T5" s="357"/>
      <c r="U5" s="357"/>
      <c r="V5" s="358"/>
      <c r="W5" s="363">
        <f>'06'!K19</f>
        <v>18034.64</v>
      </c>
      <c r="X5" s="357"/>
      <c r="Y5" s="357"/>
      <c r="Z5" s="358"/>
      <c r="AA5" s="363">
        <f>'07'!K19</f>
        <v>15101.890000000001</v>
      </c>
      <c r="AB5" s="357"/>
      <c r="AC5" s="357"/>
      <c r="AD5" s="358"/>
      <c r="AE5" s="363">
        <f>'08'!K19</f>
        <v>15101.890000000001</v>
      </c>
      <c r="AF5" s="357"/>
      <c r="AG5" s="357"/>
      <c r="AH5" s="358"/>
      <c r="AI5" s="363">
        <f>'09'!K19</f>
        <v>15101.890000000001</v>
      </c>
      <c r="AJ5" s="357"/>
      <c r="AK5" s="357"/>
      <c r="AL5" s="358"/>
      <c r="AM5" s="363">
        <f>'10'!K19</f>
        <v>15101.890000000001</v>
      </c>
      <c r="AN5" s="357"/>
      <c r="AO5" s="357"/>
      <c r="AP5" s="358"/>
      <c r="AQ5" s="363">
        <f>'11'!K19</f>
        <v>15101.890000000001</v>
      </c>
      <c r="AR5" s="357"/>
      <c r="AS5" s="357"/>
      <c r="AT5" s="358"/>
      <c r="AU5" s="363">
        <f>'12'!K19</f>
        <v>15101.890000000001</v>
      </c>
      <c r="AV5" s="357"/>
      <c r="AW5" s="357"/>
      <c r="AX5" s="358"/>
      <c r="AZ5" s="6"/>
      <c r="BA5" s="7"/>
      <c r="BB5" s="1"/>
      <c r="BC5" s="1"/>
    </row>
    <row r="6" spans="1:55" ht="17.25" thickTop="1" thickBot="1">
      <c r="A6" s="205"/>
      <c r="B6" s="8"/>
      <c r="C6" s="362"/>
      <c r="D6" s="362"/>
      <c r="E6" s="362"/>
      <c r="F6" s="362"/>
      <c r="G6" s="362"/>
      <c r="H6" s="362"/>
      <c r="I6" s="362"/>
      <c r="J6" s="362"/>
      <c r="K6" s="362"/>
      <c r="L6" s="362"/>
      <c r="M6" s="362"/>
      <c r="N6" s="362"/>
      <c r="O6" s="362"/>
      <c r="P6" s="362"/>
      <c r="Q6" s="362"/>
      <c r="R6" s="362"/>
      <c r="S6" s="362"/>
      <c r="T6" s="362"/>
      <c r="U6" s="362"/>
      <c r="V6" s="362"/>
      <c r="W6" s="362"/>
      <c r="X6" s="362"/>
      <c r="Y6" s="362"/>
      <c r="Z6" s="362"/>
      <c r="AA6" s="362"/>
      <c r="AB6" s="362"/>
      <c r="AC6" s="362"/>
      <c r="AD6" s="362"/>
      <c r="AE6" s="362"/>
      <c r="AF6" s="362"/>
      <c r="AG6" s="362"/>
      <c r="AH6" s="362"/>
      <c r="AI6" s="362"/>
      <c r="AJ6" s="362"/>
      <c r="AK6" s="362"/>
      <c r="AL6" s="362"/>
      <c r="AM6" s="362"/>
      <c r="AN6" s="362"/>
      <c r="AO6" s="362"/>
      <c r="AP6" s="362"/>
      <c r="AQ6" s="362"/>
      <c r="AR6" s="362"/>
      <c r="AS6" s="362"/>
      <c r="AT6" s="362"/>
      <c r="AU6" s="362"/>
      <c r="AV6" s="362"/>
      <c r="AW6" s="362"/>
      <c r="AX6" s="362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359" t="s">
        <v>230</v>
      </c>
      <c r="D7" s="360"/>
      <c r="E7" s="360"/>
      <c r="F7" s="361"/>
      <c r="G7" s="359" t="s">
        <v>230</v>
      </c>
      <c r="H7" s="360"/>
      <c r="I7" s="360"/>
      <c r="J7" s="361"/>
      <c r="K7" s="359" t="s">
        <v>230</v>
      </c>
      <c r="L7" s="360"/>
      <c r="M7" s="360"/>
      <c r="N7" s="361"/>
      <c r="O7" s="359" t="s">
        <v>230</v>
      </c>
      <c r="P7" s="360"/>
      <c r="Q7" s="360"/>
      <c r="R7" s="361"/>
      <c r="S7" s="359" t="s">
        <v>230</v>
      </c>
      <c r="T7" s="360"/>
      <c r="U7" s="360"/>
      <c r="V7" s="361"/>
      <c r="W7" s="359" t="s">
        <v>230</v>
      </c>
      <c r="X7" s="360"/>
      <c r="Y7" s="360"/>
      <c r="Z7" s="361"/>
      <c r="AA7" s="359" t="s">
        <v>230</v>
      </c>
      <c r="AB7" s="360"/>
      <c r="AC7" s="360"/>
      <c r="AD7" s="361"/>
      <c r="AE7" s="359" t="s">
        <v>230</v>
      </c>
      <c r="AF7" s="360"/>
      <c r="AG7" s="360"/>
      <c r="AH7" s="361"/>
      <c r="AI7" s="359" t="s">
        <v>230</v>
      </c>
      <c r="AJ7" s="360"/>
      <c r="AK7" s="360"/>
      <c r="AL7" s="361"/>
      <c r="AM7" s="359" t="s">
        <v>230</v>
      </c>
      <c r="AN7" s="360"/>
      <c r="AO7" s="360"/>
      <c r="AP7" s="361"/>
      <c r="AQ7" s="359" t="s">
        <v>230</v>
      </c>
      <c r="AR7" s="360"/>
      <c r="AS7" s="360"/>
      <c r="AT7" s="361"/>
      <c r="AU7" s="359" t="s">
        <v>230</v>
      </c>
      <c r="AV7" s="360"/>
      <c r="AW7" s="360"/>
      <c r="AX7" s="361"/>
      <c r="AZ7" s="9" t="s">
        <v>232</v>
      </c>
      <c r="BA7" s="13" t="s">
        <v>188</v>
      </c>
      <c r="BB7" s="1"/>
      <c r="BC7" s="1"/>
    </row>
    <row r="8" spans="1:55" ht="15.75">
      <c r="A8" s="206" t="s">
        <v>212</v>
      </c>
      <c r="B8" s="192">
        <v>33389.54</v>
      </c>
      <c r="C8" s="341">
        <f>SUM('01'!L25:'01'!L29)</f>
        <v>2593.46</v>
      </c>
      <c r="D8" s="342"/>
      <c r="E8" s="342"/>
      <c r="F8" s="343"/>
      <c r="G8" s="341">
        <f>SUM('02'!L25:'02'!L29)</f>
        <v>2592.42</v>
      </c>
      <c r="H8" s="342"/>
      <c r="I8" s="342"/>
      <c r="J8" s="343"/>
      <c r="K8" s="341">
        <f>SUM('03'!L25:'03'!L29)</f>
        <v>2526.87</v>
      </c>
      <c r="L8" s="342"/>
      <c r="M8" s="342"/>
      <c r="N8" s="343"/>
      <c r="O8" s="341">
        <f>SUM('04'!L25:'04'!L29)</f>
        <v>2570.56</v>
      </c>
      <c r="P8" s="342"/>
      <c r="Q8" s="342"/>
      <c r="R8" s="343"/>
      <c r="S8" s="341">
        <f>SUM('05'!L25:'05'!L29)</f>
        <v>4448.8500000000004</v>
      </c>
      <c r="T8" s="342"/>
      <c r="U8" s="342"/>
      <c r="V8" s="343"/>
      <c r="W8" s="341">
        <f>SUM('06'!L25:'06'!L29)</f>
        <v>0</v>
      </c>
      <c r="X8" s="342"/>
      <c r="Y8" s="342"/>
      <c r="Z8" s="343"/>
      <c r="AA8" s="341">
        <f>SUM('07'!L25:'07'!L29)</f>
        <v>0</v>
      </c>
      <c r="AB8" s="342"/>
      <c r="AC8" s="342"/>
      <c r="AD8" s="343"/>
      <c r="AE8" s="341">
        <f>SUM('08'!L25:'08'!L29)</f>
        <v>0</v>
      </c>
      <c r="AF8" s="342"/>
      <c r="AG8" s="342"/>
      <c r="AH8" s="343"/>
      <c r="AI8" s="341">
        <f>SUM('09'!L25:'09'!L29)</f>
        <v>0</v>
      </c>
      <c r="AJ8" s="342"/>
      <c r="AK8" s="342"/>
      <c r="AL8" s="343"/>
      <c r="AM8" s="341">
        <f>SUM('10'!L25:'10'!L29)</f>
        <v>0</v>
      </c>
      <c r="AN8" s="342"/>
      <c r="AO8" s="342"/>
      <c r="AP8" s="343"/>
      <c r="AQ8" s="341">
        <f>SUM('11'!L25:'11'!L29)</f>
        <v>0</v>
      </c>
      <c r="AR8" s="342"/>
      <c r="AS8" s="342"/>
      <c r="AT8" s="343"/>
      <c r="AU8" s="341">
        <f>SUM('12'!L25:'12'!L29)</f>
        <v>0</v>
      </c>
      <c r="AV8" s="342"/>
      <c r="AW8" s="342"/>
      <c r="AX8" s="343"/>
      <c r="AZ8" s="209">
        <f>SUM(C8:AU8)</f>
        <v>14732.16</v>
      </c>
      <c r="BA8" s="112">
        <f t="shared" ref="BA8:BA16" ca="1" si="0">AZ8/BC$17</f>
        <v>2946.4319999999998</v>
      </c>
      <c r="BB8" s="1"/>
      <c r="BC8" s="1"/>
    </row>
    <row r="9" spans="1:55" ht="15.75">
      <c r="A9" s="189" t="s">
        <v>213</v>
      </c>
      <c r="B9" s="193">
        <v>5835.74</v>
      </c>
      <c r="C9" s="344">
        <f>SUM('01'!L30:'01'!L34)</f>
        <v>655.59</v>
      </c>
      <c r="D9" s="345"/>
      <c r="E9" s="345"/>
      <c r="F9" s="346"/>
      <c r="G9" s="344">
        <f>SUM('02'!L30:'02'!L34)</f>
        <v>760.26</v>
      </c>
      <c r="H9" s="345"/>
      <c r="I9" s="345"/>
      <c r="J9" s="346"/>
      <c r="K9" s="344">
        <f>SUM('03'!L30:'03'!L34)</f>
        <v>516.44000000000005</v>
      </c>
      <c r="L9" s="345"/>
      <c r="M9" s="345"/>
      <c r="N9" s="346"/>
      <c r="O9" s="344">
        <f>SUM('04'!L30:'04'!L34)</f>
        <v>507.54</v>
      </c>
      <c r="P9" s="345"/>
      <c r="Q9" s="345"/>
      <c r="R9" s="346"/>
      <c r="S9" s="344">
        <f>SUM('05'!L30:'05'!L34)</f>
        <v>578.16999999999996</v>
      </c>
      <c r="T9" s="345"/>
      <c r="U9" s="345"/>
      <c r="V9" s="346"/>
      <c r="W9" s="344">
        <f>SUM('06'!L30:'06'!L34)</f>
        <v>0</v>
      </c>
      <c r="X9" s="345"/>
      <c r="Y9" s="345"/>
      <c r="Z9" s="346"/>
      <c r="AA9" s="344">
        <f>SUM('07'!L30:'07'!L34)</f>
        <v>0</v>
      </c>
      <c r="AB9" s="345"/>
      <c r="AC9" s="345"/>
      <c r="AD9" s="346"/>
      <c r="AE9" s="344">
        <f>SUM('08'!L30:'08'!L34)</f>
        <v>0</v>
      </c>
      <c r="AF9" s="345"/>
      <c r="AG9" s="345"/>
      <c r="AH9" s="346"/>
      <c r="AI9" s="344">
        <f>SUM('09'!L30:'09'!L34)</f>
        <v>0</v>
      </c>
      <c r="AJ9" s="345"/>
      <c r="AK9" s="345"/>
      <c r="AL9" s="346"/>
      <c r="AM9" s="344">
        <f>SUM('10'!L30:'10'!L34)</f>
        <v>0</v>
      </c>
      <c r="AN9" s="345"/>
      <c r="AO9" s="345"/>
      <c r="AP9" s="346"/>
      <c r="AQ9" s="344">
        <f>SUM('11'!L30:'11'!L34)</f>
        <v>0</v>
      </c>
      <c r="AR9" s="345"/>
      <c r="AS9" s="345"/>
      <c r="AT9" s="346"/>
      <c r="AU9" s="344">
        <f>SUM('12'!L30:'12'!L34)</f>
        <v>0</v>
      </c>
      <c r="AV9" s="345"/>
      <c r="AW9" s="345"/>
      <c r="AX9" s="346"/>
      <c r="AZ9" s="210">
        <f t="shared" ref="AZ9:AZ16" si="1">SUM(C9:AW9)</f>
        <v>3018</v>
      </c>
      <c r="BA9" s="112">
        <f t="shared" ca="1" si="0"/>
        <v>603.6</v>
      </c>
      <c r="BB9" s="1"/>
      <c r="BC9" s="1"/>
    </row>
    <row r="10" spans="1:55" ht="15.75">
      <c r="A10" s="190" t="s">
        <v>218</v>
      </c>
      <c r="B10" s="194">
        <v>2731.18</v>
      </c>
      <c r="C10" s="344">
        <f>SUM('01'!L35:'01'!L39)</f>
        <v>120.85</v>
      </c>
      <c r="D10" s="345"/>
      <c r="E10" s="345"/>
      <c r="F10" s="346"/>
      <c r="G10" s="344">
        <f>SUM('02'!L35:'02'!L39)</f>
        <v>107.38</v>
      </c>
      <c r="H10" s="345"/>
      <c r="I10" s="345"/>
      <c r="J10" s="346"/>
      <c r="K10" s="344">
        <f>SUM('03'!L35:'03'!L39)</f>
        <v>91.73</v>
      </c>
      <c r="L10" s="345"/>
      <c r="M10" s="345"/>
      <c r="N10" s="346"/>
      <c r="O10" s="344">
        <f>SUM('04'!L35:'04'!L39)</f>
        <v>204.23</v>
      </c>
      <c r="P10" s="345"/>
      <c r="Q10" s="345"/>
      <c r="R10" s="346"/>
      <c r="S10" s="344">
        <f>SUM('05'!L35:'05'!L39)</f>
        <v>0</v>
      </c>
      <c r="T10" s="345"/>
      <c r="U10" s="345"/>
      <c r="V10" s="346"/>
      <c r="W10" s="347">
        <f>SUM('06'!L35:'06'!L39)</f>
        <v>0</v>
      </c>
      <c r="X10" s="348"/>
      <c r="Y10" s="348"/>
      <c r="Z10" s="349"/>
      <c r="AA10" s="347">
        <f>SUM('07'!L35:'07'!L39)</f>
        <v>0</v>
      </c>
      <c r="AB10" s="348"/>
      <c r="AC10" s="348"/>
      <c r="AD10" s="349"/>
      <c r="AE10" s="347">
        <f>SUM('08'!L35:'08'!L39)</f>
        <v>0</v>
      </c>
      <c r="AF10" s="348"/>
      <c r="AG10" s="348"/>
      <c r="AH10" s="349"/>
      <c r="AI10" s="347">
        <f>SUM('09'!L35:'09'!L39)</f>
        <v>0</v>
      </c>
      <c r="AJ10" s="348"/>
      <c r="AK10" s="348"/>
      <c r="AL10" s="349"/>
      <c r="AM10" s="347">
        <f>SUM('10'!L35:'10'!L39)</f>
        <v>0</v>
      </c>
      <c r="AN10" s="348"/>
      <c r="AO10" s="348"/>
      <c r="AP10" s="349"/>
      <c r="AQ10" s="347">
        <f>SUM('11'!L35:'11'!L39)</f>
        <v>0</v>
      </c>
      <c r="AR10" s="348"/>
      <c r="AS10" s="348"/>
      <c r="AT10" s="349"/>
      <c r="AU10" s="347">
        <f>SUM('12'!L35:'12'!L39)</f>
        <v>0</v>
      </c>
      <c r="AV10" s="348"/>
      <c r="AW10" s="348"/>
      <c r="AX10" s="349"/>
      <c r="AZ10" s="211">
        <f t="shared" si="1"/>
        <v>524.18999999999994</v>
      </c>
      <c r="BA10" s="112">
        <f t="shared" ca="1" si="0"/>
        <v>104.83799999999999</v>
      </c>
      <c r="BB10" s="1"/>
      <c r="BC10" s="1"/>
    </row>
    <row r="11" spans="1:55" ht="15.75">
      <c r="A11" s="189" t="s">
        <v>214</v>
      </c>
      <c r="B11" s="193">
        <v>2906.88</v>
      </c>
      <c r="C11" s="344">
        <f>SUM('01'!L40:'01'!L44)</f>
        <v>3.87</v>
      </c>
      <c r="D11" s="345"/>
      <c r="E11" s="345"/>
      <c r="F11" s="346"/>
      <c r="G11" s="344">
        <f>SUM('02'!L40:'02'!L44)</f>
        <v>0</v>
      </c>
      <c r="H11" s="345"/>
      <c r="I11" s="345"/>
      <c r="J11" s="346"/>
      <c r="K11" s="344">
        <f>SUM('03'!L40:'03'!L44)</f>
        <v>0</v>
      </c>
      <c r="L11" s="345"/>
      <c r="M11" s="345"/>
      <c r="N11" s="346"/>
      <c r="O11" s="344">
        <f>SUM('04'!L40:'04'!L44)</f>
        <v>356.59</v>
      </c>
      <c r="P11" s="345"/>
      <c r="Q11" s="345"/>
      <c r="R11" s="346"/>
      <c r="S11" s="344">
        <f>SUM('05'!L40:'05'!L44)</f>
        <v>45.86</v>
      </c>
      <c r="T11" s="345"/>
      <c r="U11" s="345"/>
      <c r="V11" s="346"/>
      <c r="W11" s="344">
        <f>SUM('06'!L40:'06'!L44)</f>
        <v>0</v>
      </c>
      <c r="X11" s="345"/>
      <c r="Y11" s="345"/>
      <c r="Z11" s="346"/>
      <c r="AA11" s="344">
        <f>SUM('07'!L40:'07'!L44)</f>
        <v>0</v>
      </c>
      <c r="AB11" s="345"/>
      <c r="AC11" s="345"/>
      <c r="AD11" s="346"/>
      <c r="AE11" s="344">
        <f>SUM('08'!L40:'08'!L44)</f>
        <v>0</v>
      </c>
      <c r="AF11" s="345"/>
      <c r="AG11" s="345"/>
      <c r="AH11" s="346"/>
      <c r="AI11" s="344">
        <f>SUM('09'!L40:'09'!L44)</f>
        <v>0</v>
      </c>
      <c r="AJ11" s="345"/>
      <c r="AK11" s="345"/>
      <c r="AL11" s="346"/>
      <c r="AM11" s="344">
        <f>SUM('10'!L40:'10'!L44)</f>
        <v>0</v>
      </c>
      <c r="AN11" s="345"/>
      <c r="AO11" s="345"/>
      <c r="AP11" s="346"/>
      <c r="AQ11" s="344">
        <f>SUM('11'!L40:'11'!L44)</f>
        <v>0</v>
      </c>
      <c r="AR11" s="345"/>
      <c r="AS11" s="345"/>
      <c r="AT11" s="346"/>
      <c r="AU11" s="344">
        <f>SUM('12'!L40:'12'!L44)</f>
        <v>0</v>
      </c>
      <c r="AV11" s="345"/>
      <c r="AW11" s="345"/>
      <c r="AX11" s="346"/>
      <c r="AZ11" s="210">
        <f t="shared" si="1"/>
        <v>406.32</v>
      </c>
      <c r="BA11" s="112">
        <f t="shared" ca="1" si="0"/>
        <v>81.263999999999996</v>
      </c>
      <c r="BB11" s="1"/>
      <c r="BC11" s="1"/>
    </row>
    <row r="12" spans="1:55" ht="15.75">
      <c r="A12" s="190" t="s">
        <v>23</v>
      </c>
      <c r="B12" s="194">
        <v>3325.31</v>
      </c>
      <c r="C12" s="344">
        <f>SUM('01'!L45:'01'!L49)</f>
        <v>137</v>
      </c>
      <c r="D12" s="345"/>
      <c r="E12" s="345"/>
      <c r="F12" s="346"/>
      <c r="G12" s="344">
        <f>SUM('02'!L45:'02'!L49)</f>
        <v>600.04</v>
      </c>
      <c r="H12" s="345"/>
      <c r="I12" s="345"/>
      <c r="J12" s="346"/>
      <c r="K12" s="344">
        <f>SUM('03'!L45:'03'!L49)</f>
        <v>380</v>
      </c>
      <c r="L12" s="345"/>
      <c r="M12" s="345"/>
      <c r="N12" s="346"/>
      <c r="O12" s="344">
        <f>SUM('04'!L45:'04'!L49)</f>
        <v>0</v>
      </c>
      <c r="P12" s="345"/>
      <c r="Q12" s="345"/>
      <c r="R12" s="346"/>
      <c r="S12" s="344">
        <f>SUM('05'!L45:'05'!L49)</f>
        <v>0</v>
      </c>
      <c r="T12" s="345"/>
      <c r="U12" s="345"/>
      <c r="V12" s="346"/>
      <c r="W12" s="347">
        <f>SUM('06'!L45:'06'!L49)</f>
        <v>0</v>
      </c>
      <c r="X12" s="348"/>
      <c r="Y12" s="348"/>
      <c r="Z12" s="349"/>
      <c r="AA12" s="347">
        <f>SUM('07'!L45:'07'!L49)</f>
        <v>0</v>
      </c>
      <c r="AB12" s="348"/>
      <c r="AC12" s="348"/>
      <c r="AD12" s="349"/>
      <c r="AE12" s="347">
        <f>SUM('08'!L45:'08'!L49)</f>
        <v>0</v>
      </c>
      <c r="AF12" s="348"/>
      <c r="AG12" s="348"/>
      <c r="AH12" s="349"/>
      <c r="AI12" s="347">
        <f>SUM('09'!L45:'09'!L49)</f>
        <v>0</v>
      </c>
      <c r="AJ12" s="348"/>
      <c r="AK12" s="348"/>
      <c r="AL12" s="349"/>
      <c r="AM12" s="347">
        <f>SUM('10'!L45:'10'!L49)</f>
        <v>0</v>
      </c>
      <c r="AN12" s="348"/>
      <c r="AO12" s="348"/>
      <c r="AP12" s="349"/>
      <c r="AQ12" s="347">
        <f>SUM('11'!L45:'11'!L49)</f>
        <v>0</v>
      </c>
      <c r="AR12" s="348"/>
      <c r="AS12" s="348"/>
      <c r="AT12" s="349"/>
      <c r="AU12" s="347">
        <f>SUM('12'!L45:'12'!L49)</f>
        <v>0</v>
      </c>
      <c r="AV12" s="348"/>
      <c r="AW12" s="348"/>
      <c r="AX12" s="349"/>
      <c r="AZ12" s="211">
        <f t="shared" si="1"/>
        <v>1117.04</v>
      </c>
      <c r="BA12" s="112">
        <f t="shared" ca="1" si="0"/>
        <v>223.40799999999999</v>
      </c>
      <c r="BB12" s="1"/>
      <c r="BC12" s="1"/>
    </row>
    <row r="13" spans="1:55" ht="15.75">
      <c r="A13" s="189" t="s">
        <v>215</v>
      </c>
      <c r="B13" s="195">
        <v>3443.8099999999995</v>
      </c>
      <c r="C13" s="344">
        <f>SUM('01'!L50:'01'!L54)</f>
        <v>95.8</v>
      </c>
      <c r="D13" s="345"/>
      <c r="E13" s="345"/>
      <c r="F13" s="346"/>
      <c r="G13" s="344">
        <f>SUM('02'!L50:'02'!L54)</f>
        <v>95.8</v>
      </c>
      <c r="H13" s="345"/>
      <c r="I13" s="345"/>
      <c r="J13" s="346"/>
      <c r="K13" s="344">
        <f>SUM('03'!L50:'03'!L54)</f>
        <v>4517.74</v>
      </c>
      <c r="L13" s="345"/>
      <c r="M13" s="345"/>
      <c r="N13" s="346"/>
      <c r="O13" s="344">
        <f>SUM('04'!L50:'04'!L54)</f>
        <v>95.8</v>
      </c>
      <c r="P13" s="345"/>
      <c r="Q13" s="345"/>
      <c r="R13" s="346"/>
      <c r="S13" s="344">
        <f>SUM('05'!L50:'05'!L54)</f>
        <v>95.8</v>
      </c>
      <c r="T13" s="345"/>
      <c r="U13" s="345"/>
      <c r="V13" s="346"/>
      <c r="W13" s="344">
        <f>SUM('06'!L50:'06'!L54)</f>
        <v>0</v>
      </c>
      <c r="X13" s="345"/>
      <c r="Y13" s="345"/>
      <c r="Z13" s="346"/>
      <c r="AA13" s="344">
        <f>SUM('07'!L50:'07'!L54)</f>
        <v>0</v>
      </c>
      <c r="AB13" s="345"/>
      <c r="AC13" s="345"/>
      <c r="AD13" s="346"/>
      <c r="AE13" s="344">
        <f>SUM('08'!L50:'08'!L54)</f>
        <v>0</v>
      </c>
      <c r="AF13" s="345"/>
      <c r="AG13" s="345"/>
      <c r="AH13" s="346"/>
      <c r="AI13" s="344">
        <f>SUM('09'!L50:'09'!L54)</f>
        <v>0</v>
      </c>
      <c r="AJ13" s="345"/>
      <c r="AK13" s="345"/>
      <c r="AL13" s="346"/>
      <c r="AM13" s="344">
        <f>SUM('10'!L50:'10'!L54)</f>
        <v>0</v>
      </c>
      <c r="AN13" s="345"/>
      <c r="AO13" s="345"/>
      <c r="AP13" s="346"/>
      <c r="AQ13" s="344">
        <f>SUM('11'!L50:'11'!L54)</f>
        <v>0</v>
      </c>
      <c r="AR13" s="345"/>
      <c r="AS13" s="345"/>
      <c r="AT13" s="346"/>
      <c r="AU13" s="344">
        <f>SUM('12'!L50:'12'!L54)</f>
        <v>0</v>
      </c>
      <c r="AV13" s="345"/>
      <c r="AW13" s="345"/>
      <c r="AX13" s="346"/>
      <c r="AZ13" s="212">
        <f t="shared" si="1"/>
        <v>4900.9400000000005</v>
      </c>
      <c r="BA13" s="112">
        <f t="shared" ca="1" si="0"/>
        <v>980.1880000000001</v>
      </c>
      <c r="BB13" s="1"/>
      <c r="BC13" s="1"/>
    </row>
    <row r="14" spans="1:55" ht="15.75">
      <c r="A14" s="190" t="s">
        <v>216</v>
      </c>
      <c r="B14" s="194">
        <v>364.62</v>
      </c>
      <c r="C14" s="344">
        <f>SUM('01'!L55:'01'!L59)</f>
        <v>0</v>
      </c>
      <c r="D14" s="345"/>
      <c r="E14" s="345"/>
      <c r="F14" s="346"/>
      <c r="G14" s="344">
        <f>SUM('02'!L55:'02'!L59)</f>
        <v>0</v>
      </c>
      <c r="H14" s="345"/>
      <c r="I14" s="345"/>
      <c r="J14" s="346"/>
      <c r="K14" s="344">
        <f>SUM('03'!L55:'03'!L59)</f>
        <v>9.44</v>
      </c>
      <c r="L14" s="345"/>
      <c r="M14" s="345"/>
      <c r="N14" s="346"/>
      <c r="O14" s="344">
        <f>SUM('04'!L55:'04'!L59)</f>
        <v>37.980000000000004</v>
      </c>
      <c r="P14" s="345"/>
      <c r="Q14" s="345"/>
      <c r="R14" s="346"/>
      <c r="S14" s="344">
        <f>SUM('05'!L55:'05'!L59)</f>
        <v>17.350000000000001</v>
      </c>
      <c r="T14" s="345"/>
      <c r="U14" s="345"/>
      <c r="V14" s="346"/>
      <c r="W14" s="347">
        <f>SUM('06'!L55:'06'!L59)</f>
        <v>0</v>
      </c>
      <c r="X14" s="348"/>
      <c r="Y14" s="348"/>
      <c r="Z14" s="349"/>
      <c r="AA14" s="347">
        <f>SUM('07'!L55:'07'!L59)</f>
        <v>0</v>
      </c>
      <c r="AB14" s="348"/>
      <c r="AC14" s="348"/>
      <c r="AD14" s="349"/>
      <c r="AE14" s="347">
        <f>SUM('08'!L55:'08'!L59)</f>
        <v>0</v>
      </c>
      <c r="AF14" s="348"/>
      <c r="AG14" s="348"/>
      <c r="AH14" s="349"/>
      <c r="AI14" s="347">
        <f>SUM('09'!L55:'09'!L59)</f>
        <v>0</v>
      </c>
      <c r="AJ14" s="348"/>
      <c r="AK14" s="348"/>
      <c r="AL14" s="349"/>
      <c r="AM14" s="347">
        <f>SUM('10'!L55:'10'!L59)</f>
        <v>0</v>
      </c>
      <c r="AN14" s="348"/>
      <c r="AO14" s="348"/>
      <c r="AP14" s="349"/>
      <c r="AQ14" s="347">
        <f>SUM('11'!L55:'11'!L59)</f>
        <v>0</v>
      </c>
      <c r="AR14" s="348"/>
      <c r="AS14" s="348"/>
      <c r="AT14" s="349"/>
      <c r="AU14" s="347">
        <f>SUM('12'!L55:'12'!L59)</f>
        <v>0</v>
      </c>
      <c r="AV14" s="348"/>
      <c r="AW14" s="348"/>
      <c r="AX14" s="349"/>
      <c r="AZ14" s="211">
        <f t="shared" si="1"/>
        <v>64.77000000000001</v>
      </c>
      <c r="BA14" s="112">
        <f t="shared" ca="1" si="0"/>
        <v>12.954000000000002</v>
      </c>
      <c r="BB14" s="3"/>
      <c r="BC14" s="3"/>
    </row>
    <row r="15" spans="1:55" ht="15.75">
      <c r="A15" s="189" t="s">
        <v>217</v>
      </c>
      <c r="B15" s="193">
        <v>7756.04</v>
      </c>
      <c r="C15" s="344">
        <f>SUM('01'!L60:'01'!L64)</f>
        <v>0</v>
      </c>
      <c r="D15" s="345"/>
      <c r="E15" s="345"/>
      <c r="F15" s="346"/>
      <c r="G15" s="344">
        <f>SUM('02'!L60:'02'!L64)</f>
        <v>665.77</v>
      </c>
      <c r="H15" s="345"/>
      <c r="I15" s="345"/>
      <c r="J15" s="346"/>
      <c r="K15" s="344">
        <f>SUM('03'!L60:'03'!L64)</f>
        <v>682.39</v>
      </c>
      <c r="L15" s="345"/>
      <c r="M15" s="345"/>
      <c r="N15" s="346"/>
      <c r="O15" s="344">
        <f>SUM('04'!L60:'04'!L64)</f>
        <v>550</v>
      </c>
      <c r="P15" s="345"/>
      <c r="Q15" s="345"/>
      <c r="R15" s="346"/>
      <c r="S15" s="344">
        <f>SUM('05'!L60:'05'!L64)</f>
        <v>652.44000000000005</v>
      </c>
      <c r="T15" s="345"/>
      <c r="U15" s="345"/>
      <c r="V15" s="346"/>
      <c r="W15" s="344">
        <f>SUM('06'!L60:'06'!L64)</f>
        <v>0</v>
      </c>
      <c r="X15" s="345"/>
      <c r="Y15" s="345"/>
      <c r="Z15" s="346"/>
      <c r="AA15" s="344">
        <f>SUM('07'!L60:'07'!L64)</f>
        <v>0</v>
      </c>
      <c r="AB15" s="345"/>
      <c r="AC15" s="345"/>
      <c r="AD15" s="346"/>
      <c r="AE15" s="344">
        <f>SUM('08'!L60:'08'!L64)</f>
        <v>0</v>
      </c>
      <c r="AF15" s="345"/>
      <c r="AG15" s="345"/>
      <c r="AH15" s="346"/>
      <c r="AI15" s="344">
        <f>SUM('09'!L60:'09'!L64)</f>
        <v>0</v>
      </c>
      <c r="AJ15" s="345"/>
      <c r="AK15" s="345"/>
      <c r="AL15" s="346"/>
      <c r="AM15" s="344">
        <f>SUM('10'!L60:'10'!L64)</f>
        <v>0</v>
      </c>
      <c r="AN15" s="345"/>
      <c r="AO15" s="345"/>
      <c r="AP15" s="346"/>
      <c r="AQ15" s="344">
        <f>SUM('11'!L60:'11'!L64)</f>
        <v>0</v>
      </c>
      <c r="AR15" s="345"/>
      <c r="AS15" s="345"/>
      <c r="AT15" s="346"/>
      <c r="AU15" s="344">
        <f>SUM('12'!L60:'12'!L64)</f>
        <v>0</v>
      </c>
      <c r="AV15" s="345"/>
      <c r="AW15" s="345"/>
      <c r="AX15" s="346"/>
      <c r="AZ15" s="210">
        <f t="shared" si="1"/>
        <v>2550.6</v>
      </c>
      <c r="BA15" s="112">
        <f t="shared" ca="1" si="0"/>
        <v>510.12</v>
      </c>
      <c r="BB15" s="1"/>
      <c r="BC15" s="1"/>
    </row>
    <row r="16" spans="1:55" ht="16.5" thickBot="1">
      <c r="A16" s="191" t="s">
        <v>42</v>
      </c>
      <c r="B16" s="196">
        <v>2018.96</v>
      </c>
      <c r="C16" s="344">
        <f>SUM('01'!L65:'01'!L69)</f>
        <v>85</v>
      </c>
      <c r="D16" s="345"/>
      <c r="E16" s="345"/>
      <c r="F16" s="346"/>
      <c r="G16" s="344">
        <f>SUM('02'!L65:'02'!L69)</f>
        <v>0</v>
      </c>
      <c r="H16" s="345"/>
      <c r="I16" s="345"/>
      <c r="J16" s="346"/>
      <c r="K16" s="344">
        <f>SUM('03'!L65:'03'!L69)</f>
        <v>0</v>
      </c>
      <c r="L16" s="345"/>
      <c r="M16" s="345"/>
      <c r="N16" s="346"/>
      <c r="O16" s="344">
        <f>SUM('04'!L65:'04'!L69)</f>
        <v>0</v>
      </c>
      <c r="P16" s="345"/>
      <c r="Q16" s="345"/>
      <c r="R16" s="346"/>
      <c r="S16" s="344">
        <f>SUM('05'!L65:'05'!L69)</f>
        <v>0</v>
      </c>
      <c r="T16" s="345"/>
      <c r="U16" s="345"/>
      <c r="V16" s="346"/>
      <c r="W16" s="350">
        <f>SUM('06'!L65:'06'!L69)</f>
        <v>0</v>
      </c>
      <c r="X16" s="351"/>
      <c r="Y16" s="351"/>
      <c r="Z16" s="352"/>
      <c r="AA16" s="350">
        <f>SUM('07'!L65:'07'!L69)</f>
        <v>0</v>
      </c>
      <c r="AB16" s="351"/>
      <c r="AC16" s="351"/>
      <c r="AD16" s="352"/>
      <c r="AE16" s="350">
        <f>SUM('08'!L65:'08'!L69)</f>
        <v>0</v>
      </c>
      <c r="AF16" s="351"/>
      <c r="AG16" s="351"/>
      <c r="AH16" s="352"/>
      <c r="AI16" s="350">
        <f>SUM('09'!L65:'09'!L69)</f>
        <v>0</v>
      </c>
      <c r="AJ16" s="351"/>
      <c r="AK16" s="351"/>
      <c r="AL16" s="352"/>
      <c r="AM16" s="350">
        <f>SUM('10'!L65:'10'!L69)</f>
        <v>0</v>
      </c>
      <c r="AN16" s="351"/>
      <c r="AO16" s="351"/>
      <c r="AP16" s="352"/>
      <c r="AQ16" s="350">
        <f>SUM('11'!L65:'11'!L69)</f>
        <v>0</v>
      </c>
      <c r="AR16" s="351"/>
      <c r="AS16" s="351"/>
      <c r="AT16" s="352"/>
      <c r="AU16" s="350">
        <f>SUM('12'!L65:'12'!L69)</f>
        <v>0</v>
      </c>
      <c r="AV16" s="351"/>
      <c r="AW16" s="351"/>
      <c r="AX16" s="352"/>
      <c r="AZ16" s="213">
        <f t="shared" si="1"/>
        <v>85</v>
      </c>
      <c r="BA16" s="112">
        <f t="shared" ca="1" si="0"/>
        <v>17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364">
        <f>SUM(C8:C16)</f>
        <v>3691.57</v>
      </c>
      <c r="D17" s="365"/>
      <c r="E17" s="365"/>
      <c r="F17" s="366"/>
      <c r="G17" s="364">
        <f>SUM(G8:G16)</f>
        <v>4821.67</v>
      </c>
      <c r="H17" s="365"/>
      <c r="I17" s="365"/>
      <c r="J17" s="366"/>
      <c r="K17" s="364">
        <f>SUM(K8:K16)</f>
        <v>8724.6099999999988</v>
      </c>
      <c r="L17" s="365"/>
      <c r="M17" s="365"/>
      <c r="N17" s="366"/>
      <c r="O17" s="364">
        <f>SUM(O8:O16)</f>
        <v>4322.7000000000007</v>
      </c>
      <c r="P17" s="365"/>
      <c r="Q17" s="365"/>
      <c r="R17" s="366"/>
      <c r="S17" s="364">
        <f>SUM(S8:S16)</f>
        <v>5838.4700000000012</v>
      </c>
      <c r="T17" s="365"/>
      <c r="U17" s="365"/>
      <c r="V17" s="366"/>
      <c r="W17" s="364">
        <f>SUM(W8:W16)</f>
        <v>0</v>
      </c>
      <c r="X17" s="365"/>
      <c r="Y17" s="365"/>
      <c r="Z17" s="366"/>
      <c r="AA17" s="364">
        <f>SUM(AA8:AA16)</f>
        <v>0</v>
      </c>
      <c r="AB17" s="365"/>
      <c r="AC17" s="365"/>
      <c r="AD17" s="366"/>
      <c r="AE17" s="364">
        <f>SUM(AE8:AE16)</f>
        <v>0</v>
      </c>
      <c r="AF17" s="365"/>
      <c r="AG17" s="365"/>
      <c r="AH17" s="366"/>
      <c r="AI17" s="364">
        <f>SUM(AI8:AI16)</f>
        <v>0</v>
      </c>
      <c r="AJ17" s="365"/>
      <c r="AK17" s="365"/>
      <c r="AL17" s="366"/>
      <c r="AM17" s="364">
        <f>SUM(AM8:AM16)</f>
        <v>0</v>
      </c>
      <c r="AN17" s="365"/>
      <c r="AO17" s="365"/>
      <c r="AP17" s="366"/>
      <c r="AQ17" s="364">
        <f>SUM(AQ8:AQ16)</f>
        <v>0</v>
      </c>
      <c r="AR17" s="365"/>
      <c r="AS17" s="365"/>
      <c r="AT17" s="366"/>
      <c r="AU17" s="364">
        <f>SUM(AU8:AU16)</f>
        <v>0</v>
      </c>
      <c r="AV17" s="365"/>
      <c r="AW17" s="365"/>
      <c r="AX17" s="366"/>
      <c r="AZ17" s="227">
        <f>SUM(AZ8:AZ16)</f>
        <v>27399.02</v>
      </c>
      <c r="BA17" s="112">
        <f ca="1">AZ17/BC$17</f>
        <v>5479.8040000000001</v>
      </c>
      <c r="BB17" s="1" t="s">
        <v>83</v>
      </c>
      <c r="BC17" s="1">
        <f ca="1">MONTH(TODAY())</f>
        <v>5</v>
      </c>
      <c r="BD17" s="39"/>
    </row>
    <row r="18" spans="1:62" ht="32.25" customHeight="1" thickTop="1" thickBot="1">
      <c r="A18" s="10"/>
      <c r="B18" s="10"/>
      <c r="C18" s="367"/>
      <c r="D18" s="367"/>
      <c r="E18" s="367"/>
      <c r="F18" s="367"/>
      <c r="G18" s="367"/>
      <c r="H18" s="367"/>
      <c r="I18" s="367"/>
      <c r="J18" s="367"/>
      <c r="K18" s="367"/>
      <c r="L18" s="367"/>
      <c r="M18" s="367"/>
      <c r="N18" s="367"/>
      <c r="O18" s="367"/>
      <c r="P18" s="367"/>
      <c r="Q18" s="367"/>
      <c r="R18" s="367"/>
      <c r="S18" s="367"/>
      <c r="T18" s="367"/>
      <c r="U18" s="367"/>
      <c r="V18" s="367"/>
      <c r="W18" s="367"/>
      <c r="X18" s="367"/>
      <c r="Y18" s="367"/>
      <c r="Z18" s="367"/>
      <c r="AA18" s="367"/>
      <c r="AB18" s="367"/>
      <c r="AC18" s="367"/>
      <c r="AD18" s="367"/>
      <c r="AE18" s="367"/>
      <c r="AF18" s="367"/>
      <c r="AG18" s="367"/>
      <c r="AH18" s="367"/>
      <c r="AI18" s="367"/>
      <c r="AJ18" s="367"/>
      <c r="AK18" s="367"/>
      <c r="AL18" s="367"/>
      <c r="AM18" s="367"/>
      <c r="AN18" s="367"/>
      <c r="AO18" s="367"/>
      <c r="AP18" s="367"/>
      <c r="AQ18" s="367"/>
      <c r="AR18" s="367"/>
      <c r="AS18" s="367"/>
      <c r="AT18" s="367"/>
      <c r="AU18" s="367" t="s">
        <v>173</v>
      </c>
      <c r="AV18" s="367"/>
      <c r="AW18" s="367"/>
      <c r="AX18" s="367"/>
      <c r="AZ18" s="131">
        <f>(2500*13)+(600*12)+(550*12)+(95*12)</f>
        <v>47440</v>
      </c>
      <c r="BA18" s="131">
        <f ca="1">12*BA17</f>
        <v>65757.648000000001</v>
      </c>
      <c r="BB18" s="1"/>
      <c r="BC18" s="1"/>
    </row>
    <row r="19" spans="1:62" ht="17.25" thickTop="1" thickBot="1">
      <c r="A19" s="24" t="s">
        <v>7</v>
      </c>
      <c r="B19" s="24" t="s">
        <v>210</v>
      </c>
      <c r="C19" s="178" t="s">
        <v>54</v>
      </c>
      <c r="D19" s="179" t="s">
        <v>211</v>
      </c>
      <c r="E19" s="179" t="s">
        <v>9</v>
      </c>
      <c r="F19" s="180" t="s">
        <v>10</v>
      </c>
      <c r="G19" s="178" t="s">
        <v>54</v>
      </c>
      <c r="H19" s="179" t="s">
        <v>211</v>
      </c>
      <c r="I19" s="179" t="s">
        <v>9</v>
      </c>
      <c r="J19" s="180" t="s">
        <v>10</v>
      </c>
      <c r="K19" s="178" t="s">
        <v>54</v>
      </c>
      <c r="L19" s="179" t="s">
        <v>211</v>
      </c>
      <c r="M19" s="179" t="s">
        <v>9</v>
      </c>
      <c r="N19" s="180" t="s">
        <v>10</v>
      </c>
      <c r="O19" s="178" t="s">
        <v>54</v>
      </c>
      <c r="P19" s="179" t="s">
        <v>211</v>
      </c>
      <c r="Q19" s="179" t="s">
        <v>9</v>
      </c>
      <c r="R19" s="180" t="s">
        <v>10</v>
      </c>
      <c r="S19" s="178" t="s">
        <v>54</v>
      </c>
      <c r="T19" s="179" t="s">
        <v>211</v>
      </c>
      <c r="U19" s="179" t="s">
        <v>9</v>
      </c>
      <c r="V19" s="180" t="s">
        <v>10</v>
      </c>
      <c r="W19" s="178" t="s">
        <v>54</v>
      </c>
      <c r="X19" s="179" t="s">
        <v>211</v>
      </c>
      <c r="Y19" s="179" t="s">
        <v>9</v>
      </c>
      <c r="Z19" s="180" t="s">
        <v>10</v>
      </c>
      <c r="AA19" s="178" t="s">
        <v>54</v>
      </c>
      <c r="AB19" s="179" t="s">
        <v>211</v>
      </c>
      <c r="AC19" s="179" t="s">
        <v>9</v>
      </c>
      <c r="AD19" s="180" t="s">
        <v>10</v>
      </c>
      <c r="AE19" s="178" t="s">
        <v>54</v>
      </c>
      <c r="AF19" s="179" t="s">
        <v>211</v>
      </c>
      <c r="AG19" s="179" t="s">
        <v>9</v>
      </c>
      <c r="AH19" s="180" t="s">
        <v>10</v>
      </c>
      <c r="AI19" s="178" t="s">
        <v>54</v>
      </c>
      <c r="AJ19" s="179" t="s">
        <v>211</v>
      </c>
      <c r="AK19" s="179" t="s">
        <v>9</v>
      </c>
      <c r="AL19" s="180" t="s">
        <v>10</v>
      </c>
      <c r="AM19" s="178" t="s">
        <v>54</v>
      </c>
      <c r="AN19" s="179" t="s">
        <v>211</v>
      </c>
      <c r="AO19" s="179" t="s">
        <v>9</v>
      </c>
      <c r="AP19" s="180" t="s">
        <v>10</v>
      </c>
      <c r="AQ19" s="178" t="s">
        <v>54</v>
      </c>
      <c r="AR19" s="179" t="s">
        <v>211</v>
      </c>
      <c r="AS19" s="179" t="s">
        <v>9</v>
      </c>
      <c r="AT19" s="180" t="s">
        <v>10</v>
      </c>
      <c r="AU19" s="178" t="s">
        <v>54</v>
      </c>
      <c r="AV19" s="179" t="s">
        <v>211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189</v>
      </c>
      <c r="BF19" s="13" t="s">
        <v>192</v>
      </c>
      <c r="BG19" s="13" t="s">
        <v>190</v>
      </c>
      <c r="BH19" s="13" t="s">
        <v>191</v>
      </c>
      <c r="BJ19" s="12" t="s">
        <v>231</v>
      </c>
    </row>
    <row r="20" spans="1:62" ht="15.75">
      <c r="A20" s="141" t="s">
        <v>176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25.319999999999709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21.559999999999718</v>
      </c>
      <c r="S20" s="143" t="s">
        <v>71</v>
      </c>
      <c r="T20" s="144">
        <f>'05'!B20</f>
        <v>646.44000000000005</v>
      </c>
      <c r="U20" s="144">
        <f>SUM('05'!D20:F20)</f>
        <v>42.239999999999995</v>
      </c>
      <c r="V20" s="145">
        <f t="shared" ref="V20:V45" si="6">R20+T20-U20</f>
        <v>625.75999999999976</v>
      </c>
      <c r="W20" s="143" t="s">
        <v>70</v>
      </c>
      <c r="X20" s="144">
        <f>'06'!B20</f>
        <v>544</v>
      </c>
      <c r="Y20" s="144">
        <f>SUM('06'!D20:F20)</f>
        <v>0</v>
      </c>
      <c r="Z20" s="145">
        <f t="shared" ref="Z20:Z45" si="7">V20+X20-Y20</f>
        <v>1169.7599999999998</v>
      </c>
      <c r="AA20" s="143" t="s">
        <v>72</v>
      </c>
      <c r="AB20" s="144">
        <f>'07'!B20</f>
        <v>544</v>
      </c>
      <c r="AC20" s="144">
        <f>SUM('07'!D20:F20)</f>
        <v>0</v>
      </c>
      <c r="AD20" s="145">
        <f t="shared" ref="AD20:AD45" si="8">Z20+AB20-AC20</f>
        <v>1713.7599999999998</v>
      </c>
      <c r="AE20" s="143" t="s">
        <v>73</v>
      </c>
      <c r="AF20" s="144">
        <f>'08'!B20</f>
        <v>544</v>
      </c>
      <c r="AG20" s="144">
        <f>SUM('08'!D20:F20)</f>
        <v>0</v>
      </c>
      <c r="AH20" s="145">
        <f t="shared" ref="AH20:AH45" si="9">AD20+AF20-AG20</f>
        <v>2257.7599999999998</v>
      </c>
      <c r="AI20" s="143" t="s">
        <v>76</v>
      </c>
      <c r="AJ20" s="144">
        <f>'09'!B20</f>
        <v>544</v>
      </c>
      <c r="AK20" s="144">
        <f>SUM('09'!D20:F20)</f>
        <v>0</v>
      </c>
      <c r="AL20" s="145">
        <f t="shared" ref="AL20:AL45" si="10">AH20+AJ20-AK20</f>
        <v>2801.7599999999998</v>
      </c>
      <c r="AM20" s="143" t="s">
        <v>77</v>
      </c>
      <c r="AN20" s="144">
        <f>'10'!B20</f>
        <v>544</v>
      </c>
      <c r="AO20" s="144">
        <f>SUM('10'!D20:F20)</f>
        <v>0</v>
      </c>
      <c r="AP20" s="145">
        <f t="shared" ref="AP20:AP45" si="11">AL20+AN20-AO20</f>
        <v>3345.7599999999998</v>
      </c>
      <c r="AQ20" s="143" t="s">
        <v>80</v>
      </c>
      <c r="AR20" s="144">
        <f>'11'!B20</f>
        <v>544</v>
      </c>
      <c r="AS20" s="144">
        <f>SUM('11'!D20:F20)</f>
        <v>0</v>
      </c>
      <c r="AT20" s="145">
        <f t="shared" ref="AT20:AT45" si="12">AP20+AR20-AS20</f>
        <v>3889.7599999999998</v>
      </c>
      <c r="AU20" s="143" t="s">
        <v>84</v>
      </c>
      <c r="AV20" s="144">
        <f>'12'!B20</f>
        <v>544</v>
      </c>
      <c r="AW20" s="144">
        <f>SUM('12'!D20:F20)</f>
        <v>0</v>
      </c>
      <c r="AX20" s="145">
        <f t="shared" ref="AX20:AX45" si="13">AT20+AV20-AW20</f>
        <v>4433.76</v>
      </c>
      <c r="AZ20" s="123">
        <f t="shared" ref="AZ20:AZ27" si="14">E20+I20+M20+Q20+U20+Y20+AC20+AG20+AK20+AO20+AS20+AW20</f>
        <v>2726.2</v>
      </c>
      <c r="BA20" s="21">
        <f t="shared" ref="BA20:BA45" si="15">AZ20/AZ$46</f>
        <v>0.11296583593558353</v>
      </c>
      <c r="BB20" s="22">
        <f>_xlfn.RANK.EQ(BA20,$BA$20:$BA$45,)</f>
        <v>3</v>
      </c>
      <c r="BC20" s="22">
        <f t="shared" ref="BC20:BC45" ca="1" si="16">AZ20/BC$17</f>
        <v>545.24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2903.18</v>
      </c>
      <c r="BF20" s="21">
        <f t="shared" ref="BF20:BF45" ca="1" si="18">BE20/BE$46</f>
        <v>0.10595926423645807</v>
      </c>
      <c r="BG20" s="22">
        <f ca="1">_xlfn.RANK.EQ(BF20,$BF$20:$BF$45,)</f>
        <v>4</v>
      </c>
      <c r="BH20" s="22">
        <f t="shared" ref="BH20:BH45" ca="1" si="19">BE20/BC$17</f>
        <v>580.63599999999997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176.98000000000013</v>
      </c>
    </row>
    <row r="21" spans="1:62" ht="15.75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371.72999999999956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415.78999999999951</v>
      </c>
      <c r="S21" s="148" t="s">
        <v>71</v>
      </c>
      <c r="T21" s="149">
        <f>'05'!B40</f>
        <v>1148</v>
      </c>
      <c r="U21" s="150">
        <f>SUM('05'!D40:F40)</f>
        <v>1271.76</v>
      </c>
      <c r="V21" s="151">
        <f t="shared" si="6"/>
        <v>292.02999999999952</v>
      </c>
      <c r="W21" s="148" t="s">
        <v>70</v>
      </c>
      <c r="X21" s="149">
        <f>'06'!B40</f>
        <v>1148</v>
      </c>
      <c r="Y21" s="150">
        <f>SUM('06'!D40:F40)</f>
        <v>0</v>
      </c>
      <c r="Z21" s="151">
        <f t="shared" si="7"/>
        <v>1440.0299999999995</v>
      </c>
      <c r="AA21" s="148" t="s">
        <v>72</v>
      </c>
      <c r="AB21" s="149">
        <f>'07'!B40</f>
        <v>1128</v>
      </c>
      <c r="AC21" s="150">
        <f>SUM('07'!D40:F40)</f>
        <v>0</v>
      </c>
      <c r="AD21" s="151">
        <f t="shared" si="8"/>
        <v>2568.0299999999997</v>
      </c>
      <c r="AE21" s="148" t="s">
        <v>73</v>
      </c>
      <c r="AF21" s="149">
        <f>'08'!B40</f>
        <v>1128</v>
      </c>
      <c r="AG21" s="150">
        <f>SUM('08'!D40:F40)</f>
        <v>0</v>
      </c>
      <c r="AH21" s="151">
        <f t="shared" si="9"/>
        <v>3696.0299999999997</v>
      </c>
      <c r="AI21" s="148" t="s">
        <v>76</v>
      </c>
      <c r="AJ21" s="149">
        <f>'09'!B40</f>
        <v>1128</v>
      </c>
      <c r="AK21" s="150">
        <f>SUM('09'!D40:F40)</f>
        <v>0</v>
      </c>
      <c r="AL21" s="151">
        <f t="shared" si="10"/>
        <v>4824.03</v>
      </c>
      <c r="AM21" s="148" t="s">
        <v>77</v>
      </c>
      <c r="AN21" s="149">
        <f>'10'!B40</f>
        <v>1128</v>
      </c>
      <c r="AO21" s="150">
        <f>SUM('10'!D40:F40)</f>
        <v>0</v>
      </c>
      <c r="AP21" s="151">
        <f t="shared" si="11"/>
        <v>5952.03</v>
      </c>
      <c r="AQ21" s="148" t="s">
        <v>80</v>
      </c>
      <c r="AR21" s="149">
        <f>'11'!B40</f>
        <v>1128</v>
      </c>
      <c r="AS21" s="150">
        <f>SUM('11'!D40:F40)</f>
        <v>0</v>
      </c>
      <c r="AT21" s="151">
        <f t="shared" si="12"/>
        <v>7080.03</v>
      </c>
      <c r="AU21" s="148" t="s">
        <v>84</v>
      </c>
      <c r="AV21" s="149">
        <f>'12'!B40</f>
        <v>1128</v>
      </c>
      <c r="AW21" s="150">
        <f>SUM('12'!D40:F40)</f>
        <v>0</v>
      </c>
      <c r="AX21" s="151">
        <f t="shared" si="13"/>
        <v>8208.0299999999988</v>
      </c>
      <c r="AZ21" s="152">
        <f t="shared" si="14"/>
        <v>6125.83</v>
      </c>
      <c r="BA21" s="21">
        <f t="shared" si="15"/>
        <v>0.25383666156161533</v>
      </c>
      <c r="BB21" s="22">
        <f t="shared" ref="BB21:BB45" si="20">_xlfn.RANK.EQ(BA21,$BA$20:$BA$45,)</f>
        <v>1</v>
      </c>
      <c r="BC21" s="22">
        <f t="shared" ca="1" si="16"/>
        <v>1225.1659999999999</v>
      </c>
      <c r="BE21" s="224">
        <f t="shared" ca="1" si="17"/>
        <v>5765</v>
      </c>
      <c r="BF21" s="21">
        <f t="shared" ca="1" si="18"/>
        <v>0.21040898543086575</v>
      </c>
      <c r="BG21" s="22">
        <f t="shared" ref="BG21:BG45" ca="1" si="21">_xlfn.RANK.EQ(BF21,$BF$20:$BF$45,)</f>
        <v>1</v>
      </c>
      <c r="BH21" s="22">
        <f t="shared" ca="1" si="19"/>
        <v>1153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-360.83000000000015</v>
      </c>
    </row>
    <row r="22" spans="1:62" ht="15.75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355.57000000000011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514.1600000000002</v>
      </c>
      <c r="S22" s="143" t="s">
        <v>71</v>
      </c>
      <c r="T22" s="155">
        <f>'05'!B60</f>
        <v>300</v>
      </c>
      <c r="U22" s="155">
        <f>SUM('05'!D60:F60)</f>
        <v>331.26</v>
      </c>
      <c r="V22" s="156">
        <f t="shared" si="6"/>
        <v>482.9000000000002</v>
      </c>
      <c r="W22" s="143" t="s">
        <v>70</v>
      </c>
      <c r="X22" s="155">
        <f>'06'!B60</f>
        <v>300</v>
      </c>
      <c r="Y22" s="155">
        <f>SUM('06'!D60:F60)</f>
        <v>0</v>
      </c>
      <c r="Z22" s="156">
        <f t="shared" si="7"/>
        <v>782.9000000000002</v>
      </c>
      <c r="AA22" s="143" t="s">
        <v>72</v>
      </c>
      <c r="AB22" s="155">
        <f>'07'!B60</f>
        <v>490</v>
      </c>
      <c r="AC22" s="155">
        <f>SUM('07'!D60:F60)</f>
        <v>0</v>
      </c>
      <c r="AD22" s="156">
        <f t="shared" si="8"/>
        <v>1272.9000000000001</v>
      </c>
      <c r="AE22" s="143" t="s">
        <v>73</v>
      </c>
      <c r="AF22" s="155">
        <f>'08'!B60</f>
        <v>490</v>
      </c>
      <c r="AG22" s="155">
        <f>SUM('08'!D60:F60)</f>
        <v>0</v>
      </c>
      <c r="AH22" s="156">
        <f t="shared" si="9"/>
        <v>1762.9</v>
      </c>
      <c r="AI22" s="143" t="s">
        <v>76</v>
      </c>
      <c r="AJ22" s="155">
        <f>'09'!B60</f>
        <v>490</v>
      </c>
      <c r="AK22" s="155">
        <f>SUM('09'!D60:F60)</f>
        <v>0</v>
      </c>
      <c r="AL22" s="156">
        <f t="shared" si="10"/>
        <v>2252.9</v>
      </c>
      <c r="AM22" s="143" t="s">
        <v>77</v>
      </c>
      <c r="AN22" s="155">
        <f>'10'!B60</f>
        <v>490</v>
      </c>
      <c r="AO22" s="155">
        <f>SUM('10'!D60:F60)</f>
        <v>0</v>
      </c>
      <c r="AP22" s="156">
        <f t="shared" si="11"/>
        <v>2742.9</v>
      </c>
      <c r="AQ22" s="143" t="s">
        <v>80</v>
      </c>
      <c r="AR22" s="155">
        <f>'11'!B60</f>
        <v>490</v>
      </c>
      <c r="AS22" s="155">
        <f>SUM('11'!D60:F60)</f>
        <v>0</v>
      </c>
      <c r="AT22" s="156">
        <f t="shared" si="12"/>
        <v>3232.9</v>
      </c>
      <c r="AU22" s="143" t="s">
        <v>84</v>
      </c>
      <c r="AV22" s="155">
        <f>'12'!B60</f>
        <v>490</v>
      </c>
      <c r="AW22" s="155">
        <f>SUM('12'!D60:F60)</f>
        <v>0</v>
      </c>
      <c r="AX22" s="156">
        <f t="shared" si="13"/>
        <v>3722.9</v>
      </c>
      <c r="AZ22" s="157">
        <f t="shared" si="14"/>
        <v>1617.17</v>
      </c>
      <c r="BA22" s="21">
        <f t="shared" si="15"/>
        <v>6.7010843261663719E-2</v>
      </c>
      <c r="BB22" s="22">
        <f t="shared" si="20"/>
        <v>6</v>
      </c>
      <c r="BC22" s="22">
        <f t="shared" ca="1" si="16"/>
        <v>323.43400000000003</v>
      </c>
      <c r="BE22" s="225">
        <f t="shared" ca="1" si="17"/>
        <v>1854</v>
      </c>
      <c r="BF22" s="21">
        <f t="shared" ca="1" si="18"/>
        <v>6.7666653770828283E-2</v>
      </c>
      <c r="BG22" s="22">
        <f t="shared" ca="1" si="21"/>
        <v>6</v>
      </c>
      <c r="BH22" s="22">
        <f t="shared" ca="1" si="19"/>
        <v>370.8</v>
      </c>
      <c r="BJ22" s="225">
        <f t="shared" ca="1" si="22"/>
        <v>236.83000000000004</v>
      </c>
    </row>
    <row r="23" spans="1:62" ht="15.75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73.180000000000064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142.18000000000006</v>
      </c>
      <c r="S23" s="148" t="s">
        <v>71</v>
      </c>
      <c r="T23" s="149">
        <f>'05'!B80</f>
        <v>170</v>
      </c>
      <c r="U23" s="150">
        <f>SUM('05'!D80:F80)</f>
        <v>212.85</v>
      </c>
      <c r="V23" s="151">
        <f t="shared" si="6"/>
        <v>99.330000000000069</v>
      </c>
      <c r="W23" s="148" t="s">
        <v>70</v>
      </c>
      <c r="X23" s="149">
        <f>'06'!B80</f>
        <v>170</v>
      </c>
      <c r="Y23" s="150">
        <f>SUM('06'!D80:F80)</f>
        <v>0</v>
      </c>
      <c r="Z23" s="151">
        <f t="shared" si="7"/>
        <v>269.33000000000004</v>
      </c>
      <c r="AA23" s="148" t="s">
        <v>72</v>
      </c>
      <c r="AB23" s="149">
        <f>'07'!B80</f>
        <v>150</v>
      </c>
      <c r="AC23" s="150">
        <f>SUM('07'!D80:F80)</f>
        <v>0</v>
      </c>
      <c r="AD23" s="151">
        <f t="shared" si="8"/>
        <v>419.33000000000004</v>
      </c>
      <c r="AE23" s="148" t="s">
        <v>73</v>
      </c>
      <c r="AF23" s="149">
        <f>'08'!B80</f>
        <v>150</v>
      </c>
      <c r="AG23" s="150">
        <f>SUM('08'!D80:F80)</f>
        <v>0</v>
      </c>
      <c r="AH23" s="151">
        <f t="shared" si="9"/>
        <v>569.33000000000004</v>
      </c>
      <c r="AI23" s="148" t="s">
        <v>76</v>
      </c>
      <c r="AJ23" s="149">
        <f>'09'!B80</f>
        <v>150</v>
      </c>
      <c r="AK23" s="150">
        <f>SUM('09'!D80:F80)</f>
        <v>0</v>
      </c>
      <c r="AL23" s="151">
        <f t="shared" si="10"/>
        <v>719.33</v>
      </c>
      <c r="AM23" s="148" t="s">
        <v>77</v>
      </c>
      <c r="AN23" s="149">
        <f>'10'!B80</f>
        <v>150</v>
      </c>
      <c r="AO23" s="150">
        <f>SUM('10'!D80:F80)</f>
        <v>0</v>
      </c>
      <c r="AP23" s="151">
        <f t="shared" si="11"/>
        <v>869.33</v>
      </c>
      <c r="AQ23" s="148" t="s">
        <v>80</v>
      </c>
      <c r="AR23" s="149">
        <f>'11'!B80</f>
        <v>150</v>
      </c>
      <c r="AS23" s="150">
        <f>SUM('11'!D80:F80)</f>
        <v>0</v>
      </c>
      <c r="AT23" s="151">
        <f t="shared" si="12"/>
        <v>1019.33</v>
      </c>
      <c r="AU23" s="148" t="s">
        <v>84</v>
      </c>
      <c r="AV23" s="149">
        <f>'12'!B80</f>
        <v>150</v>
      </c>
      <c r="AW23" s="150">
        <f>SUM('12'!D80:F80)</f>
        <v>0</v>
      </c>
      <c r="AX23" s="151">
        <f t="shared" si="13"/>
        <v>1169.33</v>
      </c>
      <c r="AZ23" s="152">
        <f t="shared" si="14"/>
        <v>862.8</v>
      </c>
      <c r="BA23" s="21">
        <f t="shared" si="15"/>
        <v>3.575193428406627E-2</v>
      </c>
      <c r="BB23" s="22">
        <f t="shared" si="20"/>
        <v>7</v>
      </c>
      <c r="BC23" s="22">
        <f t="shared" ca="1" si="16"/>
        <v>172.56</v>
      </c>
      <c r="BE23" s="224">
        <f t="shared" ca="1" si="17"/>
        <v>920</v>
      </c>
      <c r="BF23" s="21">
        <f t="shared" ca="1" si="18"/>
        <v>3.357784329512515E-2</v>
      </c>
      <c r="BG23" s="22">
        <f t="shared" ca="1" si="21"/>
        <v>9</v>
      </c>
      <c r="BH23" s="22">
        <f t="shared" ca="1" si="19"/>
        <v>184</v>
      </c>
      <c r="BJ23" s="224">
        <f t="shared" ca="1" si="22"/>
        <v>57.200000000000045</v>
      </c>
    </row>
    <row r="24" spans="1:62" ht="15.75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91.739999999999981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138.34999999999997</v>
      </c>
      <c r="S24" s="143" t="s">
        <v>71</v>
      </c>
      <c r="T24" s="155">
        <f>'05'!B100</f>
        <v>160</v>
      </c>
      <c r="U24" s="155">
        <f>SUM('05'!D100:F100)</f>
        <v>175.48</v>
      </c>
      <c r="V24" s="156">
        <f t="shared" si="6"/>
        <v>122.86999999999998</v>
      </c>
      <c r="W24" s="143" t="s">
        <v>70</v>
      </c>
      <c r="X24" s="155">
        <f>'06'!B100</f>
        <v>160</v>
      </c>
      <c r="Y24" s="155">
        <f>SUM('06'!D100:F100)</f>
        <v>0</v>
      </c>
      <c r="Z24" s="156">
        <f t="shared" si="7"/>
        <v>282.87</v>
      </c>
      <c r="AA24" s="143" t="s">
        <v>72</v>
      </c>
      <c r="AB24" s="155">
        <f>'07'!B100</f>
        <v>160</v>
      </c>
      <c r="AC24" s="155">
        <f>SUM('07'!D100:F100)</f>
        <v>0</v>
      </c>
      <c r="AD24" s="156">
        <f t="shared" si="8"/>
        <v>442.87</v>
      </c>
      <c r="AE24" s="143" t="s">
        <v>73</v>
      </c>
      <c r="AF24" s="155">
        <f>'08'!B100</f>
        <v>160</v>
      </c>
      <c r="AG24" s="155">
        <f>SUM('08'!D100:F100)</f>
        <v>0</v>
      </c>
      <c r="AH24" s="156">
        <f t="shared" si="9"/>
        <v>602.87</v>
      </c>
      <c r="AI24" s="143" t="s">
        <v>76</v>
      </c>
      <c r="AJ24" s="155">
        <f>'09'!B100</f>
        <v>160</v>
      </c>
      <c r="AK24" s="155">
        <f>SUM('09'!D100:F100)</f>
        <v>0</v>
      </c>
      <c r="AL24" s="156">
        <f t="shared" si="10"/>
        <v>762.87</v>
      </c>
      <c r="AM24" s="143" t="s">
        <v>77</v>
      </c>
      <c r="AN24" s="155">
        <f>'10'!B100</f>
        <v>160</v>
      </c>
      <c r="AO24" s="155">
        <f>SUM('10'!D100:F100)</f>
        <v>0</v>
      </c>
      <c r="AP24" s="156">
        <f t="shared" si="11"/>
        <v>922.87</v>
      </c>
      <c r="AQ24" s="143" t="s">
        <v>80</v>
      </c>
      <c r="AR24" s="155">
        <f>'11'!B100</f>
        <v>160</v>
      </c>
      <c r="AS24" s="155">
        <f>SUM('11'!D100:F100)</f>
        <v>0</v>
      </c>
      <c r="AT24" s="156">
        <f t="shared" si="12"/>
        <v>1082.8699999999999</v>
      </c>
      <c r="AU24" s="143" t="s">
        <v>84</v>
      </c>
      <c r="AV24" s="155">
        <f>'12'!B100</f>
        <v>160</v>
      </c>
      <c r="AW24" s="155">
        <f>SUM('12'!D100:F100)</f>
        <v>0</v>
      </c>
      <c r="AX24" s="156">
        <f t="shared" si="13"/>
        <v>1242.8699999999999</v>
      </c>
      <c r="AZ24" s="157">
        <f t="shared" si="14"/>
        <v>687.13</v>
      </c>
      <c r="BA24" s="21">
        <f t="shared" si="15"/>
        <v>2.8472678030378371E-2</v>
      </c>
      <c r="BB24" s="22">
        <f t="shared" si="20"/>
        <v>8</v>
      </c>
      <c r="BC24" s="22">
        <f t="shared" ca="1" si="16"/>
        <v>137.42599999999999</v>
      </c>
      <c r="BE24" s="225">
        <f t="shared" ca="1" si="17"/>
        <v>810</v>
      </c>
      <c r="BF24" s="21">
        <f t="shared" ca="1" si="18"/>
        <v>2.956310116201236E-2</v>
      </c>
      <c r="BG24" s="22">
        <f t="shared" ca="1" si="21"/>
        <v>11</v>
      </c>
      <c r="BH24" s="22">
        <f t="shared" ca="1" si="19"/>
        <v>162</v>
      </c>
      <c r="BJ24" s="225">
        <f t="shared" ca="1" si="22"/>
        <v>122.86999999999998</v>
      </c>
    </row>
    <row r="25" spans="1:62" ht="15.75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2125.409999999998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3667.3799999999978</v>
      </c>
      <c r="S25" s="148" t="s">
        <v>71</v>
      </c>
      <c r="T25" s="149">
        <f>'05'!B120</f>
        <v>-505</v>
      </c>
      <c r="U25" s="150">
        <f>SUM('05'!D120:F120)</f>
        <v>327.38</v>
      </c>
      <c r="V25" s="151">
        <f t="shared" si="6"/>
        <v>2834.9999999999977</v>
      </c>
      <c r="W25" s="148" t="s">
        <v>70</v>
      </c>
      <c r="X25" s="149">
        <f>'06'!B120</f>
        <v>445</v>
      </c>
      <c r="Y25" s="150">
        <f>SUM('06'!D120:F120)</f>
        <v>0</v>
      </c>
      <c r="Z25" s="151">
        <f t="shared" si="7"/>
        <v>3279.9999999999977</v>
      </c>
      <c r="AA25" s="148" t="s">
        <v>72</v>
      </c>
      <c r="AB25" s="149">
        <f>'07'!B120</f>
        <v>405</v>
      </c>
      <c r="AC25" s="150">
        <f>SUM('07'!D120:F120)</f>
        <v>0</v>
      </c>
      <c r="AD25" s="151">
        <f t="shared" si="8"/>
        <v>3684.9999999999977</v>
      </c>
      <c r="AE25" s="148" t="s">
        <v>73</v>
      </c>
      <c r="AF25" s="149">
        <f>'08'!B120</f>
        <v>405</v>
      </c>
      <c r="AG25" s="150">
        <f>SUM('08'!D120:F120)</f>
        <v>0</v>
      </c>
      <c r="AH25" s="151">
        <f t="shared" si="9"/>
        <v>4089.9999999999977</v>
      </c>
      <c r="AI25" s="148" t="s">
        <v>76</v>
      </c>
      <c r="AJ25" s="149">
        <f>'09'!B120</f>
        <v>405</v>
      </c>
      <c r="AK25" s="150">
        <f>SUM('09'!D120:F120)</f>
        <v>0</v>
      </c>
      <c r="AL25" s="151">
        <f t="shared" si="10"/>
        <v>4494.9999999999982</v>
      </c>
      <c r="AM25" s="148" t="s">
        <v>77</v>
      </c>
      <c r="AN25" s="149">
        <f>'10'!B120</f>
        <v>405</v>
      </c>
      <c r="AO25" s="150">
        <f>SUM('10'!D120:F120)</f>
        <v>0</v>
      </c>
      <c r="AP25" s="151">
        <f t="shared" si="11"/>
        <v>4899.9999999999982</v>
      </c>
      <c r="AQ25" s="148" t="s">
        <v>80</v>
      </c>
      <c r="AR25" s="149">
        <f>'11'!B120</f>
        <v>405</v>
      </c>
      <c r="AS25" s="150">
        <f>SUM('11'!D120:F120)</f>
        <v>0</v>
      </c>
      <c r="AT25" s="151">
        <f t="shared" si="12"/>
        <v>5304.9999999999982</v>
      </c>
      <c r="AU25" s="148" t="s">
        <v>84</v>
      </c>
      <c r="AV25" s="149">
        <f>'12'!B120</f>
        <v>405</v>
      </c>
      <c r="AW25" s="150">
        <f>SUM('12'!D120:F120)</f>
        <v>0</v>
      </c>
      <c r="AX25" s="151">
        <f t="shared" si="13"/>
        <v>5709.9999999999982</v>
      </c>
      <c r="AZ25" s="152">
        <f t="shared" si="14"/>
        <v>1700.9</v>
      </c>
      <c r="BA25" s="21">
        <f t="shared" si="15"/>
        <v>7.0480372072054154E-2</v>
      </c>
      <c r="BB25" s="22">
        <f t="shared" si="20"/>
        <v>5</v>
      </c>
      <c r="BC25" s="22">
        <f t="shared" ca="1" si="16"/>
        <v>340.18</v>
      </c>
      <c r="BE25" s="224">
        <f t="shared" ca="1" si="17"/>
        <v>1373.35</v>
      </c>
      <c r="BF25" s="21">
        <f t="shared" ca="1" si="18"/>
        <v>5.0124055531913174E-2</v>
      </c>
      <c r="BG25" s="22">
        <f t="shared" ca="1" si="21"/>
        <v>7</v>
      </c>
      <c r="BH25" s="22">
        <f t="shared" ca="1" si="19"/>
        <v>274.66999999999996</v>
      </c>
      <c r="BJ25" s="224">
        <f t="shared" ca="1" si="22"/>
        <v>-327.55000000000064</v>
      </c>
    </row>
    <row r="26" spans="1:62" ht="15.75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7.5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5.009999999999998</v>
      </c>
      <c r="S26" s="143" t="s">
        <v>71</v>
      </c>
      <c r="T26" s="155">
        <f>'05'!B140</f>
        <v>53</v>
      </c>
      <c r="U26" s="155">
        <f>SUM('05'!D140:F140)</f>
        <v>35.49</v>
      </c>
      <c r="V26" s="156">
        <f t="shared" si="6"/>
        <v>22.519999999999996</v>
      </c>
      <c r="W26" s="143" t="s">
        <v>70</v>
      </c>
      <c r="X26" s="155">
        <f>'06'!B140</f>
        <v>53</v>
      </c>
      <c r="Y26" s="155">
        <f>SUM('06'!D140:F140)</f>
        <v>0</v>
      </c>
      <c r="Z26" s="156">
        <f t="shared" si="7"/>
        <v>75.52</v>
      </c>
      <c r="AA26" s="143" t="s">
        <v>72</v>
      </c>
      <c r="AB26" s="155">
        <f>'07'!B140</f>
        <v>48</v>
      </c>
      <c r="AC26" s="155">
        <f>SUM('07'!D140:F140)</f>
        <v>0</v>
      </c>
      <c r="AD26" s="156">
        <f t="shared" si="8"/>
        <v>123.52</v>
      </c>
      <c r="AE26" s="143" t="s">
        <v>73</v>
      </c>
      <c r="AF26" s="155">
        <f>'08'!B140</f>
        <v>48</v>
      </c>
      <c r="AG26" s="155">
        <f>SUM('08'!D140:F140)</f>
        <v>0</v>
      </c>
      <c r="AH26" s="156">
        <f t="shared" si="9"/>
        <v>171.51999999999998</v>
      </c>
      <c r="AI26" s="143" t="s">
        <v>76</v>
      </c>
      <c r="AJ26" s="155">
        <f>'09'!B140</f>
        <v>48</v>
      </c>
      <c r="AK26" s="155">
        <f>SUM('09'!D140:F140)</f>
        <v>0</v>
      </c>
      <c r="AL26" s="156">
        <f t="shared" si="10"/>
        <v>219.51999999999998</v>
      </c>
      <c r="AM26" s="143" t="s">
        <v>77</v>
      </c>
      <c r="AN26" s="155">
        <f>'10'!B140</f>
        <v>48</v>
      </c>
      <c r="AO26" s="155">
        <f>SUM('10'!D140:F140)</f>
        <v>0</v>
      </c>
      <c r="AP26" s="156">
        <f t="shared" si="11"/>
        <v>267.52</v>
      </c>
      <c r="AQ26" s="143" t="s">
        <v>80</v>
      </c>
      <c r="AR26" s="155">
        <f>'11'!B140</f>
        <v>48</v>
      </c>
      <c r="AS26" s="155">
        <f>SUM('11'!D140:F140)</f>
        <v>0</v>
      </c>
      <c r="AT26" s="156">
        <f t="shared" si="12"/>
        <v>315.52</v>
      </c>
      <c r="AU26" s="143" t="s">
        <v>84</v>
      </c>
      <c r="AV26" s="155">
        <f>'12'!B140</f>
        <v>48</v>
      </c>
      <c r="AW26" s="155">
        <f>SUM('12'!D140:F140)</f>
        <v>0</v>
      </c>
      <c r="AX26" s="156">
        <f t="shared" si="13"/>
        <v>363.52</v>
      </c>
      <c r="AZ26" s="157">
        <f t="shared" si="14"/>
        <v>257.47000000000003</v>
      </c>
      <c r="BA26" s="21">
        <f t="shared" si="15"/>
        <v>1.0668811451226872E-2</v>
      </c>
      <c r="BB26" s="22">
        <f t="shared" si="20"/>
        <v>16</v>
      </c>
      <c r="BC26" s="22">
        <f t="shared" ca="1" si="16"/>
        <v>51.494000000000007</v>
      </c>
      <c r="BE26" s="225">
        <f t="shared" ca="1" si="17"/>
        <v>260.45</v>
      </c>
      <c r="BF26" s="21">
        <f t="shared" ca="1" si="18"/>
        <v>9.5058144415384183E-3</v>
      </c>
      <c r="BG26" s="22">
        <f t="shared" ca="1" si="21"/>
        <v>16</v>
      </c>
      <c r="BH26" s="22">
        <f t="shared" ca="1" si="19"/>
        <v>52.089999999999996</v>
      </c>
      <c r="BJ26" s="225">
        <f t="shared" ca="1" si="22"/>
        <v>2.9800000000000466</v>
      </c>
    </row>
    <row r="27" spans="1:62" ht="16.5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306.57000000000011</v>
      </c>
      <c r="S27" s="185" t="s">
        <v>71</v>
      </c>
      <c r="T27" s="186">
        <f>'05'!B160</f>
        <v>50</v>
      </c>
      <c r="U27" s="186">
        <f>SUM('05'!D160:F160)</f>
        <v>83.87</v>
      </c>
      <c r="V27" s="187">
        <f t="shared" si="6"/>
        <v>272.7000000000001</v>
      </c>
      <c r="W27" s="185" t="s">
        <v>70</v>
      </c>
      <c r="X27" s="186">
        <f>'06'!B160</f>
        <v>50</v>
      </c>
      <c r="Y27" s="186">
        <f>SUM('06'!D160:F160)</f>
        <v>0</v>
      </c>
      <c r="Z27" s="187">
        <f t="shared" si="7"/>
        <v>322.7000000000001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372.7000000000001</v>
      </c>
      <c r="AE27" s="185" t="s">
        <v>73</v>
      </c>
      <c r="AF27" s="186">
        <f>'08'!B160</f>
        <v>50</v>
      </c>
      <c r="AG27" s="186">
        <f>SUM('08'!D160:F160)</f>
        <v>0</v>
      </c>
      <c r="AH27" s="187">
        <f t="shared" si="9"/>
        <v>422.7000000000001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472.7000000000001</v>
      </c>
      <c r="AM27" s="185" t="s">
        <v>77</v>
      </c>
      <c r="AN27" s="186">
        <f>'10'!B160</f>
        <v>50</v>
      </c>
      <c r="AO27" s="186">
        <f>SUM('10'!D160:F160)</f>
        <v>0</v>
      </c>
      <c r="AP27" s="187">
        <f t="shared" si="11"/>
        <v>522.70000000000005</v>
      </c>
      <c r="AQ27" s="185" t="s">
        <v>80</v>
      </c>
      <c r="AR27" s="186">
        <f>'11'!B160</f>
        <v>50</v>
      </c>
      <c r="AS27" s="186">
        <f>SUM('11'!D160:F160)</f>
        <v>0</v>
      </c>
      <c r="AT27" s="187">
        <f t="shared" si="12"/>
        <v>572.70000000000005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622.70000000000005</v>
      </c>
      <c r="AZ27" s="188">
        <f t="shared" si="14"/>
        <v>281.25</v>
      </c>
      <c r="BA27" s="21">
        <f t="shared" si="15"/>
        <v>1.1654185810609225E-2</v>
      </c>
      <c r="BB27" s="22">
        <f t="shared" si="20"/>
        <v>15</v>
      </c>
      <c r="BC27" s="22">
        <f t="shared" ca="1" si="16"/>
        <v>56.25</v>
      </c>
      <c r="BE27" s="224">
        <f t="shared" ca="1" si="17"/>
        <v>250</v>
      </c>
      <c r="BF27" s="21">
        <f t="shared" ca="1" si="18"/>
        <v>9.1244139388927028E-3</v>
      </c>
      <c r="BG27" s="22">
        <f t="shared" ca="1" si="21"/>
        <v>17</v>
      </c>
      <c r="BH27" s="22">
        <f t="shared" ca="1" si="19"/>
        <v>50</v>
      </c>
      <c r="BJ27" s="224">
        <f t="shared" ca="1" si="22"/>
        <v>-31.249999999999943</v>
      </c>
    </row>
    <row r="28" spans="1:62" ht="15.75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937.1400000000001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246.28000000000009</v>
      </c>
      <c r="S28" s="181" t="s">
        <v>71</v>
      </c>
      <c r="T28" s="155">
        <f>'05'!B180</f>
        <v>700</v>
      </c>
      <c r="U28" s="155">
        <f>SUM('05'!D180:F180)</f>
        <v>0</v>
      </c>
      <c r="V28" s="159">
        <f t="shared" si="6"/>
        <v>946.28000000000009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1146.2800000000002</v>
      </c>
      <c r="AA28" s="181" t="s">
        <v>72</v>
      </c>
      <c r="AB28" s="155">
        <f>'07'!B180</f>
        <v>200</v>
      </c>
      <c r="AC28" s="155">
        <f>SUM('07'!D180:F180)</f>
        <v>0</v>
      </c>
      <c r="AD28" s="159">
        <f t="shared" si="8"/>
        <v>1346.2800000000002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1546.2800000000002</v>
      </c>
      <c r="AI28" s="181" t="s">
        <v>76</v>
      </c>
      <c r="AJ28" s="155">
        <f>'09'!B180</f>
        <v>200</v>
      </c>
      <c r="AK28" s="155">
        <f>SUM('09'!D180:F180)</f>
        <v>0</v>
      </c>
      <c r="AL28" s="159">
        <f t="shared" si="10"/>
        <v>1746.2800000000002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1946.2800000000002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2146.2800000000002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2346.2800000000002</v>
      </c>
      <c r="AZ28" s="182">
        <f t="shared" ref="AZ28:AZ45" si="23">E28+I28+M28+Q28+U28+Y28+AC28+AG28+AK28+AO28+AS28+AW28</f>
        <v>1992.81</v>
      </c>
      <c r="BA28" s="21">
        <f t="shared" si="15"/>
        <v>8.2576277423076161E-2</v>
      </c>
      <c r="BB28" s="22">
        <f t="shared" si="20"/>
        <v>4</v>
      </c>
      <c r="BC28" s="22">
        <f t="shared" ca="1" si="16"/>
        <v>398.56200000000001</v>
      </c>
      <c r="BE28" s="223">
        <f t="shared" ca="1" si="17"/>
        <v>2330.04</v>
      </c>
      <c r="BF28" s="21">
        <f t="shared" ca="1" si="18"/>
        <v>8.504099781671022E-2</v>
      </c>
      <c r="BG28" s="22">
        <f t="shared" ca="1" si="21"/>
        <v>5</v>
      </c>
      <c r="BH28" s="22">
        <f t="shared" ca="1" si="19"/>
        <v>466.00799999999998</v>
      </c>
      <c r="BJ28" s="223">
        <f t="shared" ca="1" si="22"/>
        <v>337.23</v>
      </c>
    </row>
    <row r="29" spans="1:62" ht="15.75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72.420000000000073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76.430000000000078</v>
      </c>
      <c r="S29" s="148" t="s">
        <v>71</v>
      </c>
      <c r="T29" s="149">
        <f>'05'!B200</f>
        <v>70</v>
      </c>
      <c r="U29" s="150">
        <f>SUM('05'!D200:F200)</f>
        <v>47.63</v>
      </c>
      <c r="V29" s="160">
        <f t="shared" si="6"/>
        <v>98.800000000000068</v>
      </c>
      <c r="W29" s="148" t="s">
        <v>70</v>
      </c>
      <c r="X29" s="149">
        <f>'06'!B200</f>
        <v>70</v>
      </c>
      <c r="Y29" s="150">
        <f>SUM('06'!D200:F200)</f>
        <v>0</v>
      </c>
      <c r="Z29" s="160">
        <f t="shared" si="7"/>
        <v>168.80000000000007</v>
      </c>
      <c r="AA29" s="148" t="s">
        <v>72</v>
      </c>
      <c r="AB29" s="149">
        <f>'07'!B200</f>
        <v>70</v>
      </c>
      <c r="AC29" s="150">
        <f>SUM('07'!D200:F200)</f>
        <v>0</v>
      </c>
      <c r="AD29" s="160">
        <f t="shared" si="8"/>
        <v>238.80000000000007</v>
      </c>
      <c r="AE29" s="148" t="s">
        <v>73</v>
      </c>
      <c r="AF29" s="149">
        <f>'08'!B200</f>
        <v>70</v>
      </c>
      <c r="AG29" s="150">
        <f>SUM('08'!D200:F200)</f>
        <v>0</v>
      </c>
      <c r="AH29" s="160">
        <f t="shared" si="9"/>
        <v>308.80000000000007</v>
      </c>
      <c r="AI29" s="148" t="s">
        <v>76</v>
      </c>
      <c r="AJ29" s="149">
        <f>'09'!B200</f>
        <v>70</v>
      </c>
      <c r="AK29" s="150">
        <f>SUM('09'!D200:F200)</f>
        <v>0</v>
      </c>
      <c r="AL29" s="160">
        <f t="shared" si="10"/>
        <v>378.80000000000007</v>
      </c>
      <c r="AM29" s="148" t="s">
        <v>77</v>
      </c>
      <c r="AN29" s="149">
        <f>'10'!B200</f>
        <v>70</v>
      </c>
      <c r="AO29" s="150">
        <f>SUM('10'!D200:F200)</f>
        <v>0</v>
      </c>
      <c r="AP29" s="160">
        <f t="shared" si="11"/>
        <v>448.80000000000007</v>
      </c>
      <c r="AQ29" s="148" t="s">
        <v>80</v>
      </c>
      <c r="AR29" s="149">
        <f>'11'!B200</f>
        <v>70</v>
      </c>
      <c r="AS29" s="150">
        <f>SUM('11'!D200:F200)</f>
        <v>0</v>
      </c>
      <c r="AT29" s="160">
        <f t="shared" si="12"/>
        <v>518.80000000000007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588.80000000000007</v>
      </c>
      <c r="AZ29" s="152">
        <f t="shared" si="23"/>
        <v>174.53</v>
      </c>
      <c r="BA29" s="21">
        <f t="shared" si="15"/>
        <v>7.2320179538689E-3</v>
      </c>
      <c r="BB29" s="22">
        <f t="shared" si="20"/>
        <v>18</v>
      </c>
      <c r="BC29" s="22">
        <f t="shared" ca="1" si="16"/>
        <v>34.905999999999999</v>
      </c>
      <c r="BE29" s="224">
        <f t="shared" ca="1" si="17"/>
        <v>320</v>
      </c>
      <c r="BF29" s="21">
        <f t="shared" ca="1" si="18"/>
        <v>1.167924984178266E-2</v>
      </c>
      <c r="BG29" s="22">
        <f t="shared" ca="1" si="21"/>
        <v>15</v>
      </c>
      <c r="BH29" s="22">
        <f t="shared" ca="1" si="19"/>
        <v>64</v>
      </c>
      <c r="BJ29" s="224">
        <f t="shared" ca="1" si="22"/>
        <v>145.47</v>
      </c>
    </row>
    <row r="30" spans="1:62" ht="15.75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33.979999999999976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34.649999999999977</v>
      </c>
      <c r="S30" s="143" t="s">
        <v>71</v>
      </c>
      <c r="T30" s="155">
        <f>'05'!B220</f>
        <v>35</v>
      </c>
      <c r="U30" s="155">
        <f>SUM('05'!D220:F220)</f>
        <v>27.56</v>
      </c>
      <c r="V30" s="161">
        <f t="shared" si="6"/>
        <v>42.089999999999975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77.089999999999975</v>
      </c>
      <c r="AA30" s="143" t="s">
        <v>72</v>
      </c>
      <c r="AB30" s="155">
        <f>'07'!B220</f>
        <v>35</v>
      </c>
      <c r="AC30" s="155">
        <f>SUM('07'!D220:F220)</f>
        <v>0</v>
      </c>
      <c r="AD30" s="161">
        <f t="shared" si="8"/>
        <v>112.08999999999997</v>
      </c>
      <c r="AE30" s="143" t="s">
        <v>73</v>
      </c>
      <c r="AF30" s="155">
        <f>'08'!B220</f>
        <v>35</v>
      </c>
      <c r="AG30" s="155">
        <f>SUM('08'!D220:F220)</f>
        <v>0</v>
      </c>
      <c r="AH30" s="161">
        <f t="shared" si="9"/>
        <v>147.08999999999997</v>
      </c>
      <c r="AI30" s="143" t="s">
        <v>76</v>
      </c>
      <c r="AJ30" s="155">
        <f>'09'!B220</f>
        <v>35</v>
      </c>
      <c r="AK30" s="155">
        <f>SUM('09'!D220:F220)</f>
        <v>0</v>
      </c>
      <c r="AL30" s="161">
        <f t="shared" si="10"/>
        <v>182.08999999999997</v>
      </c>
      <c r="AM30" s="143" t="s">
        <v>77</v>
      </c>
      <c r="AN30" s="155">
        <f>'10'!B220</f>
        <v>35</v>
      </c>
      <c r="AO30" s="155">
        <f>SUM('10'!D220:F220)</f>
        <v>0</v>
      </c>
      <c r="AP30" s="161">
        <f t="shared" si="11"/>
        <v>217.08999999999997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252.08999999999997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287.08999999999997</v>
      </c>
      <c r="AZ30" s="157">
        <f t="shared" si="23"/>
        <v>131.07999999999998</v>
      </c>
      <c r="BA30" s="21">
        <f t="shared" si="15"/>
        <v>5.4315757370832253E-3</v>
      </c>
      <c r="BB30" s="22">
        <f t="shared" si="20"/>
        <v>20</v>
      </c>
      <c r="BC30" s="22">
        <f t="shared" ca="1" si="16"/>
        <v>26.215999999999998</v>
      </c>
      <c r="BE30" s="225">
        <f t="shared" ca="1" si="17"/>
        <v>200</v>
      </c>
      <c r="BF30" s="21">
        <f t="shared" ca="1" si="18"/>
        <v>7.2995311511141626E-3</v>
      </c>
      <c r="BG30" s="22">
        <f t="shared" ca="1" si="21"/>
        <v>19</v>
      </c>
      <c r="BH30" s="22">
        <f t="shared" ca="1" si="19"/>
        <v>40</v>
      </c>
      <c r="BJ30" s="225">
        <f t="shared" ca="1" si="22"/>
        <v>68.92</v>
      </c>
    </row>
    <row r="31" spans="1:62" ht="15.75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62.6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82.6</v>
      </c>
      <c r="S31" s="148" t="s">
        <v>71</v>
      </c>
      <c r="T31" s="149">
        <f>'05'!B240</f>
        <v>20</v>
      </c>
      <c r="U31" s="150">
        <f>SUM('05'!D240:F240)</f>
        <v>20.98</v>
      </c>
      <c r="V31" s="160">
        <f t="shared" si="6"/>
        <v>81.61999999999999</v>
      </c>
      <c r="W31" s="148" t="s">
        <v>70</v>
      </c>
      <c r="X31" s="149">
        <f>'06'!B240</f>
        <v>20</v>
      </c>
      <c r="Y31" s="150">
        <f>SUM('06'!D240:F240)</f>
        <v>0</v>
      </c>
      <c r="Z31" s="160">
        <f t="shared" si="7"/>
        <v>101.61999999999999</v>
      </c>
      <c r="AA31" s="148" t="s">
        <v>72</v>
      </c>
      <c r="AB31" s="149">
        <f>'07'!B240</f>
        <v>20</v>
      </c>
      <c r="AC31" s="150">
        <f>SUM('07'!D240:F240)</f>
        <v>0</v>
      </c>
      <c r="AD31" s="160">
        <f t="shared" si="8"/>
        <v>121.61999999999999</v>
      </c>
      <c r="AE31" s="148" t="s">
        <v>73</v>
      </c>
      <c r="AF31" s="149">
        <f>'08'!B240</f>
        <v>20</v>
      </c>
      <c r="AG31" s="150">
        <f>SUM('08'!D240:F240)</f>
        <v>0</v>
      </c>
      <c r="AH31" s="160">
        <f t="shared" si="9"/>
        <v>141.62</v>
      </c>
      <c r="AI31" s="148" t="s">
        <v>76</v>
      </c>
      <c r="AJ31" s="149">
        <f>'09'!B240</f>
        <v>20</v>
      </c>
      <c r="AK31" s="150">
        <f>SUM('09'!D240:F240)</f>
        <v>0</v>
      </c>
      <c r="AL31" s="160">
        <f t="shared" si="10"/>
        <v>161.62</v>
      </c>
      <c r="AM31" s="148" t="s">
        <v>77</v>
      </c>
      <c r="AN31" s="149">
        <f>'10'!B240</f>
        <v>20</v>
      </c>
      <c r="AO31" s="150">
        <f>SUM('10'!D240:F240)</f>
        <v>0</v>
      </c>
      <c r="AP31" s="160">
        <f t="shared" si="11"/>
        <v>181.62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201.62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221.62</v>
      </c>
      <c r="AZ31" s="152">
        <f t="shared" si="23"/>
        <v>94.42</v>
      </c>
      <c r="BA31" s="21">
        <f t="shared" si="15"/>
        <v>3.9124914639563487E-3</v>
      </c>
      <c r="BB31" s="22">
        <f t="shared" si="20"/>
        <v>21</v>
      </c>
      <c r="BC31" s="22">
        <f t="shared" ca="1" si="16"/>
        <v>18.884</v>
      </c>
      <c r="BE31" s="224">
        <f t="shared" ca="1" si="17"/>
        <v>100</v>
      </c>
      <c r="BF31" s="21">
        <f t="shared" ca="1" si="18"/>
        <v>3.6497655755570813E-3</v>
      </c>
      <c r="BG31" s="22">
        <f t="shared" ca="1" si="21"/>
        <v>21</v>
      </c>
      <c r="BH31" s="22">
        <f t="shared" ca="1" si="19"/>
        <v>20</v>
      </c>
      <c r="BJ31" s="224">
        <f t="shared" ca="1" si="22"/>
        <v>5.5799999999999841</v>
      </c>
    </row>
    <row r="32" spans="1:62" ht="15.75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144.72000000000003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413.85</v>
      </c>
      <c r="S32" s="143" t="s">
        <v>71</v>
      </c>
      <c r="T32" s="155">
        <f>'05'!B260</f>
        <v>644</v>
      </c>
      <c r="U32" s="155">
        <f>SUM('05'!D260:F260)</f>
        <v>58.57</v>
      </c>
      <c r="V32" s="161">
        <f t="shared" si="6"/>
        <v>999.27999999999986</v>
      </c>
      <c r="W32" s="143" t="s">
        <v>70</v>
      </c>
      <c r="X32" s="155">
        <f>'06'!B260</f>
        <v>100</v>
      </c>
      <c r="Y32" s="155">
        <f>SUM('06'!D260:F260)</f>
        <v>0</v>
      </c>
      <c r="Z32" s="161">
        <f t="shared" si="7"/>
        <v>1099.2799999999997</v>
      </c>
      <c r="AA32" s="143" t="s">
        <v>72</v>
      </c>
      <c r="AB32" s="155">
        <f>'07'!B260</f>
        <v>50</v>
      </c>
      <c r="AC32" s="155">
        <f>SUM('07'!D260:F260)</f>
        <v>0</v>
      </c>
      <c r="AD32" s="161">
        <f t="shared" si="8"/>
        <v>1149.2799999999997</v>
      </c>
      <c r="AE32" s="143" t="s">
        <v>73</v>
      </c>
      <c r="AF32" s="155">
        <f>'08'!B260</f>
        <v>50</v>
      </c>
      <c r="AG32" s="155">
        <f>SUM('08'!D260:F260)</f>
        <v>0</v>
      </c>
      <c r="AH32" s="161">
        <f t="shared" si="9"/>
        <v>1199.2799999999997</v>
      </c>
      <c r="AI32" s="143" t="s">
        <v>76</v>
      </c>
      <c r="AJ32" s="155">
        <f>'09'!B260</f>
        <v>50</v>
      </c>
      <c r="AK32" s="155">
        <f>SUM('09'!D260:F260)</f>
        <v>0</v>
      </c>
      <c r="AL32" s="161">
        <f t="shared" si="10"/>
        <v>1249.2799999999997</v>
      </c>
      <c r="AM32" s="143" t="s">
        <v>77</v>
      </c>
      <c r="AN32" s="155">
        <f>'10'!B260</f>
        <v>50</v>
      </c>
      <c r="AO32" s="155">
        <f>SUM('10'!D260:F260)</f>
        <v>0</v>
      </c>
      <c r="AP32" s="161">
        <f t="shared" si="11"/>
        <v>1299.2799999999997</v>
      </c>
      <c r="AQ32" s="143" t="s">
        <v>80</v>
      </c>
      <c r="AR32" s="155">
        <f>'11'!B260</f>
        <v>50</v>
      </c>
      <c r="AS32" s="155">
        <f>SUM('11'!D260:F260)</f>
        <v>0</v>
      </c>
      <c r="AT32" s="161">
        <f t="shared" si="12"/>
        <v>1349.2799999999997</v>
      </c>
      <c r="AU32" s="143" t="s">
        <v>84</v>
      </c>
      <c r="AV32" s="155">
        <f>'12'!B260</f>
        <v>50</v>
      </c>
      <c r="AW32" s="155">
        <f>SUM('12'!D260:F260)</f>
        <v>0</v>
      </c>
      <c r="AX32" s="161">
        <f t="shared" si="13"/>
        <v>1399.2799999999997</v>
      </c>
      <c r="AZ32" s="157">
        <f t="shared" si="23"/>
        <v>189.6</v>
      </c>
      <c r="BA32" s="21">
        <f t="shared" si="15"/>
        <v>7.8564751277920321E-3</v>
      </c>
      <c r="BB32" s="22">
        <f t="shared" si="20"/>
        <v>17</v>
      </c>
      <c r="BC32" s="22">
        <f t="shared" ca="1" si="16"/>
        <v>37.92</v>
      </c>
      <c r="BE32" s="225">
        <f t="shared" ca="1" si="17"/>
        <v>1203.1300000000001</v>
      </c>
      <c r="BF32" s="21">
        <f t="shared" ca="1" si="18"/>
        <v>4.3911424569199921E-2</v>
      </c>
      <c r="BG32" s="22">
        <f t="shared" ca="1" si="21"/>
        <v>8</v>
      </c>
      <c r="BH32" s="22">
        <f t="shared" ca="1" si="19"/>
        <v>240.62600000000003</v>
      </c>
      <c r="BJ32" s="225">
        <f t="shared" ca="1" si="22"/>
        <v>1013.5299999999999</v>
      </c>
    </row>
    <row r="33" spans="1:62" ht="15.75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490.93000000000029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530.48000000000025</v>
      </c>
      <c r="S33" s="148" t="s">
        <v>71</v>
      </c>
      <c r="T33" s="149">
        <f>'05'!B280</f>
        <v>50</v>
      </c>
      <c r="U33" s="150">
        <f>SUM('05'!D280:F280)</f>
        <v>92.89</v>
      </c>
      <c r="V33" s="160">
        <f t="shared" si="6"/>
        <v>487.59000000000026</v>
      </c>
      <c r="W33" s="148" t="s">
        <v>70</v>
      </c>
      <c r="X33" s="149">
        <f>'06'!B280</f>
        <v>50</v>
      </c>
      <c r="Y33" s="150">
        <f>SUM('06'!D280:F280)</f>
        <v>0</v>
      </c>
      <c r="Z33" s="160">
        <f t="shared" si="7"/>
        <v>537.59000000000026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587.59000000000026</v>
      </c>
      <c r="AE33" s="148" t="s">
        <v>73</v>
      </c>
      <c r="AF33" s="149">
        <f>'08'!B280</f>
        <v>50</v>
      </c>
      <c r="AG33" s="150">
        <f>SUM('08'!D280:F280)</f>
        <v>0</v>
      </c>
      <c r="AH33" s="160">
        <f t="shared" si="9"/>
        <v>637.59000000000026</v>
      </c>
      <c r="AI33" s="148" t="s">
        <v>76</v>
      </c>
      <c r="AJ33" s="149">
        <f>'09'!B280</f>
        <v>50</v>
      </c>
      <c r="AK33" s="150">
        <f>SUM('09'!D280:F280)</f>
        <v>0</v>
      </c>
      <c r="AL33" s="160">
        <f t="shared" si="10"/>
        <v>687.59000000000026</v>
      </c>
      <c r="AM33" s="148" t="s">
        <v>77</v>
      </c>
      <c r="AN33" s="149">
        <f>'10'!B280</f>
        <v>50</v>
      </c>
      <c r="AO33" s="150">
        <f>SUM('10'!D280:F280)</f>
        <v>0</v>
      </c>
      <c r="AP33" s="160">
        <f t="shared" si="11"/>
        <v>737.59000000000026</v>
      </c>
      <c r="AQ33" s="148" t="s">
        <v>80</v>
      </c>
      <c r="AR33" s="149">
        <f>'11'!B280</f>
        <v>50</v>
      </c>
      <c r="AS33" s="150">
        <f>SUM('11'!D280:F280)</f>
        <v>0</v>
      </c>
      <c r="AT33" s="160">
        <f t="shared" si="12"/>
        <v>787.59000000000026</v>
      </c>
      <c r="AU33" s="148" t="s">
        <v>84</v>
      </c>
      <c r="AV33" s="149">
        <f>'12'!B280</f>
        <v>50</v>
      </c>
      <c r="AW33" s="150">
        <f>SUM('12'!D280:F280)</f>
        <v>0</v>
      </c>
      <c r="AX33" s="160">
        <f t="shared" si="13"/>
        <v>837.59000000000026</v>
      </c>
      <c r="AZ33" s="152">
        <f t="shared" si="23"/>
        <v>4204.3500000000004</v>
      </c>
      <c r="BA33" s="21">
        <f t="shared" si="15"/>
        <v>0.17421609284563519</v>
      </c>
      <c r="BB33" s="22">
        <f t="shared" si="20"/>
        <v>2</v>
      </c>
      <c r="BC33" s="22">
        <f t="shared" ca="1" si="16"/>
        <v>840.87000000000012</v>
      </c>
      <c r="BE33" s="224">
        <f t="shared" ca="1" si="17"/>
        <v>4271.9400000000005</v>
      </c>
      <c r="BF33" s="21">
        <f t="shared" ca="1" si="18"/>
        <v>0.15591579552845319</v>
      </c>
      <c r="BG33" s="22">
        <f t="shared" ca="1" si="21"/>
        <v>2</v>
      </c>
      <c r="BH33" s="22">
        <f t="shared" ca="1" si="19"/>
        <v>854.38800000000015</v>
      </c>
      <c r="BJ33" s="224">
        <f t="shared" ca="1" si="22"/>
        <v>67.590000000000259</v>
      </c>
    </row>
    <row r="34" spans="1:62" ht="15.75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218.5499999999999</v>
      </c>
      <c r="S34" s="143" t="s">
        <v>71</v>
      </c>
      <c r="T34" s="155">
        <f>'05'!B300</f>
        <v>90</v>
      </c>
      <c r="U34" s="155">
        <f>SUM('05'!D300:F300)</f>
        <v>137.85</v>
      </c>
      <c r="V34" s="161">
        <f t="shared" si="6"/>
        <v>170.6999999999999</v>
      </c>
      <c r="W34" s="143" t="s">
        <v>70</v>
      </c>
      <c r="X34" s="155">
        <f>'06'!B300</f>
        <v>90</v>
      </c>
      <c r="Y34" s="155">
        <f>SUM('06'!D300:F300)</f>
        <v>0</v>
      </c>
      <c r="Z34" s="161">
        <f t="shared" si="7"/>
        <v>260.69999999999993</v>
      </c>
      <c r="AA34" s="143" t="s">
        <v>72</v>
      </c>
      <c r="AB34" s="155">
        <f>'07'!B300</f>
        <v>90</v>
      </c>
      <c r="AC34" s="155">
        <f>SUM('07'!D300:F300)</f>
        <v>0</v>
      </c>
      <c r="AD34" s="161">
        <f t="shared" si="8"/>
        <v>350.69999999999993</v>
      </c>
      <c r="AE34" s="143" t="s">
        <v>73</v>
      </c>
      <c r="AF34" s="155">
        <f>'08'!B300</f>
        <v>90</v>
      </c>
      <c r="AG34" s="155">
        <f>SUM('08'!D300:F300)</f>
        <v>0</v>
      </c>
      <c r="AH34" s="161">
        <f t="shared" si="9"/>
        <v>440.69999999999993</v>
      </c>
      <c r="AI34" s="143" t="s">
        <v>76</v>
      </c>
      <c r="AJ34" s="155">
        <f>'09'!B300</f>
        <v>90</v>
      </c>
      <c r="AK34" s="155">
        <f>SUM('09'!D300:F300)</f>
        <v>0</v>
      </c>
      <c r="AL34" s="161">
        <f t="shared" si="10"/>
        <v>530.69999999999993</v>
      </c>
      <c r="AM34" s="143" t="s">
        <v>77</v>
      </c>
      <c r="AN34" s="155">
        <f>'10'!B300</f>
        <v>90</v>
      </c>
      <c r="AO34" s="155">
        <f>SUM('10'!D300:F300)</f>
        <v>0</v>
      </c>
      <c r="AP34" s="161">
        <f t="shared" si="11"/>
        <v>620.69999999999993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710.69999999999993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800.69999999999993</v>
      </c>
      <c r="AZ34" s="152">
        <f t="shared" si="23"/>
        <v>517.9</v>
      </c>
      <c r="BA34" s="21">
        <f t="shared" si="15"/>
        <v>2.1460276733562728E-2</v>
      </c>
      <c r="BB34" s="22">
        <f t="shared" si="20"/>
        <v>10</v>
      </c>
      <c r="BC34" s="22">
        <f t="shared" ca="1" si="16"/>
        <v>103.58</v>
      </c>
      <c r="BE34" s="225">
        <f t="shared" ca="1" si="17"/>
        <v>587</v>
      </c>
      <c r="BF34" s="21">
        <f t="shared" ca="1" si="18"/>
        <v>2.142412392852007E-2</v>
      </c>
      <c r="BG34" s="22">
        <f t="shared" ca="1" si="21"/>
        <v>12</v>
      </c>
      <c r="BH34" s="22">
        <f t="shared" ca="1" si="19"/>
        <v>117.4</v>
      </c>
      <c r="BJ34" s="225">
        <f t="shared" ca="1" si="22"/>
        <v>69.099999999999994</v>
      </c>
    </row>
    <row r="35" spans="1:62" ht="16.5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1654.0100000000004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1626.5900000000004</v>
      </c>
      <c r="S35" s="185" t="s">
        <v>71</v>
      </c>
      <c r="T35" s="186">
        <f>'05'!B320</f>
        <v>267.45</v>
      </c>
      <c r="U35" s="186">
        <f>SUM('05'!D320:F320)</f>
        <v>190.96</v>
      </c>
      <c r="V35" s="187">
        <f t="shared" si="6"/>
        <v>1703.0800000000004</v>
      </c>
      <c r="W35" s="185" t="s">
        <v>70</v>
      </c>
      <c r="X35" s="186">
        <f>'06'!B320</f>
        <v>130</v>
      </c>
      <c r="Y35" s="186">
        <f>SUM('06'!D320:F320)</f>
        <v>0</v>
      </c>
      <c r="Z35" s="187">
        <f t="shared" si="7"/>
        <v>1833.0800000000004</v>
      </c>
      <c r="AA35" s="185" t="s">
        <v>72</v>
      </c>
      <c r="AB35" s="186">
        <f>'07'!B320</f>
        <v>115</v>
      </c>
      <c r="AC35" s="186">
        <f>SUM('07'!D320:F320)</f>
        <v>0</v>
      </c>
      <c r="AD35" s="187">
        <f t="shared" si="8"/>
        <v>1948.0800000000004</v>
      </c>
      <c r="AE35" s="185" t="s">
        <v>73</v>
      </c>
      <c r="AF35" s="186">
        <f>'08'!B320</f>
        <v>115</v>
      </c>
      <c r="AG35" s="186">
        <f>SUM('08'!D320:F320)</f>
        <v>0</v>
      </c>
      <c r="AH35" s="187">
        <f t="shared" si="9"/>
        <v>2063.0800000000004</v>
      </c>
      <c r="AI35" s="185" t="s">
        <v>76</v>
      </c>
      <c r="AJ35" s="186">
        <f>'09'!B320</f>
        <v>115</v>
      </c>
      <c r="AK35" s="186">
        <f>SUM('09'!D320:F320)</f>
        <v>0</v>
      </c>
      <c r="AL35" s="187">
        <f t="shared" si="10"/>
        <v>2178.0800000000004</v>
      </c>
      <c r="AM35" s="185" t="s">
        <v>77</v>
      </c>
      <c r="AN35" s="186">
        <f>'10'!B320</f>
        <v>115</v>
      </c>
      <c r="AO35" s="186">
        <f>SUM('10'!D320:F320)</f>
        <v>0</v>
      </c>
      <c r="AP35" s="187">
        <f t="shared" si="11"/>
        <v>2293.0800000000004</v>
      </c>
      <c r="AQ35" s="185" t="s">
        <v>80</v>
      </c>
      <c r="AR35" s="186">
        <f>'11'!B320</f>
        <v>115</v>
      </c>
      <c r="AS35" s="186">
        <f>SUM('11'!D320:F320)</f>
        <v>0</v>
      </c>
      <c r="AT35" s="187">
        <f t="shared" si="12"/>
        <v>2408.0800000000004</v>
      </c>
      <c r="AU35" s="185" t="s">
        <v>84</v>
      </c>
      <c r="AV35" s="186">
        <f>'12'!B320</f>
        <v>115</v>
      </c>
      <c r="AW35" s="186">
        <f>SUM('12'!D320:F320)</f>
        <v>0</v>
      </c>
      <c r="AX35" s="187">
        <f t="shared" si="13"/>
        <v>2523.0800000000004</v>
      </c>
      <c r="AZ35" s="188">
        <f t="shared" si="23"/>
        <v>662.5</v>
      </c>
      <c r="BA35" s="21">
        <f t="shared" si="15"/>
        <v>2.7452082131657285E-2</v>
      </c>
      <c r="BB35" s="22">
        <f t="shared" si="20"/>
        <v>9</v>
      </c>
      <c r="BC35" s="22">
        <f t="shared" ca="1" si="16"/>
        <v>132.5</v>
      </c>
      <c r="BE35" s="224">
        <f t="shared" ca="1" si="17"/>
        <v>875.98</v>
      </c>
      <c r="BF35" s="21">
        <f t="shared" ca="1" si="18"/>
        <v>3.1971216488764921E-2</v>
      </c>
      <c r="BG35" s="22">
        <f t="shared" ca="1" si="21"/>
        <v>10</v>
      </c>
      <c r="BH35" s="22">
        <f t="shared" ca="1" si="19"/>
        <v>175.196</v>
      </c>
      <c r="BJ35" s="224">
        <f t="shared" ca="1" si="22"/>
        <v>213.48000000000002</v>
      </c>
    </row>
    <row r="36" spans="1:62" ht="15.75">
      <c r="A36" s="163" t="s">
        <v>573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205.90000000000006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295.92000000000007</v>
      </c>
      <c r="S36" s="143" t="s">
        <v>71</v>
      </c>
      <c r="T36" s="164">
        <f>'05'!B340</f>
        <v>90</v>
      </c>
      <c r="U36" s="164">
        <f>SUM('05'!D340:F340)</f>
        <v>174</v>
      </c>
      <c r="V36" s="156">
        <f t="shared" si="6"/>
        <v>211.92000000000007</v>
      </c>
      <c r="W36" s="143" t="s">
        <v>70</v>
      </c>
      <c r="X36" s="164">
        <f>'06'!B340</f>
        <v>90</v>
      </c>
      <c r="Y36" s="164">
        <f>SUM('06'!D340:F340)</f>
        <v>0</v>
      </c>
      <c r="Z36" s="156">
        <f t="shared" si="7"/>
        <v>301.92000000000007</v>
      </c>
      <c r="AA36" s="143" t="s">
        <v>72</v>
      </c>
      <c r="AB36" s="164">
        <f>'07'!B340</f>
        <v>90</v>
      </c>
      <c r="AC36" s="164">
        <f>SUM('07'!D340:F340)</f>
        <v>0</v>
      </c>
      <c r="AD36" s="156">
        <f t="shared" si="8"/>
        <v>391.92000000000007</v>
      </c>
      <c r="AE36" s="143" t="s">
        <v>73</v>
      </c>
      <c r="AF36" s="164">
        <f>'08'!B340</f>
        <v>90</v>
      </c>
      <c r="AG36" s="164">
        <f>SUM('08'!D340:F340)</f>
        <v>0</v>
      </c>
      <c r="AH36" s="156">
        <f t="shared" si="9"/>
        <v>481.92000000000007</v>
      </c>
      <c r="AI36" s="143" t="s">
        <v>76</v>
      </c>
      <c r="AJ36" s="164">
        <f>'09'!B340</f>
        <v>90</v>
      </c>
      <c r="AK36" s="164">
        <f>SUM('09'!D340:F340)</f>
        <v>0</v>
      </c>
      <c r="AL36" s="156">
        <f t="shared" si="10"/>
        <v>571.92000000000007</v>
      </c>
      <c r="AM36" s="143" t="s">
        <v>77</v>
      </c>
      <c r="AN36" s="164">
        <f>'10'!B340</f>
        <v>90</v>
      </c>
      <c r="AO36" s="164">
        <f>SUM('10'!D340:F340)</f>
        <v>0</v>
      </c>
      <c r="AP36" s="156">
        <f t="shared" si="11"/>
        <v>661.92000000000007</v>
      </c>
      <c r="AQ36" s="143" t="s">
        <v>80</v>
      </c>
      <c r="AR36" s="164">
        <f>'11'!B340</f>
        <v>90</v>
      </c>
      <c r="AS36" s="164">
        <f>SUM('11'!D340:F340)</f>
        <v>0</v>
      </c>
      <c r="AT36" s="156">
        <f t="shared" si="12"/>
        <v>751.92000000000007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841.92000000000007</v>
      </c>
      <c r="AZ36" s="182">
        <f t="shared" si="23"/>
        <v>449.09</v>
      </c>
      <c r="BA36" s="21">
        <f t="shared" si="15"/>
        <v>1.8608989531329768E-2</v>
      </c>
      <c r="BB36" s="22">
        <f t="shared" si="20"/>
        <v>12</v>
      </c>
      <c r="BC36" s="22">
        <f t="shared" ca="1" si="16"/>
        <v>89.817999999999998</v>
      </c>
      <c r="BE36" s="223">
        <f t="shared" ca="1" si="17"/>
        <v>560.02</v>
      </c>
      <c r="BF36" s="21">
        <f t="shared" ca="1" si="18"/>
        <v>2.0439417176234768E-2</v>
      </c>
      <c r="BG36" s="22">
        <f t="shared" ca="1" si="21"/>
        <v>13</v>
      </c>
      <c r="BH36" s="22">
        <f t="shared" ca="1" si="19"/>
        <v>112.00399999999999</v>
      </c>
      <c r="BJ36" s="223">
        <f t="shared" ca="1" si="22"/>
        <v>110.93</v>
      </c>
    </row>
    <row r="37" spans="1:62" ht="15.75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95.730000000000018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140.73000000000002</v>
      </c>
      <c r="W37" s="148" t="s">
        <v>70</v>
      </c>
      <c r="X37" s="165">
        <f>'06'!B360</f>
        <v>45</v>
      </c>
      <c r="Y37" s="165">
        <f>SUM('06'!D360:F360)</f>
        <v>0</v>
      </c>
      <c r="Z37" s="151">
        <f t="shared" si="7"/>
        <v>185.73000000000002</v>
      </c>
      <c r="AA37" s="148" t="s">
        <v>72</v>
      </c>
      <c r="AB37" s="165">
        <f>'07'!B360</f>
        <v>45</v>
      </c>
      <c r="AC37" s="165">
        <f>SUM('07'!D360:F360)</f>
        <v>0</v>
      </c>
      <c r="AD37" s="151">
        <f t="shared" si="8"/>
        <v>230.73000000000002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275.73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320.73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365.73</v>
      </c>
      <c r="AQ37" s="148" t="s">
        <v>80</v>
      </c>
      <c r="AR37" s="165">
        <f>'11'!B360</f>
        <v>45</v>
      </c>
      <c r="AS37" s="165">
        <f>SUM('11'!D360:F360)</f>
        <v>0</v>
      </c>
      <c r="AT37" s="151">
        <f t="shared" si="12"/>
        <v>410.73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455.73</v>
      </c>
      <c r="AZ37" s="152">
        <f t="shared" si="23"/>
        <v>367.65</v>
      </c>
      <c r="BA37" s="21">
        <f t="shared" si="15"/>
        <v>1.5234351691628378E-2</v>
      </c>
      <c r="BB37" s="22">
        <f t="shared" si="20"/>
        <v>14</v>
      </c>
      <c r="BC37" s="22">
        <f t="shared" ca="1" si="16"/>
        <v>73.53</v>
      </c>
      <c r="BE37" s="224">
        <f t="shared" ca="1" si="17"/>
        <v>235</v>
      </c>
      <c r="BF37" s="21">
        <f t="shared" ca="1" si="18"/>
        <v>8.5769491025591421E-3</v>
      </c>
      <c r="BG37" s="22">
        <f t="shared" ca="1" si="21"/>
        <v>18</v>
      </c>
      <c r="BH37" s="22">
        <f t="shared" ca="1" si="19"/>
        <v>47</v>
      </c>
      <c r="BJ37" s="224">
        <f t="shared" ca="1" si="22"/>
        <v>-132.64999999999998</v>
      </c>
    </row>
    <row r="38" spans="1:62" ht="15.75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7.3200000000000358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53.020000000000039</v>
      </c>
      <c r="S38" s="143" t="s">
        <v>71</v>
      </c>
      <c r="T38" s="166">
        <f>'05'!B380</f>
        <v>70</v>
      </c>
      <c r="U38" s="166">
        <f>SUM('05'!D380:F380)</f>
        <v>74.44</v>
      </c>
      <c r="V38" s="156">
        <f t="shared" si="6"/>
        <v>48.580000000000041</v>
      </c>
      <c r="W38" s="143" t="s">
        <v>70</v>
      </c>
      <c r="X38" s="166">
        <f>'06'!B380</f>
        <v>70</v>
      </c>
      <c r="Y38" s="166">
        <f>SUM('06'!D380:F380)</f>
        <v>0</v>
      </c>
      <c r="Z38" s="156">
        <f t="shared" si="7"/>
        <v>118.58000000000004</v>
      </c>
      <c r="AA38" s="143" t="s">
        <v>72</v>
      </c>
      <c r="AB38" s="166">
        <f>'07'!B380</f>
        <v>70</v>
      </c>
      <c r="AC38" s="166">
        <f>SUM('07'!D380:F380)</f>
        <v>0</v>
      </c>
      <c r="AD38" s="156">
        <f t="shared" si="8"/>
        <v>188.58000000000004</v>
      </c>
      <c r="AE38" s="143" t="s">
        <v>73</v>
      </c>
      <c r="AF38" s="166">
        <f>'08'!B380</f>
        <v>70</v>
      </c>
      <c r="AG38" s="166">
        <f>SUM('08'!D380:F380)</f>
        <v>0</v>
      </c>
      <c r="AH38" s="156">
        <f t="shared" si="9"/>
        <v>258.58000000000004</v>
      </c>
      <c r="AI38" s="143" t="s">
        <v>76</v>
      </c>
      <c r="AJ38" s="166">
        <f>'09'!B380</f>
        <v>70</v>
      </c>
      <c r="AK38" s="166">
        <f>SUM('09'!D380:F380)</f>
        <v>0</v>
      </c>
      <c r="AL38" s="156">
        <f t="shared" si="10"/>
        <v>328.58000000000004</v>
      </c>
      <c r="AM38" s="143" t="s">
        <v>77</v>
      </c>
      <c r="AN38" s="166">
        <f>'10'!B380</f>
        <v>70</v>
      </c>
      <c r="AO38" s="166">
        <f>SUM('10'!D380:F380)</f>
        <v>0</v>
      </c>
      <c r="AP38" s="156">
        <f t="shared" si="11"/>
        <v>398.58000000000004</v>
      </c>
      <c r="AQ38" s="143" t="s">
        <v>80</v>
      </c>
      <c r="AR38" s="166">
        <f>'11'!B380</f>
        <v>70</v>
      </c>
      <c r="AS38" s="166">
        <f>SUM('11'!D380:F380)</f>
        <v>0</v>
      </c>
      <c r="AT38" s="156">
        <f t="shared" si="12"/>
        <v>468.58000000000004</v>
      </c>
      <c r="AU38" s="143" t="s">
        <v>84</v>
      </c>
      <c r="AV38" s="166">
        <f>'12'!B380</f>
        <v>70</v>
      </c>
      <c r="AW38" s="166">
        <f>SUM('12'!D380:F380)</f>
        <v>0</v>
      </c>
      <c r="AX38" s="156">
        <f t="shared" si="13"/>
        <v>538.58000000000004</v>
      </c>
      <c r="AZ38" s="157">
        <f t="shared" si="23"/>
        <v>370.62</v>
      </c>
      <c r="BA38" s="21">
        <f t="shared" si="15"/>
        <v>1.5357419893788414E-2</v>
      </c>
      <c r="BB38" s="22">
        <f t="shared" si="20"/>
        <v>13</v>
      </c>
      <c r="BC38" s="22">
        <f t="shared" ca="1" si="16"/>
        <v>74.123999999999995</v>
      </c>
      <c r="BE38" s="225">
        <f t="shared" ca="1" si="17"/>
        <v>380</v>
      </c>
      <c r="BF38" s="21">
        <f t="shared" ca="1" si="18"/>
        <v>1.386910918711691E-2</v>
      </c>
      <c r="BG38" s="22">
        <f t="shared" ca="1" si="21"/>
        <v>14</v>
      </c>
      <c r="BH38" s="22">
        <f t="shared" ca="1" si="19"/>
        <v>76</v>
      </c>
      <c r="BJ38" s="225">
        <f t="shared" ca="1" si="22"/>
        <v>9.3800000000000097</v>
      </c>
    </row>
    <row r="39" spans="1:62" ht="15.75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1351.26</v>
      </c>
      <c r="S39" s="148" t="s">
        <v>71</v>
      </c>
      <c r="T39" s="165">
        <f>'05'!B400</f>
        <v>-1335</v>
      </c>
      <c r="U39" s="165">
        <f>SUM('05'!D400:F400)</f>
        <v>0</v>
      </c>
      <c r="V39" s="151">
        <f t="shared" si="6"/>
        <v>16.259999999999991</v>
      </c>
      <c r="W39" s="148" t="s">
        <v>70</v>
      </c>
      <c r="X39" s="165">
        <f>'06'!B400</f>
        <v>15</v>
      </c>
      <c r="Y39" s="165">
        <f>SUM('06'!D400:F400)</f>
        <v>0</v>
      </c>
      <c r="Z39" s="151">
        <f t="shared" si="7"/>
        <v>31.259999999999991</v>
      </c>
      <c r="AA39" s="148" t="s">
        <v>72</v>
      </c>
      <c r="AB39" s="165">
        <f>'07'!B400</f>
        <v>20</v>
      </c>
      <c r="AC39" s="165">
        <f>SUM('07'!D400:F400)</f>
        <v>0</v>
      </c>
      <c r="AD39" s="151">
        <f t="shared" si="8"/>
        <v>51.259999999999991</v>
      </c>
      <c r="AE39" s="148" t="s">
        <v>73</v>
      </c>
      <c r="AF39" s="165">
        <f>'08'!B400</f>
        <v>20</v>
      </c>
      <c r="AG39" s="165">
        <f>SUM('08'!D400:F400)</f>
        <v>0</v>
      </c>
      <c r="AH39" s="151">
        <f t="shared" si="9"/>
        <v>71.259999999999991</v>
      </c>
      <c r="AI39" s="148" t="s">
        <v>76</v>
      </c>
      <c r="AJ39" s="165">
        <f>'09'!B400</f>
        <v>20</v>
      </c>
      <c r="AK39" s="165">
        <f>SUM('09'!D400:F400)</f>
        <v>0</v>
      </c>
      <c r="AL39" s="151">
        <f t="shared" si="10"/>
        <v>91.259999999999991</v>
      </c>
      <c r="AM39" s="148" t="s">
        <v>77</v>
      </c>
      <c r="AN39" s="165">
        <f>'10'!B400</f>
        <v>20</v>
      </c>
      <c r="AO39" s="165">
        <f>SUM('10'!D400:F400)</f>
        <v>0</v>
      </c>
      <c r="AP39" s="151">
        <f t="shared" si="11"/>
        <v>111.25999999999999</v>
      </c>
      <c r="AQ39" s="148" t="s">
        <v>80</v>
      </c>
      <c r="AR39" s="165">
        <f>'11'!B400</f>
        <v>20</v>
      </c>
      <c r="AS39" s="165">
        <f>SUM('11'!D400:F400)</f>
        <v>0</v>
      </c>
      <c r="AT39" s="151">
        <f t="shared" si="12"/>
        <v>131.26</v>
      </c>
      <c r="AU39" s="148" t="s">
        <v>84</v>
      </c>
      <c r="AV39" s="165">
        <f>'12'!B400</f>
        <v>20</v>
      </c>
      <c r="AW39" s="165">
        <f>SUM('12'!D400:F400)</f>
        <v>0</v>
      </c>
      <c r="AX39" s="151">
        <f t="shared" si="13"/>
        <v>151.26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-1163.74</v>
      </c>
      <c r="BF39" s="21">
        <f t="shared" ca="1" si="18"/>
        <v>-4.2473781908987977E-2</v>
      </c>
      <c r="BG39" s="22">
        <f t="shared" ca="1" si="21"/>
        <v>26</v>
      </c>
      <c r="BH39" s="22">
        <f t="shared" ca="1" si="19"/>
        <v>-232.74799999999999</v>
      </c>
      <c r="BJ39" s="224">
        <f t="shared" ca="1" si="22"/>
        <v>-1163.74</v>
      </c>
    </row>
    <row r="40" spans="1:62" ht="15.75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-68.059999999999548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1031.8200000000006</v>
      </c>
      <c r="S40" s="143" t="s">
        <v>71</v>
      </c>
      <c r="T40" s="166">
        <f>'05'!B420</f>
        <v>-969.11</v>
      </c>
      <c r="U40" s="166">
        <f>SUM('05'!D420:F420)</f>
        <v>46.75</v>
      </c>
      <c r="V40" s="156">
        <f t="shared" si="6"/>
        <v>15.960000000000605</v>
      </c>
      <c r="W40" s="143" t="s">
        <v>70</v>
      </c>
      <c r="X40" s="166">
        <f>'06'!B420</f>
        <v>50</v>
      </c>
      <c r="Y40" s="166">
        <f>SUM('06'!D420:F420)</f>
        <v>0</v>
      </c>
      <c r="Z40" s="156">
        <f t="shared" si="7"/>
        <v>65.960000000000605</v>
      </c>
      <c r="AA40" s="143" t="s">
        <v>72</v>
      </c>
      <c r="AB40" s="166">
        <f>'07'!B420</f>
        <v>20</v>
      </c>
      <c r="AC40" s="166">
        <f>SUM('07'!D420:F420)</f>
        <v>0</v>
      </c>
      <c r="AD40" s="156">
        <f t="shared" si="8"/>
        <v>85.960000000000605</v>
      </c>
      <c r="AE40" s="143" t="s">
        <v>73</v>
      </c>
      <c r="AF40" s="166">
        <f>'08'!B420</f>
        <v>20</v>
      </c>
      <c r="AG40" s="166">
        <f>SUM('08'!D420:F420)</f>
        <v>0</v>
      </c>
      <c r="AH40" s="156">
        <f t="shared" si="9"/>
        <v>105.9600000000006</v>
      </c>
      <c r="AI40" s="143" t="s">
        <v>76</v>
      </c>
      <c r="AJ40" s="166">
        <f>'09'!B420</f>
        <v>20</v>
      </c>
      <c r="AK40" s="166">
        <f>SUM('09'!D420:F420)</f>
        <v>0</v>
      </c>
      <c r="AL40" s="156">
        <f t="shared" si="10"/>
        <v>125.9600000000006</v>
      </c>
      <c r="AM40" s="143" t="s">
        <v>77</v>
      </c>
      <c r="AN40" s="166">
        <f>'10'!B420</f>
        <v>20</v>
      </c>
      <c r="AO40" s="166">
        <f>SUM('10'!D420:F420)</f>
        <v>0</v>
      </c>
      <c r="AP40" s="156">
        <f t="shared" si="11"/>
        <v>145.9600000000006</v>
      </c>
      <c r="AQ40" s="143" t="s">
        <v>80</v>
      </c>
      <c r="AR40" s="166">
        <f>'11'!B420</f>
        <v>20</v>
      </c>
      <c r="AS40" s="166">
        <f>SUM('11'!D420:F420)</f>
        <v>0</v>
      </c>
      <c r="AT40" s="156">
        <f t="shared" si="12"/>
        <v>165.9600000000006</v>
      </c>
      <c r="AU40" s="143" t="s">
        <v>84</v>
      </c>
      <c r="AV40" s="166">
        <f>'12'!B420</f>
        <v>20</v>
      </c>
      <c r="AW40" s="166">
        <f>SUM('12'!D420:F420)</f>
        <v>0</v>
      </c>
      <c r="AX40" s="156">
        <f t="shared" si="13"/>
        <v>185.9600000000006</v>
      </c>
      <c r="AZ40" s="157">
        <f t="shared" si="23"/>
        <v>155.08000000000001</v>
      </c>
      <c r="BA40" s="21">
        <f t="shared" si="15"/>
        <v>6.4260662595885471E-3</v>
      </c>
      <c r="BB40" s="22">
        <f t="shared" si="20"/>
        <v>19</v>
      </c>
      <c r="BC40" s="22">
        <f t="shared" ca="1" si="16"/>
        <v>31.016000000000002</v>
      </c>
      <c r="BE40" s="225">
        <f t="shared" ca="1" si="17"/>
        <v>-633.47</v>
      </c>
      <c r="BF40" s="21">
        <f t="shared" ca="1" si="18"/>
        <v>-2.3120169991481445E-2</v>
      </c>
      <c r="BG40" s="22">
        <f t="shared" ca="1" si="21"/>
        <v>25</v>
      </c>
      <c r="BH40" s="22">
        <f t="shared" ca="1" si="19"/>
        <v>-126.694</v>
      </c>
      <c r="BJ40" s="225">
        <f t="shared" ca="1" si="22"/>
        <v>-788.54999999999984</v>
      </c>
    </row>
    <row r="41" spans="1:62" ht="15.75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8000.8399999999965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8000.8399999999983</v>
      </c>
      <c r="S41" s="148" t="s">
        <v>71</v>
      </c>
      <c r="T41" s="165">
        <f>'05'!B440</f>
        <v>394.4300000000012</v>
      </c>
      <c r="U41" s="165">
        <f>SUM('05'!D440:F440)</f>
        <v>0</v>
      </c>
      <c r="V41" s="151">
        <f t="shared" si="6"/>
        <v>8395.27</v>
      </c>
      <c r="W41" s="148" t="s">
        <v>70</v>
      </c>
      <c r="X41" s="165">
        <f>'06'!B440</f>
        <v>-3900</v>
      </c>
      <c r="Y41" s="165">
        <f>SUM('06'!D440:F440)</f>
        <v>0</v>
      </c>
      <c r="Z41" s="151">
        <f t="shared" si="7"/>
        <v>4495.2700000000004</v>
      </c>
      <c r="AA41" s="148" t="s">
        <v>72</v>
      </c>
      <c r="AB41" s="165">
        <f>'07'!B440</f>
        <v>-3900</v>
      </c>
      <c r="AC41" s="165">
        <f>SUM('07'!D440:F440)</f>
        <v>0</v>
      </c>
      <c r="AD41" s="151">
        <f t="shared" si="8"/>
        <v>595.27000000000044</v>
      </c>
      <c r="AE41" s="148" t="s">
        <v>73</v>
      </c>
      <c r="AF41" s="165">
        <f>'08'!B440</f>
        <v>-3900</v>
      </c>
      <c r="AG41" s="165">
        <f>SUM('08'!D440:F440)</f>
        <v>0</v>
      </c>
      <c r="AH41" s="151">
        <f t="shared" si="9"/>
        <v>-3304.7299999999996</v>
      </c>
      <c r="AI41" s="148" t="s">
        <v>76</v>
      </c>
      <c r="AJ41" s="165">
        <f>'09'!B440</f>
        <v>-3900</v>
      </c>
      <c r="AK41" s="165">
        <f>SUM('09'!D440:F440)</f>
        <v>0</v>
      </c>
      <c r="AL41" s="151">
        <f t="shared" si="10"/>
        <v>-7204.73</v>
      </c>
      <c r="AM41" s="148" t="s">
        <v>77</v>
      </c>
      <c r="AN41" s="165">
        <f>'10'!B440</f>
        <v>-3900</v>
      </c>
      <c r="AO41" s="165">
        <f>SUM('10'!D440:F440)</f>
        <v>0</v>
      </c>
      <c r="AP41" s="151">
        <f t="shared" si="11"/>
        <v>-11104.73</v>
      </c>
      <c r="AQ41" s="148" t="s">
        <v>80</v>
      </c>
      <c r="AR41" s="165">
        <f>'11'!B440</f>
        <v>-3900</v>
      </c>
      <c r="AS41" s="165">
        <f>SUM('11'!D440:F440)</f>
        <v>0</v>
      </c>
      <c r="AT41" s="151">
        <f t="shared" si="12"/>
        <v>-15004.73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-18904.73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-154.72999999999854</v>
      </c>
      <c r="BF41" s="21">
        <f t="shared" ca="1" si="18"/>
        <v>-5.6472822750594188E-3</v>
      </c>
      <c r="BG41" s="22">
        <f t="shared" ca="1" si="21"/>
        <v>24</v>
      </c>
      <c r="BH41" s="22">
        <f t="shared" ca="1" si="19"/>
        <v>-30.945999999999707</v>
      </c>
      <c r="BJ41" s="224">
        <f t="shared" ca="1" si="22"/>
        <v>-154.72999999999774</v>
      </c>
    </row>
    <row r="42" spans="1:62" ht="15.75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10978.3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4044.26</v>
      </c>
      <c r="U42" s="166">
        <f>SUM('05'!D460:F460)</f>
        <v>0</v>
      </c>
      <c r="V42" s="156">
        <f t="shared" si="6"/>
        <v>10938.36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10938.36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10938.36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10938.36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10938.36</v>
      </c>
      <c r="AM42" s="143" t="s">
        <v>77</v>
      </c>
      <c r="AN42" s="166">
        <f>'10'!B460</f>
        <v>0</v>
      </c>
      <c r="AO42" s="166">
        <f>SUM('10'!D460:F460)</f>
        <v>0</v>
      </c>
      <c r="AP42" s="156">
        <f t="shared" si="11"/>
        <v>10938.36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10938.36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10938.36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4046.2400000000002</v>
      </c>
      <c r="BF42" s="21">
        <f t="shared" ca="1" si="18"/>
        <v>0.14767827462442085</v>
      </c>
      <c r="BG42" s="22">
        <f t="shared" ca="1" si="21"/>
        <v>3</v>
      </c>
      <c r="BH42" s="22">
        <f t="shared" ca="1" si="19"/>
        <v>809.24800000000005</v>
      </c>
      <c r="BJ42" s="225">
        <f t="shared" ca="1" si="22"/>
        <v>4046.2400000000007</v>
      </c>
    </row>
    <row r="43" spans="1:62" ht="15.75">
      <c r="A43" s="162" t="s">
        <v>171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345.44000000000005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968.63000000000011</v>
      </c>
      <c r="S43" s="148" t="s">
        <v>71</v>
      </c>
      <c r="T43" s="149">
        <f>'05'!B480</f>
        <v>-400</v>
      </c>
      <c r="U43" s="149">
        <f>SUM('05'!D480:F480)</f>
        <v>0</v>
      </c>
      <c r="V43" s="151">
        <f t="shared" si="6"/>
        <v>568.63000000000011</v>
      </c>
      <c r="W43" s="148" t="s">
        <v>70</v>
      </c>
      <c r="X43" s="149">
        <f>'06'!B480</f>
        <v>65</v>
      </c>
      <c r="Y43" s="149">
        <f>SUM('06'!D480:F480)</f>
        <v>0</v>
      </c>
      <c r="Z43" s="151">
        <f t="shared" si="7"/>
        <v>633.63000000000011</v>
      </c>
      <c r="AA43" s="148" t="s">
        <v>72</v>
      </c>
      <c r="AB43" s="149">
        <f>'07'!B480</f>
        <v>50</v>
      </c>
      <c r="AC43" s="149">
        <f>SUM('07'!D480:F480)</f>
        <v>0</v>
      </c>
      <c r="AD43" s="151">
        <f t="shared" si="8"/>
        <v>683.63000000000011</v>
      </c>
      <c r="AE43" s="148" t="s">
        <v>73</v>
      </c>
      <c r="AF43" s="149">
        <f>'08'!B480</f>
        <v>50</v>
      </c>
      <c r="AG43" s="149">
        <f>SUM('08'!D480:F480)</f>
        <v>0</v>
      </c>
      <c r="AH43" s="151">
        <f t="shared" si="9"/>
        <v>733.63000000000011</v>
      </c>
      <c r="AI43" s="148" t="s">
        <v>76</v>
      </c>
      <c r="AJ43" s="149">
        <f>'09'!B480</f>
        <v>50</v>
      </c>
      <c r="AK43" s="149">
        <f>SUM('09'!D480:F480)</f>
        <v>0</v>
      </c>
      <c r="AL43" s="151">
        <f t="shared" si="10"/>
        <v>783.63000000000011</v>
      </c>
      <c r="AM43" s="148" t="s">
        <v>77</v>
      </c>
      <c r="AN43" s="149">
        <f>'10'!B480</f>
        <v>50</v>
      </c>
      <c r="AO43" s="149">
        <f>SUM('10'!D480:F480)</f>
        <v>0</v>
      </c>
      <c r="AP43" s="151">
        <f t="shared" si="11"/>
        <v>833.63000000000011</v>
      </c>
      <c r="AQ43" s="148" t="s">
        <v>80</v>
      </c>
      <c r="AR43" s="149">
        <f>'11'!B480</f>
        <v>50</v>
      </c>
      <c r="AS43" s="149">
        <f>SUM('11'!D480:F480)</f>
        <v>0</v>
      </c>
      <c r="AT43" s="151">
        <f t="shared" si="12"/>
        <v>883.63000000000011</v>
      </c>
      <c r="AU43" s="148" t="s">
        <v>84</v>
      </c>
      <c r="AV43" s="149">
        <f>'12'!B480</f>
        <v>50</v>
      </c>
      <c r="AW43" s="149">
        <f>SUM('12'!D480:F480)</f>
        <v>0</v>
      </c>
      <c r="AX43" s="151">
        <f t="shared" si="13"/>
        <v>933.63000000000011</v>
      </c>
      <c r="AZ43" s="152">
        <f t="shared" si="23"/>
        <v>500</v>
      </c>
      <c r="BA43" s="21">
        <f t="shared" si="15"/>
        <v>2.0718552552194177E-2</v>
      </c>
      <c r="BB43" s="22">
        <f t="shared" si="20"/>
        <v>11</v>
      </c>
      <c r="BC43" s="22">
        <f t="shared" ca="1" si="16"/>
        <v>100</v>
      </c>
      <c r="BE43" s="224">
        <f t="shared" ca="1" si="17"/>
        <v>105.63000000000005</v>
      </c>
      <c r="BF43" s="21">
        <f t="shared" ca="1" si="18"/>
        <v>3.8552473774609471E-3</v>
      </c>
      <c r="BG43" s="22">
        <f t="shared" ca="1" si="21"/>
        <v>20</v>
      </c>
      <c r="BH43" s="22">
        <f t="shared" ca="1" si="19"/>
        <v>21.126000000000012</v>
      </c>
      <c r="BJ43" s="224">
        <f t="shared" ca="1" si="22"/>
        <v>-394.36999999999989</v>
      </c>
    </row>
    <row r="44" spans="1:62" ht="15.75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22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31.340000000000028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31.340000000000028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31.340000000000028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31.340000000000028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31.340000000000028</v>
      </c>
      <c r="AE45" s="173" t="s">
        <v>73</v>
      </c>
      <c r="AF45" s="174">
        <f>'08'!B520</f>
        <v>0</v>
      </c>
      <c r="AG45" s="175">
        <f>SUM('08'!D520:F520)</f>
        <v>0</v>
      </c>
      <c r="AH45" s="176">
        <f t="shared" si="9"/>
        <v>31.340000000000028</v>
      </c>
      <c r="AI45" s="173" t="s">
        <v>76</v>
      </c>
      <c r="AJ45" s="174">
        <f>'09'!B520</f>
        <v>0</v>
      </c>
      <c r="AK45" s="175">
        <f>SUM('09'!D520:F520)</f>
        <v>0</v>
      </c>
      <c r="AL45" s="176">
        <f t="shared" si="10"/>
        <v>31.340000000000028</v>
      </c>
      <c r="AM45" s="173" t="s">
        <v>77</v>
      </c>
      <c r="AN45" s="174">
        <f>'10'!B520</f>
        <v>0</v>
      </c>
      <c r="AO45" s="175">
        <f>SUM('10'!D520:F520)</f>
        <v>0</v>
      </c>
      <c r="AP45" s="176">
        <f t="shared" si="11"/>
        <v>31.340000000000028</v>
      </c>
      <c r="AQ45" s="173" t="s">
        <v>80</v>
      </c>
      <c r="AR45" s="174">
        <f>'11'!B520</f>
        <v>0</v>
      </c>
      <c r="AS45" s="175">
        <f>SUM('11'!D520:F520)</f>
        <v>0</v>
      </c>
      <c r="AT45" s="176">
        <f t="shared" si="12"/>
        <v>31.340000000000028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31.340000000000028</v>
      </c>
      <c r="AZ45" s="177">
        <f t="shared" si="23"/>
        <v>64.58</v>
      </c>
      <c r="BA45" s="21">
        <f t="shared" si="15"/>
        <v>2.6760082476414001E-3</v>
      </c>
      <c r="BB45" s="22">
        <f t="shared" si="20"/>
        <v>22</v>
      </c>
      <c r="BC45" s="22">
        <f t="shared" ca="1" si="16"/>
        <v>12.916</v>
      </c>
      <c r="BE45" s="226">
        <f t="shared" ca="1" si="17"/>
        <v>0</v>
      </c>
      <c r="BF45" s="21">
        <f t="shared" ca="1" si="18"/>
        <v>0</v>
      </c>
      <c r="BG45" s="22">
        <f t="shared" ca="1" si="21"/>
        <v>22</v>
      </c>
      <c r="BH45" s="22">
        <f t="shared" ca="1" si="19"/>
        <v>0</v>
      </c>
      <c r="BJ45" s="226">
        <f t="shared" ca="1" si="22"/>
        <v>-64.58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26443.759999999995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27163.089999999997</v>
      </c>
      <c r="S46" s="218"/>
      <c r="T46" s="219">
        <f>SUM(T20:T45)</f>
        <v>5838.4700000000012</v>
      </c>
      <c r="U46" s="219">
        <f>SUM(U20:U45)</f>
        <v>3351.9599999999996</v>
      </c>
      <c r="V46" s="220">
        <f>SUM(V20:V45)</f>
        <v>29649.599999999999</v>
      </c>
      <c r="W46" s="218"/>
      <c r="X46" s="219">
        <f>SUM(X20:X45)</f>
        <v>0</v>
      </c>
      <c r="Y46" s="219">
        <f>SUM(Y20:Y45)</f>
        <v>0</v>
      </c>
      <c r="Z46" s="220">
        <f>SUM(Z20:Z45)</f>
        <v>29649.599999999999</v>
      </c>
      <c r="AA46" s="218"/>
      <c r="AB46" s="219">
        <f>SUM(AB20:AB45)</f>
        <v>0</v>
      </c>
      <c r="AC46" s="219">
        <f>SUM(AC20:AC45)</f>
        <v>0</v>
      </c>
      <c r="AD46" s="220">
        <f>SUM(AD20:AD45)</f>
        <v>29649.600000000002</v>
      </c>
      <c r="AE46" s="218"/>
      <c r="AF46" s="219">
        <f>SUM(AF20:AF45)</f>
        <v>0</v>
      </c>
      <c r="AG46" s="219">
        <f>SUM(AG20:AG45)</f>
        <v>0</v>
      </c>
      <c r="AH46" s="220">
        <f>SUM(AH20:AH45)</f>
        <v>29649.600000000002</v>
      </c>
      <c r="AI46" s="218"/>
      <c r="AJ46" s="219">
        <f>SUM(AJ20:AJ45)</f>
        <v>0</v>
      </c>
      <c r="AK46" s="219">
        <f>SUM(AK20:AK45)</f>
        <v>0</v>
      </c>
      <c r="AL46" s="220">
        <f>SUM(AL20:AL45)</f>
        <v>29649.599999999995</v>
      </c>
      <c r="AM46" s="218"/>
      <c r="AN46" s="219">
        <f>SUM(AN20:AN45)</f>
        <v>0</v>
      </c>
      <c r="AO46" s="219">
        <f>SUM(AO20:AO45)</f>
        <v>0</v>
      </c>
      <c r="AP46" s="220">
        <f>SUM(AP20:AP45)</f>
        <v>29649.600000000002</v>
      </c>
      <c r="AQ46" s="218"/>
      <c r="AR46" s="219">
        <f>SUM(AR20:AR45)</f>
        <v>0</v>
      </c>
      <c r="AS46" s="219">
        <f>SUM(AS20:AS45)</f>
        <v>0</v>
      </c>
      <c r="AT46" s="220">
        <f>SUM(AT20:AT45)</f>
        <v>29649.600000000002</v>
      </c>
      <c r="AU46" s="218"/>
      <c r="AV46" s="219">
        <f>SUM(AV20:AV45)</f>
        <v>0</v>
      </c>
      <c r="AW46" s="219">
        <f>SUM(AW20:AW45)</f>
        <v>0</v>
      </c>
      <c r="AX46" s="220">
        <f>SUM(AX20:AX45)</f>
        <v>29649.599999999995</v>
      </c>
      <c r="AZ46" s="227">
        <f>SUM(AZ20:AZ45)</f>
        <v>24132.959999999999</v>
      </c>
      <c r="BA46" s="1"/>
      <c r="BB46" s="1"/>
      <c r="BC46" s="124">
        <f ca="1">SUM(BC20:BC45)</f>
        <v>4826.5919999999996</v>
      </c>
      <c r="BE46" s="227">
        <f ca="1">SUM(BE20:BE45)</f>
        <v>27399.020000000004</v>
      </c>
      <c r="BF46" s="1"/>
      <c r="BG46" s="1"/>
      <c r="BH46" s="124">
        <f ca="1">SUM(BH20:BH45)</f>
        <v>5479.8040000000001</v>
      </c>
      <c r="BJ46" s="227">
        <f ca="1">SUM(BJ20:BJ45)</f>
        <v>3266.0600000000031</v>
      </c>
    </row>
    <row r="47" spans="1:62" s="29" customFormat="1" ht="12.75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868.99999999999818</v>
      </c>
      <c r="N47" s="125"/>
      <c r="O47" s="125">
        <f>O5-N46</f>
        <v>0</v>
      </c>
      <c r="P47" s="125">
        <f>O17-P46</f>
        <v>0</v>
      </c>
      <c r="Q47" s="125">
        <f>O17-Q46</f>
        <v>719.33000000000084</v>
      </c>
      <c r="R47" s="125"/>
      <c r="S47" s="125">
        <f>S5-R46</f>
        <v>0</v>
      </c>
      <c r="T47" s="125">
        <f>S17-T46</f>
        <v>0</v>
      </c>
      <c r="U47" s="125">
        <f>S17-U46</f>
        <v>2486.5100000000016</v>
      </c>
      <c r="V47" s="125"/>
      <c r="W47" s="125">
        <f>W5-V46</f>
        <v>-11614.96</v>
      </c>
      <c r="X47" s="125">
        <f>W17-X46</f>
        <v>0</v>
      </c>
      <c r="Y47" s="125">
        <f>W17-Y46</f>
        <v>0</v>
      </c>
      <c r="Z47" s="125"/>
      <c r="AA47" s="125">
        <f>AA5-Z46</f>
        <v>-14547.709999999997</v>
      </c>
      <c r="AB47" s="125">
        <f>AA17-AB46</f>
        <v>0</v>
      </c>
      <c r="AC47" s="125">
        <f>AA17-AC46</f>
        <v>0</v>
      </c>
      <c r="AD47" s="125"/>
      <c r="AE47" s="125">
        <f>AE5-AD46</f>
        <v>-14547.710000000001</v>
      </c>
      <c r="AF47" s="125">
        <f>AE17-AF46</f>
        <v>0</v>
      </c>
      <c r="AG47" s="125">
        <f>AE17-AG46</f>
        <v>0</v>
      </c>
      <c r="AH47" s="125"/>
      <c r="AI47" s="125">
        <f>AI5-AH46</f>
        <v>-14547.710000000001</v>
      </c>
      <c r="AJ47" s="125">
        <f>AI17-AJ46</f>
        <v>0</v>
      </c>
      <c r="AK47" s="125">
        <f>AI17-AK46</f>
        <v>0</v>
      </c>
      <c r="AL47" s="125"/>
      <c r="AM47" s="125">
        <f>AM5-AL46</f>
        <v>-14547.709999999994</v>
      </c>
      <c r="AN47" s="125">
        <f>AM17-AN46</f>
        <v>0</v>
      </c>
      <c r="AO47" s="125">
        <f>AM17-AO46</f>
        <v>0</v>
      </c>
      <c r="AP47" s="125"/>
      <c r="AQ47" s="125">
        <f>AQ5-AP46</f>
        <v>-14547.710000000001</v>
      </c>
      <c r="AR47" s="125">
        <f>AQ17-AR46</f>
        <v>0</v>
      </c>
      <c r="AS47" s="125">
        <f>AQ17-AS46</f>
        <v>0</v>
      </c>
      <c r="AT47" s="140"/>
      <c r="AU47" s="125">
        <f>AU5-AT46</f>
        <v>-14547.710000000001</v>
      </c>
      <c r="AV47" s="125">
        <f>AU17-AV46</f>
        <v>0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195</v>
      </c>
      <c r="AW48" s="5"/>
      <c r="AX48" s="5"/>
      <c r="AZ48" s="112">
        <f>4000*12</f>
        <v>48000</v>
      </c>
      <c r="BA48" s="112"/>
      <c r="BB48" s="1" t="s">
        <v>196</v>
      </c>
      <c r="BC48" s="112">
        <f ca="1">12*BC46</f>
        <v>57919.103999999992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65.760000000000005</v>
      </c>
      <c r="R50" s="119"/>
      <c r="S50" s="119"/>
      <c r="T50" s="119"/>
      <c r="U50" s="119">
        <f>U22+(N59/2)</f>
        <v>338.06</v>
      </c>
      <c r="V50" s="119" t="s">
        <v>470</v>
      </c>
      <c r="W50" s="119"/>
      <c r="X50" s="119"/>
      <c r="Y50" s="119">
        <f>Y22+(N59/2)</f>
        <v>6.8</v>
      </c>
      <c r="Z50" s="119"/>
      <c r="AA50" s="119"/>
      <c r="AB50" s="119"/>
      <c r="AC50" s="119">
        <f>AC22</f>
        <v>0</v>
      </c>
      <c r="AD50" s="119"/>
      <c r="AE50" s="119"/>
      <c r="AF50" s="119"/>
      <c r="AG50" s="119">
        <f>AG22</f>
        <v>0</v>
      </c>
      <c r="AH50" s="119"/>
      <c r="AI50" s="119"/>
      <c r="AJ50" s="119"/>
      <c r="AK50" s="119">
        <f>AK22</f>
        <v>0</v>
      </c>
      <c r="AL50" s="119"/>
      <c r="AM50" s="119"/>
      <c r="AN50" s="119"/>
      <c r="AO50" s="119">
        <f>AO22</f>
        <v>0</v>
      </c>
      <c r="AP50" s="119"/>
      <c r="AQ50" s="119"/>
      <c r="AR50" s="119"/>
      <c r="AS50" s="119">
        <f>AS22</f>
        <v>0</v>
      </c>
      <c r="AT50" s="119"/>
      <c r="AU50" s="119"/>
      <c r="AV50" s="119"/>
      <c r="AW50" s="119">
        <f>AW22</f>
        <v>0</v>
      </c>
      <c r="AX50" s="119"/>
      <c r="AZ50" s="119"/>
    </row>
    <row r="51" spans="1:62" ht="15.75" thickBot="1"/>
    <row r="52" spans="1:62">
      <c r="C52" s="368" t="s">
        <v>149</v>
      </c>
      <c r="D52" s="369"/>
      <c r="E52" s="369"/>
      <c r="F52" s="370"/>
      <c r="G52" s="368" t="s">
        <v>149</v>
      </c>
      <c r="H52" s="369"/>
      <c r="I52" s="369"/>
      <c r="J52" s="370"/>
      <c r="K52" s="368" t="s">
        <v>149</v>
      </c>
      <c r="L52" s="369"/>
      <c r="M52" s="369"/>
      <c r="N52" s="370"/>
      <c r="O52" s="368" t="s">
        <v>149</v>
      </c>
      <c r="P52" s="369"/>
      <c r="Q52" s="369"/>
      <c r="R52" s="370"/>
      <c r="S52" s="368" t="s">
        <v>149</v>
      </c>
      <c r="T52" s="369"/>
      <c r="U52" s="369"/>
      <c r="V52" s="370"/>
      <c r="W52" s="368" t="s">
        <v>149</v>
      </c>
      <c r="X52" s="369"/>
      <c r="Y52" s="369"/>
      <c r="Z52" s="370"/>
      <c r="AA52" s="368" t="s">
        <v>149</v>
      </c>
      <c r="AB52" s="369"/>
      <c r="AC52" s="369"/>
      <c r="AD52" s="370"/>
      <c r="AE52" s="368" t="s">
        <v>149</v>
      </c>
      <c r="AF52" s="369"/>
      <c r="AG52" s="369"/>
      <c r="AH52" s="370"/>
      <c r="AI52" s="368" t="s">
        <v>149</v>
      </c>
      <c r="AJ52" s="369"/>
      <c r="AK52" s="369"/>
      <c r="AL52" s="370"/>
      <c r="AM52" s="368" t="s">
        <v>149</v>
      </c>
      <c r="AN52" s="369"/>
      <c r="AO52" s="369"/>
      <c r="AP52" s="370"/>
      <c r="AQ52" s="368" t="s">
        <v>149</v>
      </c>
      <c r="AR52" s="369"/>
      <c r="AS52" s="369"/>
      <c r="AT52" s="370"/>
      <c r="AU52" s="368" t="s">
        <v>149</v>
      </c>
      <c r="AV52" s="369"/>
      <c r="AW52" s="369"/>
      <c r="AX52" s="370"/>
    </row>
    <row r="53" spans="1:62" ht="15.75" thickBot="1">
      <c r="C53" s="93" t="s">
        <v>150</v>
      </c>
      <c r="D53" s="371" t="s">
        <v>31</v>
      </c>
      <c r="E53" s="372"/>
      <c r="F53" s="94" t="s">
        <v>88</v>
      </c>
      <c r="G53" s="93" t="s">
        <v>150</v>
      </c>
      <c r="H53" s="371" t="s">
        <v>31</v>
      </c>
      <c r="I53" s="372"/>
      <c r="J53" s="94" t="s">
        <v>88</v>
      </c>
      <c r="K53" s="93" t="s">
        <v>150</v>
      </c>
      <c r="L53" s="371" t="s">
        <v>31</v>
      </c>
      <c r="M53" s="372"/>
      <c r="N53" s="94" t="s">
        <v>88</v>
      </c>
      <c r="O53" s="93" t="s">
        <v>150</v>
      </c>
      <c r="P53" s="371" t="s">
        <v>31</v>
      </c>
      <c r="Q53" s="372"/>
      <c r="R53" s="94" t="s">
        <v>88</v>
      </c>
      <c r="S53" s="93" t="s">
        <v>150</v>
      </c>
      <c r="T53" s="371" t="s">
        <v>31</v>
      </c>
      <c r="U53" s="372"/>
      <c r="V53" s="94" t="s">
        <v>88</v>
      </c>
      <c r="W53" s="93" t="s">
        <v>150</v>
      </c>
      <c r="X53" s="371" t="s">
        <v>31</v>
      </c>
      <c r="Y53" s="372"/>
      <c r="Z53" s="94" t="s">
        <v>88</v>
      </c>
      <c r="AA53" s="93" t="s">
        <v>150</v>
      </c>
      <c r="AB53" s="371" t="s">
        <v>31</v>
      </c>
      <c r="AC53" s="372"/>
      <c r="AD53" s="94" t="s">
        <v>88</v>
      </c>
      <c r="AE53" s="93" t="s">
        <v>150</v>
      </c>
      <c r="AF53" s="371" t="s">
        <v>31</v>
      </c>
      <c r="AG53" s="372"/>
      <c r="AH53" s="94" t="s">
        <v>88</v>
      </c>
      <c r="AI53" s="93" t="s">
        <v>150</v>
      </c>
      <c r="AJ53" s="371" t="s">
        <v>31</v>
      </c>
      <c r="AK53" s="372"/>
      <c r="AL53" s="94" t="s">
        <v>88</v>
      </c>
      <c r="AM53" s="93" t="s">
        <v>150</v>
      </c>
      <c r="AN53" s="371" t="s">
        <v>31</v>
      </c>
      <c r="AO53" s="372"/>
      <c r="AP53" s="94" t="s">
        <v>88</v>
      </c>
      <c r="AQ53" s="93" t="s">
        <v>150</v>
      </c>
      <c r="AR53" s="371" t="s">
        <v>31</v>
      </c>
      <c r="AS53" s="372"/>
      <c r="AT53" s="94" t="s">
        <v>88</v>
      </c>
      <c r="AU53" s="93" t="s">
        <v>150</v>
      </c>
      <c r="AV53" s="371" t="s">
        <v>31</v>
      </c>
      <c r="AW53" s="372"/>
      <c r="AX53" s="94" t="s">
        <v>88</v>
      </c>
    </row>
    <row r="54" spans="1:62">
      <c r="C54" s="95">
        <v>43495</v>
      </c>
      <c r="D54" s="373" t="s">
        <v>235</v>
      </c>
      <c r="E54" s="374"/>
      <c r="F54" s="98"/>
      <c r="G54" s="95">
        <v>43497</v>
      </c>
      <c r="H54" s="373" t="s">
        <v>270</v>
      </c>
      <c r="I54" s="374"/>
      <c r="J54" s="100">
        <v>500</v>
      </c>
      <c r="K54" s="95">
        <v>43539</v>
      </c>
      <c r="L54" s="379" t="s">
        <v>257</v>
      </c>
      <c r="M54" s="380"/>
      <c r="N54" s="100">
        <v>70</v>
      </c>
      <c r="O54" s="95"/>
      <c r="P54" s="384"/>
      <c r="Q54" s="385"/>
      <c r="R54" s="102"/>
      <c r="S54" s="95">
        <v>43594</v>
      </c>
      <c r="T54" s="379" t="s">
        <v>243</v>
      </c>
      <c r="U54" s="380"/>
      <c r="V54" s="103"/>
      <c r="W54" s="96"/>
      <c r="X54" s="394"/>
      <c r="Y54" s="395"/>
      <c r="Z54" s="104"/>
      <c r="AA54" s="95"/>
      <c r="AB54" s="386" t="s">
        <v>478</v>
      </c>
      <c r="AC54" s="387"/>
      <c r="AD54" s="239">
        <v>16</v>
      </c>
      <c r="AE54" s="95"/>
      <c r="AF54" s="398"/>
      <c r="AG54" s="399"/>
      <c r="AH54" s="100"/>
      <c r="AI54" s="95"/>
      <c r="AJ54" s="400"/>
      <c r="AK54" s="401"/>
      <c r="AL54" s="100"/>
      <c r="AM54" s="95"/>
      <c r="AN54" s="400"/>
      <c r="AO54" s="401"/>
      <c r="AP54" s="100"/>
      <c r="AQ54" s="95"/>
      <c r="AR54" s="384"/>
      <c r="AS54" s="385"/>
      <c r="AT54" s="100"/>
      <c r="AU54" s="95"/>
      <c r="AV54" s="373"/>
      <c r="AW54" s="374"/>
      <c r="AX54" s="100"/>
    </row>
    <row r="55" spans="1:62">
      <c r="C55" s="96"/>
      <c r="D55" s="377" t="s">
        <v>236</v>
      </c>
      <c r="E55" s="378"/>
      <c r="F55" s="98">
        <v>121.4</v>
      </c>
      <c r="G55" s="96">
        <v>43516</v>
      </c>
      <c r="H55" s="377" t="s">
        <v>311</v>
      </c>
      <c r="I55" s="378"/>
      <c r="J55" s="100"/>
      <c r="K55" s="96">
        <v>43553</v>
      </c>
      <c r="L55" s="377" t="s">
        <v>297</v>
      </c>
      <c r="M55" s="378"/>
      <c r="N55" s="100">
        <v>4421.9399999999996</v>
      </c>
      <c r="O55" s="96">
        <v>43565</v>
      </c>
      <c r="P55" s="377" t="s">
        <v>323</v>
      </c>
      <c r="Q55" s="378"/>
      <c r="R55" s="100">
        <v>10</v>
      </c>
      <c r="S55" s="96">
        <v>43607</v>
      </c>
      <c r="T55" s="377" t="s">
        <v>311</v>
      </c>
      <c r="U55" s="378"/>
      <c r="V55" s="100"/>
      <c r="W55" s="96"/>
      <c r="X55" s="394"/>
      <c r="Y55" s="395"/>
      <c r="Z55" s="100"/>
      <c r="AA55" s="96"/>
      <c r="AB55" s="377"/>
      <c r="AC55" s="378"/>
      <c r="AD55" s="100"/>
      <c r="AE55" s="96"/>
      <c r="AF55" s="394"/>
      <c r="AG55" s="395"/>
      <c r="AH55" s="100"/>
      <c r="AI55" s="96"/>
      <c r="AJ55" s="394"/>
      <c r="AK55" s="395"/>
      <c r="AL55" s="100"/>
      <c r="AM55" s="96"/>
      <c r="AN55" s="394"/>
      <c r="AO55" s="395"/>
      <c r="AP55" s="100"/>
      <c r="AQ55" s="96"/>
      <c r="AR55" s="377"/>
      <c r="AS55" s="378"/>
      <c r="AT55" s="100"/>
      <c r="AU55" s="96"/>
      <c r="AV55" s="377"/>
      <c r="AW55" s="378"/>
      <c r="AX55" s="100"/>
    </row>
    <row r="56" spans="1:62">
      <c r="B56" s="119"/>
      <c r="C56" s="96">
        <v>43472</v>
      </c>
      <c r="D56" s="377" t="s">
        <v>151</v>
      </c>
      <c r="E56" s="378"/>
      <c r="F56" s="98">
        <v>15</v>
      </c>
      <c r="G56" s="96">
        <v>43507</v>
      </c>
      <c r="H56" s="377" t="s">
        <v>323</v>
      </c>
      <c r="I56" s="378"/>
      <c r="J56" s="100">
        <v>10</v>
      </c>
      <c r="K56" s="96">
        <v>43529</v>
      </c>
      <c r="L56" s="377" t="s">
        <v>325</v>
      </c>
      <c r="M56" s="378"/>
      <c r="N56" s="100">
        <v>3362.6</v>
      </c>
      <c r="O56" s="96">
        <v>43576</v>
      </c>
      <c r="P56" s="386" t="s">
        <v>235</v>
      </c>
      <c r="Q56" s="387"/>
      <c r="R56" s="102"/>
      <c r="S56" s="96"/>
      <c r="T56" s="377"/>
      <c r="U56" s="378"/>
      <c r="V56" s="100"/>
      <c r="W56" s="96"/>
      <c r="X56" s="377"/>
      <c r="Y56" s="378"/>
      <c r="Z56" s="100"/>
      <c r="AA56" s="96"/>
      <c r="AB56" s="377"/>
      <c r="AC56" s="378"/>
      <c r="AD56" s="100"/>
      <c r="AE56" s="96"/>
      <c r="AF56" s="394"/>
      <c r="AG56" s="395"/>
      <c r="AH56" s="100"/>
      <c r="AI56" s="96"/>
      <c r="AJ56" s="388"/>
      <c r="AK56" s="389"/>
      <c r="AL56" s="100"/>
      <c r="AM56" s="96"/>
      <c r="AN56" s="388"/>
      <c r="AO56" s="389"/>
      <c r="AP56" s="100"/>
      <c r="AQ56" s="96"/>
      <c r="AR56" s="394"/>
      <c r="AS56" s="395"/>
      <c r="AT56" s="100"/>
      <c r="AU56" s="96"/>
      <c r="AV56" s="377"/>
      <c r="AW56" s="378"/>
      <c r="AX56" s="100"/>
    </row>
    <row r="57" spans="1:62">
      <c r="C57" s="96">
        <v>43476</v>
      </c>
      <c r="D57" s="377" t="s">
        <v>153</v>
      </c>
      <c r="E57" s="378"/>
      <c r="F57" s="98">
        <v>10</v>
      </c>
      <c r="G57" s="96">
        <v>43516</v>
      </c>
      <c r="H57" s="377" t="s">
        <v>352</v>
      </c>
      <c r="I57" s="378"/>
      <c r="J57" s="100"/>
      <c r="K57" s="96">
        <v>43533</v>
      </c>
      <c r="L57" s="377" t="s">
        <v>235</v>
      </c>
      <c r="M57" s="378"/>
      <c r="N57" s="100"/>
      <c r="O57" s="96">
        <v>43578</v>
      </c>
      <c r="P57" s="381" t="s">
        <v>390</v>
      </c>
      <c r="Q57" s="382"/>
      <c r="R57" s="100">
        <v>10</v>
      </c>
      <c r="S57" s="96"/>
      <c r="T57" s="377"/>
      <c r="U57" s="378"/>
      <c r="V57" s="100"/>
      <c r="W57" s="96"/>
      <c r="X57" s="377"/>
      <c r="Y57" s="378"/>
      <c r="Z57" s="100"/>
      <c r="AA57" s="96"/>
      <c r="AB57" s="394"/>
      <c r="AC57" s="395"/>
      <c r="AD57" s="100"/>
      <c r="AE57" s="96"/>
      <c r="AF57" s="377"/>
      <c r="AG57" s="378"/>
      <c r="AH57" s="100"/>
      <c r="AI57" s="96"/>
      <c r="AJ57" s="390"/>
      <c r="AK57" s="391"/>
      <c r="AL57" s="100"/>
      <c r="AM57" s="96"/>
      <c r="AN57" s="388"/>
      <c r="AO57" s="389"/>
      <c r="AP57" s="100"/>
      <c r="AQ57" s="96"/>
      <c r="AR57" s="377"/>
      <c r="AS57" s="378"/>
      <c r="AT57" s="100"/>
      <c r="AU57" s="96"/>
      <c r="AV57" s="377"/>
      <c r="AW57" s="378"/>
      <c r="AX57" s="100"/>
    </row>
    <row r="58" spans="1:62">
      <c r="C58" s="96">
        <v>43478</v>
      </c>
      <c r="D58" s="377" t="s">
        <v>243</v>
      </c>
      <c r="E58" s="378"/>
      <c r="F58" s="98"/>
      <c r="G58" s="96"/>
      <c r="H58" s="377"/>
      <c r="I58" s="378"/>
      <c r="J58" s="100"/>
      <c r="K58" s="96">
        <v>43536</v>
      </c>
      <c r="L58" s="377" t="s">
        <v>243</v>
      </c>
      <c r="M58" s="378"/>
      <c r="N58" s="100"/>
      <c r="O58" s="96"/>
      <c r="P58" s="377"/>
      <c r="Q58" s="378"/>
      <c r="R58" s="100"/>
      <c r="S58" s="96"/>
      <c r="T58" s="377"/>
      <c r="U58" s="378"/>
      <c r="V58" s="100"/>
      <c r="W58" s="96"/>
      <c r="X58" s="377"/>
      <c r="Y58" s="378"/>
      <c r="Z58" s="100"/>
      <c r="AA58" s="96"/>
      <c r="AB58" s="394"/>
      <c r="AC58" s="395"/>
      <c r="AD58" s="100"/>
      <c r="AE58" s="96"/>
      <c r="AF58" s="377"/>
      <c r="AG58" s="378"/>
      <c r="AH58" s="100"/>
      <c r="AI58" s="96"/>
      <c r="AJ58" s="390"/>
      <c r="AK58" s="391"/>
      <c r="AL58" s="100"/>
      <c r="AM58" s="96"/>
      <c r="AN58" s="390"/>
      <c r="AO58" s="391"/>
      <c r="AP58" s="100"/>
      <c r="AQ58" s="96"/>
      <c r="AR58" s="377"/>
      <c r="AS58" s="378"/>
      <c r="AT58" s="100"/>
      <c r="AU58" s="96"/>
      <c r="AV58" s="377"/>
      <c r="AW58" s="378"/>
      <c r="AX58" s="100"/>
    </row>
    <row r="59" spans="1:62">
      <c r="C59" s="96">
        <v>43481</v>
      </c>
      <c r="D59" s="377" t="s">
        <v>271</v>
      </c>
      <c r="E59" s="378"/>
      <c r="F59" s="98">
        <v>50</v>
      </c>
      <c r="G59" s="96"/>
      <c r="H59" s="377"/>
      <c r="I59" s="378"/>
      <c r="J59" s="100"/>
      <c r="K59" s="96"/>
      <c r="L59" s="377" t="s">
        <v>386</v>
      </c>
      <c r="M59" s="378"/>
      <c r="N59" s="100">
        <f>3.1+10.5</f>
        <v>13.6</v>
      </c>
      <c r="O59" s="96"/>
      <c r="P59" s="377"/>
      <c r="Q59" s="378"/>
      <c r="R59" s="100"/>
      <c r="S59" s="96"/>
      <c r="T59" s="388"/>
      <c r="U59" s="389"/>
      <c r="V59" s="100"/>
      <c r="W59" s="96"/>
      <c r="X59" s="388"/>
      <c r="Y59" s="389"/>
      <c r="Z59" s="100"/>
      <c r="AA59" s="96"/>
      <c r="AB59" s="388"/>
      <c r="AC59" s="389"/>
      <c r="AD59" s="100"/>
      <c r="AE59" s="96"/>
      <c r="AF59" s="377"/>
      <c r="AG59" s="378"/>
      <c r="AH59" s="100"/>
      <c r="AI59" s="96"/>
      <c r="AJ59" s="390"/>
      <c r="AK59" s="391"/>
      <c r="AL59" s="100"/>
      <c r="AM59" s="96"/>
      <c r="AN59" s="390"/>
      <c r="AO59" s="391"/>
      <c r="AP59" s="100"/>
      <c r="AQ59" s="96"/>
      <c r="AR59" s="377"/>
      <c r="AS59" s="378"/>
      <c r="AT59" s="100"/>
      <c r="AU59" s="96"/>
      <c r="AV59" s="377"/>
      <c r="AW59" s="378"/>
      <c r="AX59" s="100"/>
    </row>
    <row r="60" spans="1:62">
      <c r="C60" s="96">
        <v>43488</v>
      </c>
      <c r="D60" s="377" t="s">
        <v>290</v>
      </c>
      <c r="E60" s="378"/>
      <c r="F60" s="98"/>
      <c r="G60" s="96"/>
      <c r="H60" s="377"/>
      <c r="I60" s="378"/>
      <c r="J60" s="100"/>
      <c r="K60" s="235">
        <v>43549</v>
      </c>
      <c r="L60" s="381" t="s">
        <v>390</v>
      </c>
      <c r="M60" s="382"/>
      <c r="N60" s="236">
        <v>15</v>
      </c>
      <c r="O60" s="96"/>
      <c r="P60" s="377"/>
      <c r="Q60" s="378"/>
      <c r="R60" s="100"/>
      <c r="S60" s="96"/>
      <c r="T60" s="388"/>
      <c r="U60" s="389"/>
      <c r="V60" s="100"/>
      <c r="W60" s="96"/>
      <c r="X60" s="390"/>
      <c r="Y60" s="391"/>
      <c r="Z60" s="100"/>
      <c r="AA60" s="96"/>
      <c r="AB60" s="390"/>
      <c r="AC60" s="391"/>
      <c r="AD60" s="100"/>
      <c r="AE60" s="96"/>
      <c r="AF60" s="388"/>
      <c r="AG60" s="389"/>
      <c r="AH60" s="100"/>
      <c r="AI60" s="96"/>
      <c r="AJ60" s="390"/>
      <c r="AK60" s="391"/>
      <c r="AL60" s="100"/>
      <c r="AM60" s="96"/>
      <c r="AN60" s="390"/>
      <c r="AO60" s="391"/>
      <c r="AP60" s="100"/>
      <c r="AQ60" s="96"/>
      <c r="AR60" s="377"/>
      <c r="AS60" s="378"/>
      <c r="AT60" s="100"/>
      <c r="AU60" s="96"/>
      <c r="AV60" s="377"/>
      <c r="AW60" s="378"/>
      <c r="AX60" s="100"/>
    </row>
    <row r="61" spans="1:62">
      <c r="C61" s="96">
        <v>43490</v>
      </c>
      <c r="D61" s="377" t="s">
        <v>292</v>
      </c>
      <c r="E61" s="378"/>
      <c r="F61" s="98">
        <v>40</v>
      </c>
      <c r="G61" s="96"/>
      <c r="H61" s="377"/>
      <c r="I61" s="378"/>
      <c r="J61" s="100"/>
      <c r="K61" s="96"/>
      <c r="L61" s="383"/>
      <c r="M61" s="378"/>
      <c r="N61" s="100"/>
      <c r="O61" s="96"/>
      <c r="P61" s="377"/>
      <c r="Q61" s="378"/>
      <c r="R61" s="100"/>
      <c r="S61" s="96"/>
      <c r="T61" s="388"/>
      <c r="U61" s="389"/>
      <c r="V61" s="100"/>
      <c r="W61" s="96"/>
      <c r="X61" s="390"/>
      <c r="Y61" s="391"/>
      <c r="Z61" s="100"/>
      <c r="AA61" s="96"/>
      <c r="AB61" s="390"/>
      <c r="AC61" s="391"/>
      <c r="AD61" s="100"/>
      <c r="AE61" s="96"/>
      <c r="AF61" s="390"/>
      <c r="AG61" s="391"/>
      <c r="AH61" s="100"/>
      <c r="AI61" s="96"/>
      <c r="AJ61" s="390"/>
      <c r="AK61" s="391"/>
      <c r="AL61" s="100"/>
      <c r="AM61" s="96"/>
      <c r="AN61" s="390"/>
      <c r="AO61" s="391"/>
      <c r="AP61" s="100"/>
      <c r="AQ61" s="96"/>
      <c r="AR61" s="377"/>
      <c r="AS61" s="378"/>
      <c r="AT61" s="100"/>
      <c r="AU61" s="96"/>
      <c r="AV61" s="377"/>
      <c r="AW61" s="378"/>
      <c r="AX61" s="100"/>
    </row>
    <row r="62" spans="1:62">
      <c r="C62" s="96"/>
      <c r="D62" s="377"/>
      <c r="E62" s="378"/>
      <c r="F62" s="98"/>
      <c r="G62" s="96"/>
      <c r="H62" s="377"/>
      <c r="I62" s="378"/>
      <c r="J62" s="100"/>
      <c r="K62" s="96"/>
      <c r="L62" s="377"/>
      <c r="M62" s="378"/>
      <c r="N62" s="100"/>
      <c r="O62" s="96"/>
      <c r="P62" s="377"/>
      <c r="Q62" s="378"/>
      <c r="R62" s="100"/>
      <c r="S62" s="96"/>
      <c r="T62" s="388"/>
      <c r="U62" s="389"/>
      <c r="V62" s="100"/>
      <c r="W62" s="96"/>
      <c r="X62" s="390"/>
      <c r="Y62" s="391"/>
      <c r="Z62" s="100"/>
      <c r="AA62" s="96"/>
      <c r="AB62" s="390"/>
      <c r="AC62" s="391"/>
      <c r="AD62" s="100"/>
      <c r="AE62" s="96"/>
      <c r="AF62" s="390"/>
      <c r="AG62" s="391"/>
      <c r="AH62" s="100"/>
      <c r="AI62" s="96"/>
      <c r="AJ62" s="390"/>
      <c r="AK62" s="391"/>
      <c r="AL62" s="100"/>
      <c r="AM62" s="96"/>
      <c r="AN62" s="390"/>
      <c r="AO62" s="391"/>
      <c r="AP62" s="100"/>
      <c r="AQ62" s="96"/>
      <c r="AR62" s="377"/>
      <c r="AS62" s="378"/>
      <c r="AT62" s="100"/>
      <c r="AU62" s="96"/>
      <c r="AV62" s="377"/>
      <c r="AW62" s="378"/>
      <c r="AX62" s="100"/>
    </row>
    <row r="63" spans="1:62">
      <c r="C63" s="96"/>
      <c r="D63" s="377"/>
      <c r="E63" s="378"/>
      <c r="F63" s="98"/>
      <c r="G63" s="96"/>
      <c r="H63" s="377"/>
      <c r="I63" s="378"/>
      <c r="J63" s="100"/>
      <c r="K63" s="96"/>
      <c r="L63" s="377"/>
      <c r="M63" s="378"/>
      <c r="N63" s="100"/>
      <c r="O63" s="96"/>
      <c r="P63" s="377"/>
      <c r="Q63" s="378"/>
      <c r="R63" s="100"/>
      <c r="S63" s="96"/>
      <c r="T63" s="388"/>
      <c r="U63" s="389"/>
      <c r="V63" s="100"/>
      <c r="W63" s="96"/>
      <c r="X63" s="390"/>
      <c r="Y63" s="391"/>
      <c r="Z63" s="100"/>
      <c r="AA63" s="96"/>
      <c r="AB63" s="390"/>
      <c r="AC63" s="391"/>
      <c r="AD63" s="100"/>
      <c r="AE63" s="96"/>
      <c r="AF63" s="390"/>
      <c r="AG63" s="391"/>
      <c r="AH63" s="100"/>
      <c r="AI63" s="96"/>
      <c r="AJ63" s="390"/>
      <c r="AK63" s="391"/>
      <c r="AL63" s="100"/>
      <c r="AM63" s="96"/>
      <c r="AN63" s="390"/>
      <c r="AO63" s="391"/>
      <c r="AP63" s="100"/>
      <c r="AQ63" s="96"/>
      <c r="AR63" s="377"/>
      <c r="AS63" s="378"/>
      <c r="AT63" s="100"/>
      <c r="AU63" s="96"/>
      <c r="AV63" s="377"/>
      <c r="AW63" s="378"/>
      <c r="AX63" s="100"/>
    </row>
    <row r="64" spans="1:62">
      <c r="C64" s="96"/>
      <c r="D64" s="377"/>
      <c r="E64" s="378"/>
      <c r="F64" s="98"/>
      <c r="G64" s="96"/>
      <c r="H64" s="377"/>
      <c r="I64" s="378"/>
      <c r="J64" s="100"/>
      <c r="K64" s="96"/>
      <c r="L64" s="377"/>
      <c r="M64" s="378"/>
      <c r="N64" s="100"/>
      <c r="O64" s="96"/>
      <c r="P64" s="377"/>
      <c r="Q64" s="378"/>
      <c r="R64" s="100"/>
      <c r="S64" s="96"/>
      <c r="T64" s="388"/>
      <c r="U64" s="389"/>
      <c r="V64" s="100"/>
      <c r="W64" s="96"/>
      <c r="X64" s="390"/>
      <c r="Y64" s="391"/>
      <c r="Z64" s="100"/>
      <c r="AA64" s="96"/>
      <c r="AB64" s="390"/>
      <c r="AC64" s="391"/>
      <c r="AD64" s="100"/>
      <c r="AE64" s="96"/>
      <c r="AF64" s="390"/>
      <c r="AG64" s="391"/>
      <c r="AH64" s="100"/>
      <c r="AI64" s="96"/>
      <c r="AJ64" s="390"/>
      <c r="AK64" s="391"/>
      <c r="AL64" s="100"/>
      <c r="AM64" s="96"/>
      <c r="AN64" s="390"/>
      <c r="AO64" s="391"/>
      <c r="AP64" s="100"/>
      <c r="AQ64" s="96"/>
      <c r="AR64" s="377"/>
      <c r="AS64" s="378"/>
      <c r="AT64" s="100"/>
      <c r="AU64" s="96"/>
      <c r="AV64" s="377"/>
      <c r="AW64" s="378"/>
      <c r="AX64" s="100"/>
    </row>
    <row r="65" spans="1:50">
      <c r="C65" s="96"/>
      <c r="D65" s="377"/>
      <c r="E65" s="378"/>
      <c r="F65" s="98"/>
      <c r="G65" s="96"/>
      <c r="H65" s="377"/>
      <c r="I65" s="378"/>
      <c r="J65" s="100"/>
      <c r="K65" s="96"/>
      <c r="L65" s="377"/>
      <c r="M65" s="378"/>
      <c r="N65" s="100"/>
      <c r="O65" s="96"/>
      <c r="P65" s="377"/>
      <c r="Q65" s="378"/>
      <c r="R65" s="100"/>
      <c r="S65" s="96"/>
      <c r="T65" s="388"/>
      <c r="U65" s="389"/>
      <c r="V65" s="100"/>
      <c r="W65" s="96"/>
      <c r="X65" s="390"/>
      <c r="Y65" s="391"/>
      <c r="Z65" s="100"/>
      <c r="AA65" s="96"/>
      <c r="AB65" s="390"/>
      <c r="AC65" s="391"/>
      <c r="AD65" s="100"/>
      <c r="AE65" s="96"/>
      <c r="AF65" s="390"/>
      <c r="AG65" s="391"/>
      <c r="AH65" s="100"/>
      <c r="AI65" s="96"/>
      <c r="AJ65" s="390"/>
      <c r="AK65" s="391"/>
      <c r="AL65" s="100"/>
      <c r="AM65" s="96"/>
      <c r="AN65" s="390"/>
      <c r="AO65" s="391"/>
      <c r="AP65" s="100"/>
      <c r="AQ65" s="96"/>
      <c r="AR65" s="377"/>
      <c r="AS65" s="378"/>
      <c r="AT65" s="100"/>
      <c r="AU65" s="96"/>
      <c r="AV65" s="377"/>
      <c r="AW65" s="378"/>
      <c r="AX65" s="100"/>
    </row>
    <row r="66" spans="1:50">
      <c r="C66" s="96"/>
      <c r="D66" s="377"/>
      <c r="E66" s="378"/>
      <c r="F66" s="98"/>
      <c r="G66" s="96"/>
      <c r="H66" s="377"/>
      <c r="I66" s="378"/>
      <c r="J66" s="100"/>
      <c r="K66" s="96"/>
      <c r="L66" s="377"/>
      <c r="M66" s="378"/>
      <c r="N66" s="100"/>
      <c r="O66" s="96"/>
      <c r="P66" s="377"/>
      <c r="Q66" s="378"/>
      <c r="R66" s="100"/>
      <c r="S66" s="96"/>
      <c r="T66" s="390"/>
      <c r="U66" s="391"/>
      <c r="V66" s="100"/>
      <c r="W66" s="96"/>
      <c r="X66" s="390"/>
      <c r="Y66" s="391"/>
      <c r="Z66" s="100"/>
      <c r="AA66" s="96"/>
      <c r="AB66" s="390"/>
      <c r="AC66" s="391"/>
      <c r="AD66" s="100"/>
      <c r="AE66" s="96"/>
      <c r="AF66" s="390"/>
      <c r="AG66" s="391"/>
      <c r="AH66" s="100"/>
      <c r="AI66" s="96"/>
      <c r="AJ66" s="390"/>
      <c r="AK66" s="391"/>
      <c r="AL66" s="100"/>
      <c r="AM66" s="96"/>
      <c r="AN66" s="390"/>
      <c r="AO66" s="391"/>
      <c r="AP66" s="100"/>
      <c r="AQ66" s="96"/>
      <c r="AR66" s="377"/>
      <c r="AS66" s="378"/>
      <c r="AT66" s="100"/>
      <c r="AU66" s="96"/>
      <c r="AV66" s="377"/>
      <c r="AW66" s="378"/>
      <c r="AX66" s="100"/>
    </row>
    <row r="67" spans="1:50">
      <c r="C67" s="96"/>
      <c r="D67" s="377"/>
      <c r="E67" s="378"/>
      <c r="F67" s="98"/>
      <c r="G67" s="96"/>
      <c r="H67" s="377"/>
      <c r="I67" s="378"/>
      <c r="J67" s="100"/>
      <c r="K67" s="96"/>
      <c r="L67" s="377"/>
      <c r="M67" s="378"/>
      <c r="N67" s="100"/>
      <c r="O67" s="96"/>
      <c r="P67" s="377"/>
      <c r="Q67" s="378"/>
      <c r="R67" s="100"/>
      <c r="S67" s="96"/>
      <c r="T67" s="390"/>
      <c r="U67" s="391"/>
      <c r="V67" s="100"/>
      <c r="W67" s="96"/>
      <c r="X67" s="390"/>
      <c r="Y67" s="391"/>
      <c r="Z67" s="100"/>
      <c r="AA67" s="96"/>
      <c r="AB67" s="390"/>
      <c r="AC67" s="391"/>
      <c r="AD67" s="100"/>
      <c r="AE67" s="96"/>
      <c r="AF67" s="390"/>
      <c r="AG67" s="391"/>
      <c r="AH67" s="100"/>
      <c r="AI67" s="96"/>
      <c r="AJ67" s="390"/>
      <c r="AK67" s="391"/>
      <c r="AL67" s="100"/>
      <c r="AM67" s="96"/>
      <c r="AN67" s="390"/>
      <c r="AO67" s="391"/>
      <c r="AP67" s="100"/>
      <c r="AQ67" s="96"/>
      <c r="AR67" s="377"/>
      <c r="AS67" s="378"/>
      <c r="AT67" s="100"/>
      <c r="AU67" s="96"/>
      <c r="AV67" s="377"/>
      <c r="AW67" s="378"/>
      <c r="AX67" s="100"/>
    </row>
    <row r="68" spans="1:50">
      <c r="C68" s="96"/>
      <c r="D68" s="377"/>
      <c r="E68" s="378"/>
      <c r="F68" s="98"/>
      <c r="G68" s="96"/>
      <c r="H68" s="377"/>
      <c r="I68" s="378"/>
      <c r="J68" s="100"/>
      <c r="K68" s="96"/>
      <c r="L68" s="377"/>
      <c r="M68" s="378"/>
      <c r="N68" s="100"/>
      <c r="O68" s="96"/>
      <c r="P68" s="377"/>
      <c r="Q68" s="378"/>
      <c r="R68" s="100"/>
      <c r="S68" s="96"/>
      <c r="T68" s="390"/>
      <c r="U68" s="391"/>
      <c r="V68" s="100"/>
      <c r="W68" s="96"/>
      <c r="X68" s="390"/>
      <c r="Y68" s="391"/>
      <c r="Z68" s="100"/>
      <c r="AA68" s="96"/>
      <c r="AB68" s="390"/>
      <c r="AC68" s="391"/>
      <c r="AD68" s="100"/>
      <c r="AE68" s="96"/>
      <c r="AF68" s="390"/>
      <c r="AG68" s="391"/>
      <c r="AH68" s="100"/>
      <c r="AI68" s="96"/>
      <c r="AJ68" s="390"/>
      <c r="AK68" s="391"/>
      <c r="AL68" s="100"/>
      <c r="AM68" s="96"/>
      <c r="AN68" s="390"/>
      <c r="AO68" s="391"/>
      <c r="AP68" s="100"/>
      <c r="AQ68" s="96"/>
      <c r="AR68" s="377"/>
      <c r="AS68" s="378"/>
      <c r="AT68" s="100"/>
      <c r="AU68" s="96"/>
      <c r="AV68" s="377"/>
      <c r="AW68" s="378"/>
      <c r="AX68" s="100"/>
    </row>
    <row r="69" spans="1:50">
      <c r="C69" s="96"/>
      <c r="D69" s="377"/>
      <c r="E69" s="378"/>
      <c r="F69" s="98"/>
      <c r="G69" s="96"/>
      <c r="H69" s="377"/>
      <c r="I69" s="378"/>
      <c r="J69" s="100"/>
      <c r="K69" s="96"/>
      <c r="L69" s="377"/>
      <c r="M69" s="378"/>
      <c r="N69" s="100"/>
      <c r="O69" s="96"/>
      <c r="P69" s="377"/>
      <c r="Q69" s="378"/>
      <c r="R69" s="100"/>
      <c r="S69" s="96"/>
      <c r="T69" s="390"/>
      <c r="U69" s="391"/>
      <c r="V69" s="100"/>
      <c r="W69" s="96"/>
      <c r="X69" s="390"/>
      <c r="Y69" s="391"/>
      <c r="Z69" s="100"/>
      <c r="AA69" s="96"/>
      <c r="AB69" s="390"/>
      <c r="AC69" s="391"/>
      <c r="AD69" s="100"/>
      <c r="AE69" s="96"/>
      <c r="AF69" s="390"/>
      <c r="AG69" s="391"/>
      <c r="AH69" s="100"/>
      <c r="AI69" s="96"/>
      <c r="AJ69" s="390"/>
      <c r="AK69" s="391"/>
      <c r="AL69" s="100"/>
      <c r="AM69" s="96"/>
      <c r="AN69" s="390"/>
      <c r="AO69" s="391"/>
      <c r="AP69" s="100"/>
      <c r="AQ69" s="96"/>
      <c r="AR69" s="377"/>
      <c r="AS69" s="378"/>
      <c r="AT69" s="100"/>
      <c r="AU69" s="96"/>
      <c r="AV69" s="377"/>
      <c r="AW69" s="378"/>
      <c r="AX69" s="100"/>
    </row>
    <row r="70" spans="1:50">
      <c r="C70" s="96"/>
      <c r="D70" s="377"/>
      <c r="E70" s="378"/>
      <c r="F70" s="98"/>
      <c r="G70" s="96"/>
      <c r="H70" s="377"/>
      <c r="I70" s="378"/>
      <c r="J70" s="100"/>
      <c r="K70" s="96"/>
      <c r="L70" s="377"/>
      <c r="M70" s="378"/>
      <c r="N70" s="100"/>
      <c r="O70" s="96"/>
      <c r="P70" s="377"/>
      <c r="Q70" s="378"/>
      <c r="R70" s="100"/>
      <c r="S70" s="96"/>
      <c r="T70" s="377" t="s">
        <v>568</v>
      </c>
      <c r="U70" s="378"/>
      <c r="V70" s="100">
        <f>4448.85</f>
        <v>4448.8500000000004</v>
      </c>
      <c r="W70" s="96"/>
      <c r="X70" s="377" t="s">
        <v>566</v>
      </c>
      <c r="Y70" s="378"/>
      <c r="Z70" s="100">
        <f>3289.11+270.87</f>
        <v>3559.98</v>
      </c>
      <c r="AA70" s="96"/>
      <c r="AB70" s="390"/>
      <c r="AC70" s="391"/>
      <c r="AD70" s="100"/>
      <c r="AE70" s="96"/>
      <c r="AF70" s="390"/>
      <c r="AG70" s="391"/>
      <c r="AH70" s="100"/>
      <c r="AI70" s="96"/>
      <c r="AJ70" s="390"/>
      <c r="AK70" s="391"/>
      <c r="AL70" s="100"/>
      <c r="AM70" s="96"/>
      <c r="AN70" s="390"/>
      <c r="AO70" s="391"/>
      <c r="AP70" s="100"/>
      <c r="AQ70" s="96"/>
      <c r="AR70" s="377"/>
      <c r="AS70" s="378"/>
      <c r="AT70" s="100"/>
      <c r="AU70" s="96"/>
      <c r="AV70" s="377"/>
      <c r="AW70" s="378"/>
      <c r="AX70" s="100"/>
    </row>
    <row r="71" spans="1:50" ht="15.75" thickBot="1">
      <c r="C71" s="97"/>
      <c r="D71" s="375"/>
      <c r="E71" s="376"/>
      <c r="F71" s="99"/>
      <c r="G71" s="97"/>
      <c r="H71" s="375"/>
      <c r="I71" s="376"/>
      <c r="J71" s="101"/>
      <c r="K71" s="97"/>
      <c r="L71" s="375"/>
      <c r="M71" s="376"/>
      <c r="N71" s="101"/>
      <c r="O71" s="97"/>
      <c r="P71" s="375"/>
      <c r="Q71" s="376"/>
      <c r="R71" s="101"/>
      <c r="S71" s="97"/>
      <c r="T71" s="392" t="s">
        <v>569</v>
      </c>
      <c r="U71" s="393"/>
      <c r="V71" s="101">
        <f>V70-O8</f>
        <v>1878.2900000000004</v>
      </c>
      <c r="W71" s="97"/>
      <c r="X71" s="392" t="s">
        <v>567</v>
      </c>
      <c r="Y71" s="393"/>
      <c r="Z71" s="101">
        <f>Z70-1484.91-429.89</f>
        <v>1645.1799999999998</v>
      </c>
      <c r="AA71" s="97"/>
      <c r="AB71" s="396"/>
      <c r="AC71" s="397"/>
      <c r="AD71" s="101"/>
      <c r="AE71" s="97"/>
      <c r="AF71" s="396"/>
      <c r="AG71" s="397"/>
      <c r="AH71" s="101"/>
      <c r="AI71" s="97"/>
      <c r="AJ71" s="396"/>
      <c r="AK71" s="397"/>
      <c r="AL71" s="101"/>
      <c r="AM71" s="97"/>
      <c r="AN71" s="396"/>
      <c r="AO71" s="397"/>
      <c r="AP71" s="101"/>
      <c r="AQ71" s="97"/>
      <c r="AR71" s="375"/>
      <c r="AS71" s="376"/>
      <c r="AT71" s="101"/>
      <c r="AU71" s="97"/>
      <c r="AV71" s="375"/>
      <c r="AW71" s="376"/>
      <c r="AX71" s="101"/>
    </row>
    <row r="72" spans="1:50">
      <c r="F72">
        <f>8-6.91</f>
        <v>1.0899999999999999</v>
      </c>
      <c r="V72">
        <f>V71/V70</f>
        <v>0.42219674747406638</v>
      </c>
      <c r="Z72">
        <f>Z71/Z70</f>
        <v>0.46213180972926809</v>
      </c>
    </row>
    <row r="73" spans="1:50">
      <c r="D73">
        <v>86</v>
      </c>
      <c r="F73">
        <f>F72*20</f>
        <v>21.799999999999997</v>
      </c>
      <c r="L73" s="119"/>
    </row>
    <row r="74" spans="1:50">
      <c r="A74" t="s">
        <v>254</v>
      </c>
      <c r="C74">
        <v>31</v>
      </c>
      <c r="D74">
        <f>100/C74</f>
        <v>3.225806451612903</v>
      </c>
    </row>
    <row r="75" spans="1:50">
      <c r="A75" t="s">
        <v>255</v>
      </c>
      <c r="C75">
        <v>26</v>
      </c>
      <c r="D75">
        <f>C75*D74</f>
        <v>83.870967741935473</v>
      </c>
      <c r="Z75" s="111"/>
    </row>
    <row r="76" spans="1:50">
      <c r="D76">
        <f>D75-D73</f>
        <v>-2.1290322580645267</v>
      </c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  <hyperlink ref="S22" location="'05'!B42:G60" display="ABRIL" xr:uid="{00000000-0004-0000-0000-000085000000}"/>
    <hyperlink ref="S21" location="'05'!B22:G40" display="ABRIL" xr:uid="{00000000-0004-0000-0000-000084000000}"/>
    <hyperlink ref="S20" location="'05'!B2:G20" display="ABRIL" xr:uid="{00000000-0004-0000-0000-000083000000}"/>
    <hyperlink ref="C7:F7" location="'01'!I22:L69" display="INGRESADO" xr:uid="{EB5D5D2A-3012-4AA5-B3B5-922212596264}"/>
    <hyperlink ref="G7:J7" location="'02'!I22:L69" display="INGRESADO" xr:uid="{4579EC2C-8098-4012-ADEA-1DC228CD1C47}"/>
    <hyperlink ref="K7:N7" location="'03'!I22:L69" display="INGRESADO" xr:uid="{4240C3E8-8E04-4554-8B9C-F8299467D6CC}"/>
    <hyperlink ref="O7:R7" location="'04'!I22:L69" display="INGRESADO" xr:uid="{75552AB7-FCCF-4135-97BD-78A48A9E35BA}"/>
    <hyperlink ref="S7:V7" location="'05'!I22:L69" display="INGRESADO" xr:uid="{18E4E9F0-E51B-4C01-B686-93B2CCDBCA53}"/>
    <hyperlink ref="W7:Z7" location="'06'!I22:L69" display="INGRESADO" xr:uid="{5E22AD0E-AB54-4F79-AE2D-D7E4ED24BB66}"/>
    <hyperlink ref="AA7:AD7" location="'07'!I22:L69" display="INGRESADO" xr:uid="{A9FCEC8E-7786-4CF3-B22A-09D3EA833A3A}"/>
    <hyperlink ref="AE7:AH7" location="'08'!I22:L69" display="INGRESADO" xr:uid="{FDFC58ED-C658-4726-BA45-0CC585858476}"/>
    <hyperlink ref="AI7:AL7" location="'09'!I22:L69" display="INGRESADO" xr:uid="{5DB88952-F241-442C-A093-67921A45C83E}"/>
    <hyperlink ref="AM7:AP7" location="'10'!I22:L69" display="INGRESADO" xr:uid="{B8AC9850-CBA9-49C0-96F0-5556CB618BB8}"/>
    <hyperlink ref="AQ7:AT7" location="'11'!I22:L69" display="INGRESADO" xr:uid="{3C9CE835-BE06-46E8-B7ED-ACDB9E429C65}"/>
    <hyperlink ref="AU7:AX7" location="'12'!I22:L69" display="INGRESADO" xr:uid="{F147DB67-0C07-4580-84D9-761CF6AC9C91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446" workbookViewId="0">
      <selection activeCell="F11" sqref="F11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 Gastos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10" t="s">
        <v>9</v>
      </c>
      <c r="E4" s="410"/>
      <c r="F4" s="410"/>
      <c r="G4" s="403"/>
      <c r="H4" s="222"/>
      <c r="I4" s="40" t="s">
        <v>57</v>
      </c>
      <c r="J4" s="105" t="s">
        <v>58</v>
      </c>
      <c r="K4" s="430" t="s">
        <v>59</v>
      </c>
      <c r="L4" s="43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2"/>
      <c r="L5" s="433"/>
      <c r="M5" s="1"/>
      <c r="N5" s="1"/>
      <c r="R5" s="3"/>
    </row>
    <row r="6" spans="1:22" ht="15.75">
      <c r="A6" s="112">
        <f>'08'!A6+(B6-SUM(D6:F6))</f>
        <v>2010.9299999999998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6">
        <v>550</v>
      </c>
      <c r="L6" s="417"/>
      <c r="M6" s="1" t="s">
        <v>165</v>
      </c>
      <c r="N6" s="1"/>
      <c r="R6" s="3"/>
    </row>
    <row r="7" spans="1:22" ht="15.75">
      <c r="A7" s="112">
        <f>'08'!A7+(B7-SUM(D7:F7))</f>
        <v>313.39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6"/>
      <c r="L7" s="417"/>
      <c r="M7" s="1"/>
      <c r="N7" s="1"/>
      <c r="R7" s="3"/>
    </row>
    <row r="8" spans="1:22" ht="15.75">
      <c r="A8" s="112">
        <f>'08'!A8+(B8-SUM(D8:F8))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6">
        <v>7000</v>
      </c>
      <c r="L8" s="417"/>
      <c r="M8" s="1"/>
      <c r="N8" s="1"/>
      <c r="R8" s="3"/>
    </row>
    <row r="9" spans="1:22" ht="15.75">
      <c r="A9" s="112">
        <f>'08'!A9+(B9-SUM(D9:F9))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6">
        <v>659.77</v>
      </c>
      <c r="L9" s="417"/>
      <c r="M9" s="1"/>
      <c r="N9" s="1"/>
      <c r="R9" s="3"/>
    </row>
    <row r="10" spans="1:22" ht="15.75">
      <c r="A10" s="112">
        <f>'08'!A10+(B10-SUM(D10:F10))</f>
        <v>60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6">
        <v>1800.04</v>
      </c>
      <c r="L10" s="417"/>
      <c r="M10" s="1" t="s">
        <v>156</v>
      </c>
      <c r="N10" s="1"/>
      <c r="R10" s="3"/>
    </row>
    <row r="11" spans="1:22" ht="15.75">
      <c r="A11" s="112">
        <f>'08'!A11+(B11-SUM(D11:F11))</f>
        <v>120.9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6"/>
      <c r="L11" s="417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6">
        <v>5092.08</v>
      </c>
      <c r="L12" s="417"/>
      <c r="M12" s="92"/>
      <c r="N12" s="1"/>
      <c r="R12" s="3"/>
    </row>
    <row r="13" spans="1:22" ht="15.75">
      <c r="A13" s="112">
        <f>'08'!A13+(B13-SUM(D13:F13))</f>
        <v>45.5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8">
        <f>SUM(K5:K18)</f>
        <v>15101.890000000001</v>
      </c>
      <c r="L19" s="419"/>
      <c r="M19" s="1"/>
      <c r="N19" s="1"/>
      <c r="R19" s="3"/>
    </row>
    <row r="20" spans="1:18" ht="16.5" thickBot="1">
      <c r="A20" s="112">
        <f>SUM(A6:A15)</f>
        <v>2813.7599999999998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10" t="s">
        <v>9</v>
      </c>
      <c r="E24" s="410"/>
      <c r="F24" s="410"/>
      <c r="G24" s="403"/>
      <c r="H24" s="1"/>
      <c r="I24" s="40" t="s">
        <v>31</v>
      </c>
      <c r="J24" s="435" t="s">
        <v>87</v>
      </c>
      <c r="K24" s="436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1" t="str">
        <f>AÑO!A8</f>
        <v>Manolo Salario</v>
      </c>
      <c r="J25" s="424"/>
      <c r="K25" s="425"/>
      <c r="L25" s="198"/>
      <c r="M25" s="1"/>
      <c r="R25" s="3"/>
    </row>
    <row r="26" spans="1:18" ht="15.75">
      <c r="A26" s="112">
        <f>'08'!A26+(B26-SUM(D26:F26))</f>
        <v>3600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2"/>
      <c r="J26" s="426"/>
      <c r="K26" s="427"/>
      <c r="L26" s="199"/>
      <c r="M26" s="1"/>
      <c r="R26" s="3"/>
    </row>
    <row r="27" spans="1:18" ht="15.75">
      <c r="A27" s="112">
        <f>'08'!A27+(B27-SUM(D27:F27))</f>
        <v>726.02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22"/>
      <c r="J27" s="426"/>
      <c r="K27" s="427"/>
      <c r="L27" s="199"/>
      <c r="M27" s="1"/>
      <c r="R27" s="3"/>
    </row>
    <row r="28" spans="1:18" ht="15.75">
      <c r="A28" s="112">
        <f>'08'!A28+(B28-SUM(D28:F28))</f>
        <v>238.3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2"/>
      <c r="J28" s="426"/>
      <c r="K28" s="427"/>
      <c r="L28" s="199"/>
      <c r="M28" s="1"/>
      <c r="R28" s="3"/>
    </row>
    <row r="29" spans="1:18" ht="15.75">
      <c r="A29" s="112">
        <f>'08'!A29+(B29-SUM(D29:F29))</f>
        <v>73.430000000000007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3"/>
      <c r="J29" s="428"/>
      <c r="K29" s="429"/>
      <c r="L29" s="201"/>
      <c r="M29" s="1"/>
      <c r="R29" s="3"/>
    </row>
    <row r="30" spans="1:18" ht="15.75" customHeight="1">
      <c r="A30" s="112">
        <f>'08'!A30+(B30-SUM(D30:F30))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1" t="str">
        <f>AÑO!A9</f>
        <v>Rocío Salario</v>
      </c>
      <c r="J30" s="424"/>
      <c r="K30" s="425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/>
      <c r="K31" s="427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/>
      <c r="K32" s="427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218</v>
      </c>
      <c r="J35" s="424"/>
      <c r="K35" s="425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01"/>
      <c r="M39" s="1"/>
      <c r="R39" s="3"/>
    </row>
    <row r="40" spans="1:18" ht="16.5" thickBot="1">
      <c r="A40" s="112">
        <f>SUM(A26:A35)</f>
        <v>4824.0300000000007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1" t="str">
        <f>AÑO!A11</f>
        <v>Finanazas</v>
      </c>
      <c r="J40" s="424"/>
      <c r="K40" s="42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199"/>
      <c r="M41" s="1"/>
      <c r="R41" s="3"/>
    </row>
    <row r="42" spans="1:18" ht="15.6" customHeight="1">
      <c r="A42" s="1"/>
      <c r="B42" s="404" t="str">
        <f>AÑO!A22</f>
        <v>Comida+Limpieza</v>
      </c>
      <c r="C42" s="411"/>
      <c r="D42" s="411"/>
      <c r="E42" s="411"/>
      <c r="F42" s="411"/>
      <c r="G42" s="412"/>
      <c r="H42" s="1"/>
      <c r="I42" s="422"/>
      <c r="J42" s="426"/>
      <c r="K42" s="427"/>
      <c r="L42" s="19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199"/>
      <c r="M43" s="1"/>
      <c r="R43" s="3"/>
    </row>
    <row r="44" spans="1:18" ht="15.75">
      <c r="A44" s="1"/>
      <c r="B44" s="402" t="s">
        <v>8</v>
      </c>
      <c r="C44" s="403"/>
      <c r="D44" s="410" t="s">
        <v>9</v>
      </c>
      <c r="E44" s="410"/>
      <c r="F44" s="410"/>
      <c r="G44" s="403"/>
      <c r="H44" s="1"/>
      <c r="I44" s="423"/>
      <c r="J44" s="428"/>
      <c r="K44" s="429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1" t="str">
        <f>AÑO!A12</f>
        <v>Regalos</v>
      </c>
      <c r="J45" s="424"/>
      <c r="K45" s="425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22"/>
      <c r="J46" s="426"/>
      <c r="K46" s="427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22"/>
      <c r="J47" s="426"/>
      <c r="K47" s="427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2"/>
      <c r="J48" s="426"/>
      <c r="K48" s="427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3"/>
      <c r="J49" s="428"/>
      <c r="K49" s="429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1" t="str">
        <f>AÑO!A13</f>
        <v>Gubernamental</v>
      </c>
      <c r="J50" s="424"/>
      <c r="K50" s="425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2"/>
      <c r="J51" s="426"/>
      <c r="K51" s="427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2"/>
      <c r="J52" s="426"/>
      <c r="K52" s="427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2"/>
      <c r="J53" s="426"/>
      <c r="K53" s="427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24"/>
      <c r="K55" s="425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1" t="str">
        <f>AÑO!A15</f>
        <v>Alquiler Cartama</v>
      </c>
      <c r="J60" s="424"/>
      <c r="K60" s="425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19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19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199"/>
      <c r="M63" s="1"/>
      <c r="R63" s="3"/>
    </row>
    <row r="64" spans="1:18" ht="15.75">
      <c r="A64" s="1"/>
      <c r="B64" s="402" t="s">
        <v>8</v>
      </c>
      <c r="C64" s="403"/>
      <c r="D64" s="410" t="s">
        <v>9</v>
      </c>
      <c r="E64" s="410"/>
      <c r="F64" s="410"/>
      <c r="G64" s="403"/>
      <c r="H64" s="1"/>
      <c r="I64" s="423"/>
      <c r="J64" s="428"/>
      <c r="K64" s="429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1" t="str">
        <f>AÑO!A16</f>
        <v>Otros</v>
      </c>
      <c r="J65" s="424"/>
      <c r="K65" s="425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22"/>
      <c r="J66" s="426"/>
      <c r="K66" s="427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2"/>
      <c r="J67" s="426"/>
      <c r="K67" s="427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2"/>
      <c r="J68" s="426"/>
      <c r="K68" s="427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7"/>
      <c r="J69" s="438"/>
      <c r="K69" s="439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10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10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1033.8800000000001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283.84000000000003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583.09999999999991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2594.1800000000012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1900.8200000000002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10" t="s">
        <v>9</v>
      </c>
      <c r="E124" s="410"/>
      <c r="F124" s="410"/>
      <c r="G124" s="40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10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10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10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10" t="s">
        <v>9</v>
      </c>
      <c r="E204" s="410"/>
      <c r="F204" s="410"/>
      <c r="G204" s="40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10" t="s">
        <v>9</v>
      </c>
      <c r="E224" s="410"/>
      <c r="F224" s="410"/>
      <c r="G224" s="40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2:7" ht="15" customHeight="1" thickBot="1">
      <c r="B243" s="413"/>
      <c r="C243" s="414"/>
      <c r="D243" s="414"/>
      <c r="E243" s="414"/>
      <c r="F243" s="414"/>
      <c r="G243" s="415"/>
    </row>
    <row r="244" spans="2:7" ht="15" customHeight="1">
      <c r="B244" s="402" t="s">
        <v>8</v>
      </c>
      <c r="C244" s="403"/>
      <c r="D244" s="410" t="s">
        <v>9</v>
      </c>
      <c r="E244" s="410"/>
      <c r="F244" s="410"/>
      <c r="G244" s="40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2:7" ht="15" customHeight="1" thickBot="1">
      <c r="B263" s="413"/>
      <c r="C263" s="414"/>
      <c r="D263" s="414"/>
      <c r="E263" s="414"/>
      <c r="F263" s="414"/>
      <c r="G263" s="415"/>
    </row>
    <row r="264" spans="2:7">
      <c r="B264" s="402" t="s">
        <v>8</v>
      </c>
      <c r="C264" s="403"/>
      <c r="D264" s="410" t="s">
        <v>9</v>
      </c>
      <c r="E264" s="410"/>
      <c r="F264" s="410"/>
      <c r="G264" s="40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10" t="s">
        <v>9</v>
      </c>
      <c r="E284" s="410"/>
      <c r="F284" s="410"/>
      <c r="G284" s="40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10" t="s">
        <v>9</v>
      </c>
      <c r="E304" s="410"/>
      <c r="F304" s="410"/>
      <c r="G304" s="40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4" t="str">
        <f>AÑO!A36</f>
        <v>Nenas</v>
      </c>
      <c r="C322" s="411"/>
      <c r="D322" s="411"/>
      <c r="E322" s="411"/>
      <c r="F322" s="411"/>
      <c r="G322" s="412"/>
    </row>
    <row r="323" spans="2:7" ht="15" customHeight="1" thickBot="1">
      <c r="B323" s="413"/>
      <c r="C323" s="414"/>
      <c r="D323" s="414"/>
      <c r="E323" s="414"/>
      <c r="F323" s="414"/>
      <c r="G323" s="415"/>
    </row>
    <row r="324" spans="2:7">
      <c r="B324" s="402" t="s">
        <v>8</v>
      </c>
      <c r="C324" s="403"/>
      <c r="D324" s="410" t="s">
        <v>9</v>
      </c>
      <c r="E324" s="410"/>
      <c r="F324" s="410"/>
      <c r="G324" s="40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4" t="str">
        <f>AÑO!A37</f>
        <v>Impuestos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10" t="s">
        <v>9</v>
      </c>
      <c r="E344" s="410"/>
      <c r="F344" s="410"/>
      <c r="G344" s="40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10" t="s">
        <v>9</v>
      </c>
      <c r="E364" s="410"/>
      <c r="F364" s="410"/>
      <c r="G364" s="40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11"/>
      <c r="D382" s="411"/>
      <c r="E382" s="411"/>
      <c r="F382" s="411"/>
      <c r="G382" s="412"/>
    </row>
    <row r="383" spans="2:7" ht="15" customHeight="1" thickBot="1">
      <c r="B383" s="413"/>
      <c r="C383" s="414"/>
      <c r="D383" s="414"/>
      <c r="E383" s="414"/>
      <c r="F383" s="414"/>
      <c r="G383" s="415"/>
    </row>
    <row r="384" spans="2:7">
      <c r="B384" s="402" t="s">
        <v>8</v>
      </c>
      <c r="C384" s="403"/>
      <c r="D384" s="410" t="s">
        <v>9</v>
      </c>
      <c r="E384" s="410"/>
      <c r="F384" s="410"/>
      <c r="G384" s="40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10" t="s">
        <v>9</v>
      </c>
      <c r="E404" s="410"/>
      <c r="F404" s="410"/>
      <c r="G404" s="40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10" t="s">
        <v>9</v>
      </c>
      <c r="E424" s="410"/>
      <c r="F424" s="410"/>
      <c r="G424" s="403"/>
    </row>
    <row r="425" spans="1:7">
      <c r="A425" s="113">
        <f>AÑO!AI17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Cartama Finanazas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75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'08'!A467+(B467-SUM(D467:F467))</f>
        <v>485.22999999999996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'08'!A468+(B468-SUM(D468:F468))</f>
        <v>223.4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783.63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10" t="s">
        <v>9</v>
      </c>
      <c r="E504" s="410"/>
      <c r="F504" s="410"/>
      <c r="G504" s="40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C5AB7B2D-4753-440C-9F5F-F0BECEB88B1E}"/>
    <hyperlink ref="I22:L23" location="AÑO!G7:J17" display="INGRESOS" xr:uid="{A3BEB6B2-CA5C-4961-A3A6-4651CDC143C7}"/>
    <hyperlink ref="I2" location="Trimestre!C39:F40" display="TELÉFONO" xr:uid="{2DA7FD20-7F81-464A-82F7-C5190B185B4E}"/>
    <hyperlink ref="I2:L3" location="AÑO!G4:J5" display="SALDO REAL" xr:uid="{6B7842DE-6570-47F7-A85B-FE8DCB999BCE}"/>
    <hyperlink ref="B2" location="Trimestre!C25:F26" display="HIPOTECA" xr:uid="{A3A46AE5-5D7F-4398-9410-994F6A1E8E7B}"/>
    <hyperlink ref="B2:G3" location="AÑO!G20:J20" display="AÑO!G20:J20" xr:uid="{C55900F2-0626-4B61-AF32-F09DC5A7A41B}"/>
    <hyperlink ref="B22" location="Trimestre!C25:F26" display="HIPOTECA" xr:uid="{CEA55FC5-5B69-4DB3-B3AE-0B59051BC338}"/>
    <hyperlink ref="B22:G23" location="AÑO!G21:J21" display="AÑO!G21:J21" xr:uid="{7C7E52E8-3712-4111-B9F7-7E73D7B00853}"/>
    <hyperlink ref="B42" location="Trimestre!C25:F26" display="HIPOTECA" xr:uid="{21E79DFF-2AC9-4B39-95F1-B111D27F69AE}"/>
    <hyperlink ref="B42:G43" location="AÑO!G22:J22" display="AÑO!G22:J22" xr:uid="{047DBE7B-9E97-4C7D-8E39-ADC5CBBCAE71}"/>
    <hyperlink ref="B62" location="Trimestre!C25:F26" display="HIPOTECA" xr:uid="{E430AAF3-4A0B-47FC-86A6-636BAF8A229A}"/>
    <hyperlink ref="B62:G63" location="AÑO!G23:J23" display="AÑO!G23:J23" xr:uid="{71A6A35D-1743-4FC4-8BF9-4BDC91F40D52}"/>
    <hyperlink ref="B82" location="Trimestre!C25:F26" display="HIPOTECA" xr:uid="{5CC06290-7A58-4B37-AC0B-752523DBB0F7}"/>
    <hyperlink ref="B82:G83" location="AÑO!G24:J24" display="AÑO!G24:J24" xr:uid="{E566A378-95DA-469C-ABA4-2797654406F0}"/>
    <hyperlink ref="B102" location="Trimestre!C25:F26" display="HIPOTECA" xr:uid="{98E21787-A989-4063-B672-3D6402F1ABEF}"/>
    <hyperlink ref="B102:G103" location="AÑO!G25:J25" display="AÑO!G25:J25" xr:uid="{012F53D9-3806-4B82-818F-43B3D4E3A4C4}"/>
    <hyperlink ref="B122" location="Trimestre!C25:F26" display="HIPOTECA" xr:uid="{A238E22F-8C48-43C8-AE01-050A736143F0}"/>
    <hyperlink ref="B122:G123" location="AÑO!G26:J26" display="AÑO!G26:J26" xr:uid="{5340FDE9-437C-4218-BE83-5DF16B64B9D7}"/>
    <hyperlink ref="B142" location="Trimestre!C25:F26" display="HIPOTECA" xr:uid="{5A9C1FBE-4532-4B13-8D54-3BFCBA2A568A}"/>
    <hyperlink ref="B142:G143" location="AÑO!G27:J27" display="AÑO!G27:J27" xr:uid="{3BA08456-50E6-472D-B42A-841324DA5ABE}"/>
    <hyperlink ref="B162" location="Trimestre!C25:F26" display="HIPOTECA" xr:uid="{7140074C-668F-40B1-915F-CE30EAB8B443}"/>
    <hyperlink ref="B162:G163" location="AÑO!G28:J28" display="AÑO!G28:J28" xr:uid="{977E6779-3246-4A5B-AD88-1B059434E59E}"/>
    <hyperlink ref="B182" location="Trimestre!C25:F26" display="HIPOTECA" xr:uid="{E930E756-22F6-489B-9B41-4EF52A0A1807}"/>
    <hyperlink ref="B182:G183" location="AÑO!G29:J29" display="AÑO!G29:J29" xr:uid="{8A7C2191-57E2-403B-8DA5-C6E44A23735F}"/>
    <hyperlink ref="B202" location="Trimestre!C25:F26" display="HIPOTECA" xr:uid="{85A9F200-8679-46A0-9203-04FDAD0D24F8}"/>
    <hyperlink ref="B202:G203" location="AÑO!G30:J30" display="AÑO!G30:J30" xr:uid="{95D4A60C-DD33-42D6-8B35-05AE2683CC32}"/>
    <hyperlink ref="B222" location="Trimestre!C25:F26" display="HIPOTECA" xr:uid="{170D15A6-6E3D-4A82-B547-EEE7379A87F7}"/>
    <hyperlink ref="B222:G223" location="AÑO!G31:J31" display="AÑO!G31:J31" xr:uid="{0B9CA305-653E-448C-937C-84B730858B70}"/>
    <hyperlink ref="B242" location="Trimestre!C25:F26" display="HIPOTECA" xr:uid="{F55FA4AE-E3EE-49E7-A667-39B40FC487DC}"/>
    <hyperlink ref="B242:G243" location="AÑO!G32:J32" display="AÑO!G32:J32" xr:uid="{E48B3AF1-167C-4AD4-9C8A-B5CF1D650C2C}"/>
    <hyperlink ref="B262" location="Trimestre!C25:F26" display="HIPOTECA" xr:uid="{52DC1C5D-DC33-4280-9931-352B627901BC}"/>
    <hyperlink ref="B262:G263" location="AÑO!G33:J33" display="AÑO!G33:J33" xr:uid="{1BE7D4C0-9589-4F64-8EA0-FF592C47CF0D}"/>
    <hyperlink ref="B282" location="Trimestre!C25:F26" display="HIPOTECA" xr:uid="{04FB8A26-12AC-45F0-A2AA-B934E26CC808}"/>
    <hyperlink ref="B282:G283" location="AÑO!G34:J34" display="AÑO!G34:J34" xr:uid="{8F4A42D0-CF15-49E0-8331-4B0DD71C2AE0}"/>
    <hyperlink ref="B302" location="Trimestre!C25:F26" display="HIPOTECA" xr:uid="{3D4CB53A-2F00-4BCE-8FAF-669BD5D4918F}"/>
    <hyperlink ref="B302:G303" location="AÑO!G35:J35" display="AÑO!G35:J35" xr:uid="{4A25F667-1785-4494-AAEF-D6B06868B25F}"/>
    <hyperlink ref="B322" location="Trimestre!C25:F26" display="HIPOTECA" xr:uid="{99D67445-00FF-4E98-B43D-FB5A6E0A09BD}"/>
    <hyperlink ref="B322:G323" location="AÑO!G36:J36" display="AÑO!G36:J36" xr:uid="{0154BEA1-A81E-4EAA-B9DF-8E67033CA9A9}"/>
    <hyperlink ref="B342" location="Trimestre!C25:F26" display="HIPOTECA" xr:uid="{D112BDDE-6B19-42A4-AC07-314B9EF487F7}"/>
    <hyperlink ref="B342:G343" location="AÑO!G37:J37" display="AÑO!G37:J37" xr:uid="{638B1529-2811-45D7-B1C4-785AF713EEC6}"/>
    <hyperlink ref="B362" location="Trimestre!C25:F26" display="HIPOTECA" xr:uid="{4B642F2B-157F-4138-A11C-1BE0EDB8815D}"/>
    <hyperlink ref="B362:G363" location="AÑO!G38:J38" display="AÑO!G38:J38" xr:uid="{FEEC9C66-E85E-41CB-9707-903A59CF5FF6}"/>
    <hyperlink ref="B382" location="Trimestre!C25:F26" display="HIPOTECA" xr:uid="{57013546-52C3-4F72-A541-A7C41045E9DD}"/>
    <hyperlink ref="B382:G383" location="AÑO!G39:J39" display="AÑO!G39:J39" xr:uid="{AED16E75-5851-44EA-9308-96128F56D813}"/>
    <hyperlink ref="B402" location="Trimestre!C25:F26" display="HIPOTECA" xr:uid="{08AA6C6F-EBC6-43F8-82AB-5CA42F9F9F81}"/>
    <hyperlink ref="B402:G403" location="AÑO!G40:J40" display="AÑO!G40:J40" xr:uid="{F232B876-34DC-41F6-9532-D6CC9E5215A2}"/>
    <hyperlink ref="B422" location="Trimestre!C25:F26" display="HIPOTECA" xr:uid="{E2C2CCEF-4698-4B0D-A953-1578189973B0}"/>
    <hyperlink ref="B422:G423" location="AÑO!G41:J41" display="AÑO!G41:J41" xr:uid="{16E0C4CF-F4BD-4535-AEF1-50E388523924}"/>
    <hyperlink ref="B442" location="Trimestre!C25:F26" display="HIPOTECA" xr:uid="{09A83FE7-92E0-4B59-A8C5-996F86D66DE4}"/>
    <hyperlink ref="B442:G443" location="AÑO!G42:J42" display="AÑO!G42:J42" xr:uid="{081530C4-AC70-49C7-8B04-46B95693004E}"/>
    <hyperlink ref="B462" location="Trimestre!C25:F26" display="HIPOTECA" xr:uid="{C5822A5E-BA69-4B9D-8BAE-7C082AA6D1AB}"/>
    <hyperlink ref="B462:G463" location="AÑO!G43:J43" display="AÑO!G43:J43" xr:uid="{B1073576-7489-4780-B71A-EF8C3DC9F430}"/>
    <hyperlink ref="B482" location="Trimestre!C25:F26" display="HIPOTECA" xr:uid="{6D219F70-59B2-4313-A012-728E5A246BD0}"/>
    <hyperlink ref="B482:G483" location="AÑO!G44:J44" display="AÑO!G44:J44" xr:uid="{18140193-43F2-466F-982A-245EF6B4D1DC}"/>
    <hyperlink ref="B502" location="Trimestre!C25:F26" display="HIPOTECA" xr:uid="{4FB40359-6DF4-4385-A52F-850181BED24B}"/>
    <hyperlink ref="B502:G503" location="AÑO!G45:J45" display="AÑO!G45:J45" xr:uid="{A92CDB3D-A8DC-4F17-A02F-36FC5837ACFB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412" workbookViewId="0">
      <selection activeCell="B412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 Gastos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10" t="s">
        <v>9</v>
      </c>
      <c r="E4" s="410"/>
      <c r="F4" s="410"/>
      <c r="G4" s="403"/>
      <c r="H4" s="222"/>
      <c r="I4" s="40" t="s">
        <v>57</v>
      </c>
      <c r="J4" s="105" t="s">
        <v>58</v>
      </c>
      <c r="K4" s="430" t="s">
        <v>59</v>
      </c>
      <c r="L4" s="43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2"/>
      <c r="L5" s="433"/>
      <c r="M5" s="1"/>
      <c r="N5" s="1" t="s">
        <v>160</v>
      </c>
      <c r="O5" s="89">
        <f>M5-500</f>
        <v>-500</v>
      </c>
      <c r="R5" s="3"/>
    </row>
    <row r="6" spans="1:22" ht="15.75">
      <c r="A6" s="112">
        <f>'09'!A6+(B6-SUM(D6:F6))</f>
        <v>2410.52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6">
        <v>550</v>
      </c>
      <c r="L6" s="417"/>
      <c r="M6" s="1" t="s">
        <v>165</v>
      </c>
      <c r="N6" s="1"/>
      <c r="R6" s="3"/>
    </row>
    <row r="7" spans="1:22" ht="15.75">
      <c r="A7" s="112">
        <f>'09'!A7+(B7-SUM(D7:F7))</f>
        <v>383.57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6"/>
      <c r="L7" s="417"/>
      <c r="M7" s="1"/>
      <c r="N7" s="1"/>
      <c r="R7" s="3"/>
    </row>
    <row r="8" spans="1:22" ht="15.75">
      <c r="A8" s="112">
        <f>'09'!A8+(B8-SUM(D8:F8))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6">
        <v>7000</v>
      </c>
      <c r="L8" s="417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6">
        <v>659.77</v>
      </c>
      <c r="L9" s="417"/>
      <c r="M9" s="1"/>
      <c r="N9" s="1"/>
      <c r="R9" s="3"/>
    </row>
    <row r="10" spans="1:22" ht="15.75">
      <c r="A10" s="112">
        <f>'09'!A10+(B10-SUM(D10:F10))</f>
        <v>72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6">
        <v>1800.04</v>
      </c>
      <c r="L10" s="417"/>
      <c r="M10" s="1" t="s">
        <v>156</v>
      </c>
      <c r="N10" s="1"/>
      <c r="R10" s="3"/>
    </row>
    <row r="11" spans="1:22" ht="15.75">
      <c r="A11" s="112">
        <f>'09'!A11+(B11-SUM(D11:F11))</f>
        <v>151.13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6"/>
      <c r="L11" s="417"/>
      <c r="M11" s="1"/>
      <c r="N11" s="1"/>
      <c r="R11" s="3"/>
    </row>
    <row r="12" spans="1:22" ht="15.75">
      <c r="A12" s="112">
        <f>'09'!A12+(B12-SUM(D12:F12))</f>
        <v>288.04000000000002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6">
        <v>5092.08</v>
      </c>
      <c r="L12" s="417"/>
      <c r="M12" s="92"/>
      <c r="N12" s="1"/>
      <c r="R12" s="3"/>
    </row>
    <row r="13" spans="1:22" ht="15.75">
      <c r="A13" s="112">
        <f>'09'!A13+(B13-SUM(D13:F13))</f>
        <v>52.5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8">
        <f>SUM(K5:K18)</f>
        <v>15101.890000000001</v>
      </c>
      <c r="L19" s="419"/>
      <c r="M19" s="1"/>
      <c r="N19" s="1"/>
      <c r="R19" s="3"/>
    </row>
    <row r="20" spans="1:18" ht="16.5" thickBot="1">
      <c r="A20" s="112">
        <f>SUM(A6:A15)</f>
        <v>3357.76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10" t="s">
        <v>9</v>
      </c>
      <c r="E24" s="410"/>
      <c r="F24" s="410"/>
      <c r="G24" s="403"/>
      <c r="H24" s="1"/>
      <c r="I24" s="40" t="s">
        <v>31</v>
      </c>
      <c r="J24" s="435" t="s">
        <v>87</v>
      </c>
      <c r="K24" s="436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1" t="str">
        <f>AÑO!A8</f>
        <v>Manolo Salario</v>
      </c>
      <c r="J25" s="424"/>
      <c r="K25" s="425"/>
      <c r="L25" s="198"/>
      <c r="M25" s="1"/>
      <c r="R25" s="3"/>
    </row>
    <row r="26" spans="1:18" ht="15.75">
      <c r="A26" s="112">
        <f>'09'!A26+(B26-SUM(D26:F26))</f>
        <v>4500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2"/>
      <c r="J26" s="426"/>
      <c r="K26" s="427"/>
      <c r="L26" s="199"/>
      <c r="M26" s="1"/>
      <c r="R26" s="3"/>
    </row>
    <row r="27" spans="1:18" ht="15.75">
      <c r="A27" s="112">
        <f>'09'!A27+(B27-SUM(D27:F27))</f>
        <v>896.02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22"/>
      <c r="J27" s="426"/>
      <c r="K27" s="427"/>
      <c r="L27" s="199"/>
      <c r="M27" s="1"/>
      <c r="R27" s="3"/>
    </row>
    <row r="28" spans="1:18" ht="15.75">
      <c r="A28" s="112">
        <f>'09'!A28+(B28-SUM(D28:F28))</f>
        <v>278.3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2"/>
      <c r="J28" s="426"/>
      <c r="K28" s="427"/>
      <c r="L28" s="199"/>
      <c r="M28" s="1"/>
      <c r="R28" s="3"/>
    </row>
    <row r="29" spans="1:18" ht="15.75">
      <c r="A29" s="112">
        <f>'09'!A29+(B29-SUM(D29:F29))</f>
        <v>91.43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3"/>
      <c r="J29" s="428"/>
      <c r="K29" s="429"/>
      <c r="L29" s="201"/>
      <c r="M29" s="1"/>
      <c r="R29" s="3"/>
    </row>
    <row r="30" spans="1:18" ht="15.75" customHeight="1">
      <c r="A30" s="112">
        <f>'09'!A30+(B30-SUM(D30:F30))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1" t="str">
        <f>AÑO!A9</f>
        <v>Rocío Salario</v>
      </c>
      <c r="J30" s="424"/>
      <c r="K30" s="425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/>
      <c r="K31" s="427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/>
      <c r="K32" s="427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218</v>
      </c>
      <c r="J35" s="424"/>
      <c r="K35" s="425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01"/>
      <c r="M39" s="1"/>
      <c r="R39" s="3"/>
    </row>
    <row r="40" spans="1:18" ht="16.5" thickBot="1">
      <c r="A40" s="112">
        <f>SUM(A26:A35)</f>
        <v>5952.0300000000007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1" t="str">
        <f>AÑO!A11</f>
        <v>Finanazas</v>
      </c>
      <c r="J40" s="424"/>
      <c r="K40" s="42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199"/>
      <c r="M41" s="1"/>
      <c r="R41" s="3"/>
    </row>
    <row r="42" spans="1:18" ht="15.6" customHeight="1">
      <c r="A42" s="1"/>
      <c r="B42" s="404" t="str">
        <f>AÑO!A22</f>
        <v>Comida+Limpieza</v>
      </c>
      <c r="C42" s="411"/>
      <c r="D42" s="411"/>
      <c r="E42" s="411"/>
      <c r="F42" s="411"/>
      <c r="G42" s="412"/>
      <c r="H42" s="1"/>
      <c r="I42" s="422"/>
      <c r="J42" s="426"/>
      <c r="K42" s="427"/>
      <c r="L42" s="19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199"/>
      <c r="M43" s="1"/>
      <c r="R43" s="3"/>
    </row>
    <row r="44" spans="1:18" ht="15.75">
      <c r="A44" s="1"/>
      <c r="B44" s="402" t="s">
        <v>8</v>
      </c>
      <c r="C44" s="403"/>
      <c r="D44" s="410" t="s">
        <v>9</v>
      </c>
      <c r="E44" s="410"/>
      <c r="F44" s="410"/>
      <c r="G44" s="403"/>
      <c r="H44" s="1"/>
      <c r="I44" s="423"/>
      <c r="J44" s="428"/>
      <c r="K44" s="429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1" t="str">
        <f>AÑO!A12</f>
        <v>Regalos</v>
      </c>
      <c r="J45" s="424"/>
      <c r="K45" s="425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22"/>
      <c r="J46" s="426"/>
      <c r="K46" s="427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22"/>
      <c r="J47" s="426"/>
      <c r="K47" s="427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2"/>
      <c r="J48" s="426"/>
      <c r="K48" s="427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3"/>
      <c r="J49" s="428"/>
      <c r="K49" s="429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1" t="str">
        <f>AÑO!A13</f>
        <v>Gubernamental</v>
      </c>
      <c r="J50" s="424"/>
      <c r="K50" s="425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2"/>
      <c r="J51" s="426"/>
      <c r="K51" s="427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2"/>
      <c r="J52" s="426"/>
      <c r="K52" s="427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2"/>
      <c r="J53" s="426"/>
      <c r="K53" s="427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24"/>
      <c r="K55" s="425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1" t="str">
        <f>AÑO!A15</f>
        <v>Alquiler Cartama</v>
      </c>
      <c r="J60" s="424"/>
      <c r="K60" s="425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19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19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199"/>
      <c r="M63" s="1"/>
      <c r="R63" s="3"/>
    </row>
    <row r="64" spans="1:18" ht="15.75">
      <c r="A64" s="1"/>
      <c r="B64" s="402" t="s">
        <v>8</v>
      </c>
      <c r="C64" s="403"/>
      <c r="D64" s="410" t="s">
        <v>9</v>
      </c>
      <c r="E64" s="410"/>
      <c r="F64" s="410"/>
      <c r="G64" s="403"/>
      <c r="H64" s="1"/>
      <c r="I64" s="423"/>
      <c r="J64" s="428"/>
      <c r="K64" s="429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1" t="str">
        <f>AÑO!A16</f>
        <v>Otros</v>
      </c>
      <c r="J65" s="424"/>
      <c r="K65" s="425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22"/>
      <c r="J66" s="426"/>
      <c r="K66" s="427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2"/>
      <c r="J67" s="426"/>
      <c r="K67" s="427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2"/>
      <c r="J68" s="426"/>
      <c r="K68" s="427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7"/>
      <c r="J69" s="438"/>
      <c r="K69" s="439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10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10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1292.3500000000001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354.84000000000003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</f>
        <v>2619.7100000000014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2280.29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10" t="s">
        <v>9</v>
      </c>
      <c r="E124" s="410"/>
      <c r="F124" s="410"/>
      <c r="G124" s="40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10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10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10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10" t="s">
        <v>9</v>
      </c>
      <c r="E204" s="410"/>
      <c r="F204" s="410"/>
      <c r="G204" s="40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10" t="s">
        <v>9</v>
      </c>
      <c r="E224" s="410"/>
      <c r="F224" s="410"/>
      <c r="G224" s="40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2:7" ht="15" customHeight="1" thickBot="1">
      <c r="B243" s="413"/>
      <c r="C243" s="414"/>
      <c r="D243" s="414"/>
      <c r="E243" s="414"/>
      <c r="F243" s="414"/>
      <c r="G243" s="415"/>
    </row>
    <row r="244" spans="2:7" ht="15" customHeight="1">
      <c r="B244" s="402" t="s">
        <v>8</v>
      </c>
      <c r="C244" s="403"/>
      <c r="D244" s="410" t="s">
        <v>9</v>
      </c>
      <c r="E244" s="410"/>
      <c r="F244" s="410"/>
      <c r="G244" s="40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2:7" ht="15" customHeight="1" thickBot="1">
      <c r="B263" s="413"/>
      <c r="C263" s="414"/>
      <c r="D263" s="414"/>
      <c r="E263" s="414"/>
      <c r="F263" s="414"/>
      <c r="G263" s="415"/>
    </row>
    <row r="264" spans="2:7">
      <c r="B264" s="402" t="s">
        <v>8</v>
      </c>
      <c r="C264" s="403"/>
      <c r="D264" s="410" t="s">
        <v>9</v>
      </c>
      <c r="E264" s="410"/>
      <c r="F264" s="410"/>
      <c r="G264" s="40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10" t="s">
        <v>9</v>
      </c>
      <c r="E284" s="410"/>
      <c r="F284" s="410"/>
      <c r="G284" s="40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10" t="s">
        <v>9</v>
      </c>
      <c r="E304" s="410"/>
      <c r="F304" s="410"/>
      <c r="G304" s="40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4" t="str">
        <f>AÑO!A36</f>
        <v>Nenas</v>
      </c>
      <c r="C322" s="411"/>
      <c r="D322" s="411"/>
      <c r="E322" s="411"/>
      <c r="F322" s="411"/>
      <c r="G322" s="412"/>
    </row>
    <row r="323" spans="2:7" ht="15" customHeight="1" thickBot="1">
      <c r="B323" s="413"/>
      <c r="C323" s="414"/>
      <c r="D323" s="414"/>
      <c r="E323" s="414"/>
      <c r="F323" s="414"/>
      <c r="G323" s="415"/>
    </row>
    <row r="324" spans="2:7">
      <c r="B324" s="402" t="s">
        <v>8</v>
      </c>
      <c r="C324" s="403"/>
      <c r="D324" s="410" t="s">
        <v>9</v>
      </c>
      <c r="E324" s="410"/>
      <c r="F324" s="410"/>
      <c r="G324" s="40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4" t="str">
        <f>AÑO!A37</f>
        <v>Impuestos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10" t="s">
        <v>9</v>
      </c>
      <c r="E344" s="410"/>
      <c r="F344" s="410"/>
      <c r="G344" s="40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10" t="s">
        <v>9</v>
      </c>
      <c r="E364" s="410"/>
      <c r="F364" s="410"/>
      <c r="G364" s="40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11"/>
      <c r="D382" s="411"/>
      <c r="E382" s="411"/>
      <c r="F382" s="411"/>
      <c r="G382" s="412"/>
    </row>
    <row r="383" spans="2:7" ht="15" customHeight="1" thickBot="1">
      <c r="B383" s="413"/>
      <c r="C383" s="414"/>
      <c r="D383" s="414"/>
      <c r="E383" s="414"/>
      <c r="F383" s="414"/>
      <c r="G383" s="415"/>
    </row>
    <row r="384" spans="2:7">
      <c r="B384" s="402" t="s">
        <v>8</v>
      </c>
      <c r="C384" s="403"/>
      <c r="D384" s="410" t="s">
        <v>9</v>
      </c>
      <c r="E384" s="410"/>
      <c r="F384" s="410"/>
      <c r="G384" s="40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10" t="s">
        <v>9</v>
      </c>
      <c r="E404" s="410"/>
      <c r="F404" s="410"/>
      <c r="G404" s="40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10" t="s">
        <v>9</v>
      </c>
      <c r="E424" s="410"/>
      <c r="F424" s="410"/>
      <c r="G424" s="403"/>
    </row>
    <row r="425" spans="1:7">
      <c r="A425" s="113">
        <f>AÑO!AM17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Cartama Finanazas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</f>
        <v>100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'09'!A467+(B467-SUM(D467:F467))</f>
        <v>505.22999999999996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'09'!A468+(B468-SUM(D468:F468))</f>
        <v>228.4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833.63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10" t="s">
        <v>9</v>
      </c>
      <c r="E504" s="410"/>
      <c r="F504" s="410"/>
      <c r="G504" s="40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D31334B5-D6C8-4538-BF68-AE96745C35DA}"/>
    <hyperlink ref="I22:L23" location="AÑO!G7:J17" display="INGRESOS" xr:uid="{9E61AEC4-83E9-4FD5-B732-752BA5F1EC65}"/>
    <hyperlink ref="I2" location="Trimestre!C39:F40" display="TELÉFONO" xr:uid="{58C9ED0A-73D8-4054-84B3-CE44885FE2B8}"/>
    <hyperlink ref="I2:L3" location="AÑO!G4:J5" display="SALDO REAL" xr:uid="{E92293AD-71DA-4843-823E-DAC2222AB22F}"/>
    <hyperlink ref="B2" location="Trimestre!C25:F26" display="HIPOTECA" xr:uid="{4441288C-78DF-4FBC-9A32-F911DADA636F}"/>
    <hyperlink ref="B2:G3" location="AÑO!G20:J20" display="AÑO!G20:J20" xr:uid="{E4AEC871-0A45-4378-A5E8-9EE1B9EF4AC3}"/>
    <hyperlink ref="B22" location="Trimestre!C25:F26" display="HIPOTECA" xr:uid="{5BAC7C81-4F71-498A-9274-5C93AB41D87F}"/>
    <hyperlink ref="B22:G23" location="AÑO!G21:J21" display="AÑO!G21:J21" xr:uid="{BB4CE97C-8B81-4204-8DC0-037336CB9BC4}"/>
    <hyperlink ref="B42" location="Trimestre!C25:F26" display="HIPOTECA" xr:uid="{C85666C7-8C94-4FE6-A9AB-66AEA5DE9DB5}"/>
    <hyperlink ref="B42:G43" location="AÑO!G22:J22" display="AÑO!G22:J22" xr:uid="{93B39A54-2365-4AEC-A2EA-12F8ED063AC2}"/>
    <hyperlink ref="B62" location="Trimestre!C25:F26" display="HIPOTECA" xr:uid="{E9A32CB1-9C38-4887-BCEA-F49C06C6060E}"/>
    <hyperlink ref="B62:G63" location="AÑO!G23:J23" display="AÑO!G23:J23" xr:uid="{C52DABE7-6E14-471D-A84F-142E7FB330FE}"/>
    <hyperlink ref="B82" location="Trimestre!C25:F26" display="HIPOTECA" xr:uid="{CBEA04EF-C8BF-4438-9079-CD72A1B1B5EF}"/>
    <hyperlink ref="B82:G83" location="AÑO!G24:J24" display="AÑO!G24:J24" xr:uid="{D529F857-B1C9-489F-8B61-B49F248759FA}"/>
    <hyperlink ref="B102" location="Trimestre!C25:F26" display="HIPOTECA" xr:uid="{B9FF8374-8F22-4114-83C3-EF575CC6C1A5}"/>
    <hyperlink ref="B102:G103" location="AÑO!G25:J25" display="AÑO!G25:J25" xr:uid="{BD2956E2-BAA9-44FB-A3F1-982CCFDA8723}"/>
    <hyperlink ref="B122" location="Trimestre!C25:F26" display="HIPOTECA" xr:uid="{CC2309D9-2129-4D35-8509-0B9316376E6F}"/>
    <hyperlink ref="B122:G123" location="AÑO!G26:J26" display="AÑO!G26:J26" xr:uid="{68047C05-5A41-4D95-958B-97BA75758F4E}"/>
    <hyperlink ref="B142" location="Trimestre!C25:F26" display="HIPOTECA" xr:uid="{F2CDA816-C241-4865-9F27-C9A54EA9F59A}"/>
    <hyperlink ref="B142:G143" location="AÑO!G27:J27" display="AÑO!G27:J27" xr:uid="{52AAE5F5-C650-4D35-A948-A87CA291FCD3}"/>
    <hyperlink ref="B162" location="Trimestre!C25:F26" display="HIPOTECA" xr:uid="{85359570-E44C-42AE-8FA8-99D01906434F}"/>
    <hyperlink ref="B162:G163" location="AÑO!G28:J28" display="AÑO!G28:J28" xr:uid="{D704C92F-B443-4C59-B01A-9C9E245D0E28}"/>
    <hyperlink ref="B182" location="Trimestre!C25:F26" display="HIPOTECA" xr:uid="{4E0FE76F-02AA-4BA5-BFC6-F4F1C4C6CDBF}"/>
    <hyperlink ref="B182:G183" location="AÑO!G29:J29" display="AÑO!G29:J29" xr:uid="{5C43FB49-407B-44F9-98D0-F32CA115FB22}"/>
    <hyperlink ref="B202" location="Trimestre!C25:F26" display="HIPOTECA" xr:uid="{09074835-F058-465F-85AA-B4B0479E02FB}"/>
    <hyperlink ref="B202:G203" location="AÑO!G30:J30" display="AÑO!G30:J30" xr:uid="{BE5FDD12-8C91-4385-8926-63156E0775CD}"/>
    <hyperlink ref="B222" location="Trimestre!C25:F26" display="HIPOTECA" xr:uid="{09AE7AF4-2BC2-461E-920C-9FE51AEBBD35}"/>
    <hyperlink ref="B222:G223" location="AÑO!G31:J31" display="AÑO!G31:J31" xr:uid="{98949D59-FB3C-4A9D-9763-FB8BB048211A}"/>
    <hyperlink ref="B242" location="Trimestre!C25:F26" display="HIPOTECA" xr:uid="{81EB3B1E-88CE-4BEA-A70F-3E781DDB33CC}"/>
    <hyperlink ref="B242:G243" location="AÑO!G32:J32" display="AÑO!G32:J32" xr:uid="{B99E796C-4022-4CA7-AE9A-690CB727B963}"/>
    <hyperlink ref="B262" location="Trimestre!C25:F26" display="HIPOTECA" xr:uid="{69F09221-AEFC-47DA-9E17-848CBF01019C}"/>
    <hyperlink ref="B262:G263" location="AÑO!G33:J33" display="AÑO!G33:J33" xr:uid="{128A6AEF-B9CF-4315-9D69-BD2F617FEE30}"/>
    <hyperlink ref="B282" location="Trimestre!C25:F26" display="HIPOTECA" xr:uid="{FC41BC75-570D-4E50-A845-C86605848F7A}"/>
    <hyperlink ref="B282:G283" location="AÑO!G34:J34" display="AÑO!G34:J34" xr:uid="{3A7D4AC9-FB6A-4969-8F63-62409DAEC5BA}"/>
    <hyperlink ref="B302" location="Trimestre!C25:F26" display="HIPOTECA" xr:uid="{A8CF443F-46B9-47BB-A358-E94A1F6F53A8}"/>
    <hyperlink ref="B302:G303" location="AÑO!G35:J35" display="AÑO!G35:J35" xr:uid="{69D6D822-306C-412D-BC94-7B715FB5EBFE}"/>
    <hyperlink ref="B322" location="Trimestre!C25:F26" display="HIPOTECA" xr:uid="{769CE2CE-1246-487F-9BC2-9FF3258291FD}"/>
    <hyperlink ref="B322:G323" location="AÑO!G36:J36" display="AÑO!G36:J36" xr:uid="{A5468283-C0F9-4DE7-92CC-A61BB29FD393}"/>
    <hyperlink ref="B342" location="Trimestre!C25:F26" display="HIPOTECA" xr:uid="{F229BCFD-E7C2-44B8-B725-4CA562F397BD}"/>
    <hyperlink ref="B342:G343" location="AÑO!G37:J37" display="AÑO!G37:J37" xr:uid="{ED96A078-8F10-44C0-9B26-1437E69412DE}"/>
    <hyperlink ref="B362" location="Trimestre!C25:F26" display="HIPOTECA" xr:uid="{17BD8313-2933-47CD-A2DE-BC3DD2F3F374}"/>
    <hyperlink ref="B362:G363" location="AÑO!G38:J38" display="AÑO!G38:J38" xr:uid="{BE9D05C8-2F83-45E6-9387-3ACE7D862690}"/>
    <hyperlink ref="B382" location="Trimestre!C25:F26" display="HIPOTECA" xr:uid="{36C02D59-458C-48E3-8BF7-DF12ABA1340F}"/>
    <hyperlink ref="B382:G383" location="AÑO!G39:J39" display="AÑO!G39:J39" xr:uid="{ABC9F9AC-3D0D-45AA-AF02-59BAE540A33B}"/>
    <hyperlink ref="B402" location="Trimestre!C25:F26" display="HIPOTECA" xr:uid="{24A7B0AC-C186-417B-92A7-60229C42338C}"/>
    <hyperlink ref="B402:G403" location="AÑO!G40:J40" display="AÑO!G40:J40" xr:uid="{A947F1CE-81E6-410B-AD40-931CC5F2D8C0}"/>
    <hyperlink ref="B422" location="Trimestre!C25:F26" display="HIPOTECA" xr:uid="{6FA37AE7-F0E7-4E7C-B7B6-4A34F3406DF5}"/>
    <hyperlink ref="B422:G423" location="AÑO!G41:J41" display="AÑO!G41:J41" xr:uid="{297352D2-57EC-419D-952F-A9FF59624081}"/>
    <hyperlink ref="B442" location="Trimestre!C25:F26" display="HIPOTECA" xr:uid="{1BCDE5F0-AE75-4C4A-A2EA-40450A7ED492}"/>
    <hyperlink ref="B442:G443" location="AÑO!G42:J42" display="AÑO!G42:J42" xr:uid="{22F08A00-2D72-4100-835F-90772087AFEA}"/>
    <hyperlink ref="B462" location="Trimestre!C25:F26" display="HIPOTECA" xr:uid="{AB2196AD-DADD-45C1-A71D-C616F5F2E4D2}"/>
    <hyperlink ref="B462:G463" location="AÑO!G43:J43" display="AÑO!G43:J43" xr:uid="{F0BDD260-748D-4345-BFAD-425632FE6F5D}"/>
    <hyperlink ref="B482" location="Trimestre!C25:F26" display="HIPOTECA" xr:uid="{08474700-1021-4993-92D2-F5B030D6FFBC}"/>
    <hyperlink ref="B482:G483" location="AÑO!G44:J44" display="AÑO!G44:J44" xr:uid="{DCE5DA51-BDC9-4439-AE87-C86E488B686C}"/>
    <hyperlink ref="B502" location="Trimestre!C25:F26" display="HIPOTECA" xr:uid="{64DB8274-9CBD-4CC4-A59C-631AE354593F}"/>
    <hyperlink ref="B502:G503" location="AÑO!G45:J45" display="AÑO!G45:J45" xr:uid="{323974D6-939B-46EB-833A-C54D42FDC118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 Gastos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10" t="s">
        <v>9</v>
      </c>
      <c r="E4" s="410"/>
      <c r="F4" s="410"/>
      <c r="G4" s="403"/>
      <c r="H4" s="222"/>
      <c r="I4" s="40" t="s">
        <v>57</v>
      </c>
      <c r="J4" s="105" t="s">
        <v>58</v>
      </c>
      <c r="K4" s="430" t="s">
        <v>59</v>
      </c>
      <c r="L4" s="43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2"/>
      <c r="L5" s="433"/>
      <c r="M5" s="1"/>
      <c r="N5" s="1"/>
      <c r="R5" s="3"/>
    </row>
    <row r="6" spans="1:22" ht="15.75">
      <c r="A6" s="112">
        <f>'10'!A6+(B6-SUM(D6:F6))</f>
        <v>2810.11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6">
        <v>550</v>
      </c>
      <c r="L6" s="417"/>
      <c r="M6" s="1" t="s">
        <v>165</v>
      </c>
      <c r="N6" s="1"/>
      <c r="R6" s="3"/>
    </row>
    <row r="7" spans="1:22" ht="15.75">
      <c r="A7" s="112">
        <f>'10'!A7+(B7-SUM(D7:F7))</f>
        <v>453.75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6"/>
      <c r="L7" s="417"/>
      <c r="M7" s="1"/>
      <c r="N7" s="1"/>
      <c r="R7" s="3"/>
    </row>
    <row r="8" spans="1:22" ht="15.75">
      <c r="A8" s="112">
        <f>'10'!A8+(B8-SUM(D8:F8))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6">
        <v>7000</v>
      </c>
      <c r="L8" s="417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6">
        <v>659.77</v>
      </c>
      <c r="L9" s="417"/>
      <c r="M9" s="1"/>
      <c r="N9" s="1"/>
      <c r="R9" s="3"/>
    </row>
    <row r="10" spans="1:22" ht="15.75">
      <c r="A10" s="112">
        <f>'10'!A10+(B10-SUM(D10:F10))</f>
        <v>84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6">
        <v>1800.04</v>
      </c>
      <c r="L10" s="417"/>
      <c r="M10" s="1" t="s">
        <v>156</v>
      </c>
      <c r="N10" s="1"/>
      <c r="R10" s="3"/>
    </row>
    <row r="11" spans="1:22" ht="15.75">
      <c r="A11" s="112">
        <f>'10'!A11+(B11-SUM(D11:F11))</f>
        <v>181.35999999999999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6"/>
      <c r="L11" s="417"/>
      <c r="M11" s="1"/>
      <c r="N11" s="1"/>
      <c r="R11" s="3"/>
    </row>
    <row r="12" spans="1:22" ht="15.75">
      <c r="A12" s="112">
        <f>'10'!A12+(B12-SUM(D12:F12))</f>
        <v>313.04000000000002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6">
        <v>5092.08</v>
      </c>
      <c r="L12" s="417"/>
      <c r="M12" s="92"/>
      <c r="N12" s="1"/>
      <c r="R12" s="3"/>
    </row>
    <row r="13" spans="1:22" ht="15.75">
      <c r="A13" s="112">
        <f>'10'!A13+(B13-SUM(D13:F13))</f>
        <v>59.5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8">
        <f>SUM(K5:K18)</f>
        <v>15101.890000000001</v>
      </c>
      <c r="L19" s="419"/>
      <c r="M19" s="1"/>
      <c r="N19" s="1"/>
      <c r="R19" s="3"/>
    </row>
    <row r="20" spans="1:18" ht="16.5" thickBot="1">
      <c r="A20" s="112">
        <f>SUM(A6:A15)</f>
        <v>3901.76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10" t="s">
        <v>9</v>
      </c>
      <c r="E24" s="410"/>
      <c r="F24" s="410"/>
      <c r="G24" s="403"/>
      <c r="H24" s="1"/>
      <c r="I24" s="40" t="s">
        <v>31</v>
      </c>
      <c r="J24" s="435" t="s">
        <v>87</v>
      </c>
      <c r="K24" s="436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1" t="str">
        <f>AÑO!A8</f>
        <v>Manolo Salario</v>
      </c>
      <c r="J25" s="424"/>
      <c r="K25" s="425"/>
      <c r="L25" s="198"/>
      <c r="M25" s="1"/>
      <c r="R25" s="3"/>
    </row>
    <row r="26" spans="1:18" ht="15.75">
      <c r="A26" s="112">
        <f>'10'!A26+(B26-SUM(D26:F26))</f>
        <v>5400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2"/>
      <c r="J26" s="426"/>
      <c r="K26" s="427"/>
      <c r="L26" s="199"/>
      <c r="M26" s="1"/>
      <c r="R26" s="3"/>
    </row>
    <row r="27" spans="1:18" ht="15.75">
      <c r="A27" s="112">
        <f>'10'!A27+(B27-SUM(D27:F27))</f>
        <v>1066.02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22"/>
      <c r="J27" s="426"/>
      <c r="K27" s="427"/>
      <c r="L27" s="199"/>
      <c r="M27" s="1"/>
      <c r="R27" s="3"/>
    </row>
    <row r="28" spans="1:18" ht="15.75">
      <c r="A28" s="112">
        <f>'10'!A28+(B28-SUM(D28:F28))</f>
        <v>318.3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2"/>
      <c r="J28" s="426"/>
      <c r="K28" s="427"/>
      <c r="L28" s="199"/>
      <c r="M28" s="1"/>
      <c r="R28" s="3"/>
    </row>
    <row r="29" spans="1:18" ht="15.75">
      <c r="A29" s="112">
        <f>'10'!A29+(B29-SUM(D29:F29))</f>
        <v>109.43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3"/>
      <c r="J29" s="428"/>
      <c r="K29" s="429"/>
      <c r="L29" s="201"/>
      <c r="M29" s="1"/>
      <c r="R29" s="3"/>
    </row>
    <row r="30" spans="1:18" ht="15.75" customHeight="1">
      <c r="A30" s="112">
        <f>'10'!A30+(B30-SUM(D30:F30))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1" t="str">
        <f>AÑO!A9</f>
        <v>Rocío Salario</v>
      </c>
      <c r="J30" s="424"/>
      <c r="K30" s="425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/>
      <c r="K31" s="427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/>
      <c r="K32" s="427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218</v>
      </c>
      <c r="J35" s="424"/>
      <c r="K35" s="425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01"/>
      <c r="M39" s="1"/>
      <c r="R39" s="3"/>
    </row>
    <row r="40" spans="1:18" ht="16.5" thickBot="1">
      <c r="A40" s="112">
        <f>SUM(A26:A35)</f>
        <v>7080.0300000000007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1" t="str">
        <f>AÑO!A11</f>
        <v>Finanazas</v>
      </c>
      <c r="J40" s="424"/>
      <c r="K40" s="42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199"/>
      <c r="M41" s="1"/>
      <c r="R41" s="3"/>
    </row>
    <row r="42" spans="1:18" ht="15.6" customHeight="1">
      <c r="A42" s="1"/>
      <c r="B42" s="404" t="str">
        <f>AÑO!A22</f>
        <v>Comida+Limpieza</v>
      </c>
      <c r="C42" s="411"/>
      <c r="D42" s="411"/>
      <c r="E42" s="411"/>
      <c r="F42" s="411"/>
      <c r="G42" s="412"/>
      <c r="H42" s="1"/>
      <c r="I42" s="422"/>
      <c r="J42" s="426"/>
      <c r="K42" s="427"/>
      <c r="L42" s="19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199"/>
      <c r="M43" s="1"/>
      <c r="R43" s="3"/>
    </row>
    <row r="44" spans="1:18" ht="15.75">
      <c r="A44" s="1"/>
      <c r="B44" s="402" t="s">
        <v>8</v>
      </c>
      <c r="C44" s="403"/>
      <c r="D44" s="410" t="s">
        <v>9</v>
      </c>
      <c r="E44" s="410"/>
      <c r="F44" s="410"/>
      <c r="G44" s="403"/>
      <c r="H44" s="1"/>
      <c r="I44" s="423"/>
      <c r="J44" s="428"/>
      <c r="K44" s="429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1" t="str">
        <f>AÑO!A12</f>
        <v>Regalos</v>
      </c>
      <c r="J45" s="424"/>
      <c r="K45" s="425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22"/>
      <c r="J46" s="426"/>
      <c r="K46" s="427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22"/>
      <c r="J47" s="426"/>
      <c r="K47" s="427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2"/>
      <c r="J48" s="426"/>
      <c r="K48" s="427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3"/>
      <c r="J49" s="428"/>
      <c r="K49" s="429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1" t="str">
        <f>AÑO!A13</f>
        <v>Gubernamental</v>
      </c>
      <c r="J50" s="424"/>
      <c r="K50" s="425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2"/>
      <c r="J51" s="426"/>
      <c r="K51" s="427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2"/>
      <c r="J52" s="426"/>
      <c r="K52" s="427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2"/>
      <c r="J53" s="426"/>
      <c r="K53" s="427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24"/>
      <c r="K55" s="425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1" t="str">
        <f>AÑO!A15</f>
        <v>Alquiler Cartama</v>
      </c>
      <c r="J60" s="424"/>
      <c r="K60" s="425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19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19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199"/>
      <c r="M63" s="1"/>
      <c r="R63" s="3"/>
    </row>
    <row r="64" spans="1:18" ht="15.75">
      <c r="A64" s="1"/>
      <c r="B64" s="402" t="s">
        <v>8</v>
      </c>
      <c r="C64" s="403"/>
      <c r="D64" s="410" t="s">
        <v>9</v>
      </c>
      <c r="E64" s="410"/>
      <c r="F64" s="410"/>
      <c r="G64" s="403"/>
      <c r="H64" s="1"/>
      <c r="I64" s="423"/>
      <c r="J64" s="428"/>
      <c r="K64" s="429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1" t="str">
        <f>AÑO!A16</f>
        <v>Otros</v>
      </c>
      <c r="J65" s="424"/>
      <c r="K65" s="425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22"/>
      <c r="J66" s="426"/>
      <c r="K66" s="427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2"/>
      <c r="J67" s="426"/>
      <c r="K67" s="427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2"/>
      <c r="J68" s="426"/>
      <c r="K68" s="427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7"/>
      <c r="J69" s="438"/>
      <c r="K69" s="439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10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10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1550.8200000000002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425.84000000000003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683.09999999999991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2645.2400000000016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2659.76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10" t="s">
        <v>9</v>
      </c>
      <c r="E124" s="410"/>
      <c r="F124" s="410"/>
      <c r="G124" s="40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10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10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10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10" t="s">
        <v>9</v>
      </c>
      <c r="E204" s="410"/>
      <c r="F204" s="410"/>
      <c r="G204" s="40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10" t="s">
        <v>9</v>
      </c>
      <c r="E224" s="410"/>
      <c r="F224" s="410"/>
      <c r="G224" s="40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2:7" ht="15" customHeight="1" thickBot="1">
      <c r="B243" s="413"/>
      <c r="C243" s="414"/>
      <c r="D243" s="414"/>
      <c r="E243" s="414"/>
      <c r="F243" s="414"/>
      <c r="G243" s="415"/>
    </row>
    <row r="244" spans="2:7" ht="15" customHeight="1">
      <c r="B244" s="402" t="s">
        <v>8</v>
      </c>
      <c r="C244" s="403"/>
      <c r="D244" s="410" t="s">
        <v>9</v>
      </c>
      <c r="E244" s="410"/>
      <c r="F244" s="410"/>
      <c r="G244" s="40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2:7" ht="15" customHeight="1" thickBot="1">
      <c r="B263" s="413"/>
      <c r="C263" s="414"/>
      <c r="D263" s="414"/>
      <c r="E263" s="414"/>
      <c r="F263" s="414"/>
      <c r="G263" s="415"/>
    </row>
    <row r="264" spans="2:7">
      <c r="B264" s="402" t="s">
        <v>8</v>
      </c>
      <c r="C264" s="403"/>
      <c r="D264" s="410" t="s">
        <v>9</v>
      </c>
      <c r="E264" s="410"/>
      <c r="F264" s="410"/>
      <c r="G264" s="40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10" t="s">
        <v>9</v>
      </c>
      <c r="E284" s="410"/>
      <c r="F284" s="410"/>
      <c r="G284" s="40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10" t="s">
        <v>9</v>
      </c>
      <c r="E304" s="410"/>
      <c r="F304" s="410"/>
      <c r="G304" s="40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4" t="str">
        <f>AÑO!A36</f>
        <v>Nenas</v>
      </c>
      <c r="C322" s="411"/>
      <c r="D322" s="411"/>
      <c r="E322" s="411"/>
      <c r="F322" s="411"/>
      <c r="G322" s="412"/>
    </row>
    <row r="323" spans="2:7" ht="15" customHeight="1" thickBot="1">
      <c r="B323" s="413"/>
      <c r="C323" s="414"/>
      <c r="D323" s="414"/>
      <c r="E323" s="414"/>
      <c r="F323" s="414"/>
      <c r="G323" s="415"/>
    </row>
    <row r="324" spans="2:7">
      <c r="B324" s="402" t="s">
        <v>8</v>
      </c>
      <c r="C324" s="403"/>
      <c r="D324" s="410" t="s">
        <v>9</v>
      </c>
      <c r="E324" s="410"/>
      <c r="F324" s="410"/>
      <c r="G324" s="40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4" t="str">
        <f>AÑO!A37</f>
        <v>Impuestos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10" t="s">
        <v>9</v>
      </c>
      <c r="E344" s="410"/>
      <c r="F344" s="410"/>
      <c r="G344" s="40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10" t="s">
        <v>9</v>
      </c>
      <c r="E364" s="410"/>
      <c r="F364" s="410"/>
      <c r="G364" s="40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11"/>
      <c r="D382" s="411"/>
      <c r="E382" s="411"/>
      <c r="F382" s="411"/>
      <c r="G382" s="412"/>
    </row>
    <row r="383" spans="2:7" ht="15" customHeight="1" thickBot="1">
      <c r="B383" s="413"/>
      <c r="C383" s="414"/>
      <c r="D383" s="414"/>
      <c r="E383" s="414"/>
      <c r="F383" s="414"/>
      <c r="G383" s="415"/>
    </row>
    <row r="384" spans="2:7">
      <c r="B384" s="402" t="s">
        <v>8</v>
      </c>
      <c r="C384" s="403"/>
      <c r="D384" s="410" t="s">
        <v>9</v>
      </c>
      <c r="E384" s="410"/>
      <c r="F384" s="410"/>
      <c r="G384" s="40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10" t="s">
        <v>9</v>
      </c>
      <c r="E404" s="410"/>
      <c r="F404" s="410"/>
      <c r="G404" s="40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10" t="s">
        <v>9</v>
      </c>
      <c r="E424" s="410"/>
      <c r="F424" s="410"/>
      <c r="G424" s="403"/>
    </row>
    <row r="425" spans="1:7">
      <c r="A425" s="113">
        <f>AÑO!AQ17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Cartama Finanazas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125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'10'!A467+(B467-SUM(D467:F467))</f>
        <v>525.23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'10'!A468+(B468-SUM(D468:F468))</f>
        <v>233.4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883.63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10" t="s">
        <v>9</v>
      </c>
      <c r="E504" s="410"/>
      <c r="F504" s="410"/>
      <c r="G504" s="40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BBBCB373-1FB5-4F0D-AA74-5BBD10DD91A9}"/>
    <hyperlink ref="I22:L23" location="AÑO!G7:J17" display="INGRESOS" xr:uid="{E282AF9C-B591-4A52-9494-0A5F5A82E27E}"/>
    <hyperlink ref="I2" location="Trimestre!C39:F40" display="TELÉFONO" xr:uid="{30484E9B-E7F6-46A1-B784-C1418D479010}"/>
    <hyperlink ref="I2:L3" location="AÑO!G4:J5" display="SALDO REAL" xr:uid="{6CB45ADF-76A7-4747-8F76-7F47E5F323EF}"/>
    <hyperlink ref="B2" location="Trimestre!C25:F26" display="HIPOTECA" xr:uid="{6DB2B9F5-FF65-4123-8C85-765D9C034E14}"/>
    <hyperlink ref="B2:G3" location="AÑO!G20:J20" display="AÑO!G20:J20" xr:uid="{F11C72AB-192F-4475-8C12-F8BD41A8C9C5}"/>
    <hyperlink ref="B22" location="Trimestre!C25:F26" display="HIPOTECA" xr:uid="{21D11D4C-E9E3-4F9E-A9D7-171884BE47C1}"/>
    <hyperlink ref="B22:G23" location="AÑO!G21:J21" display="AÑO!G21:J21" xr:uid="{B1246B28-04E0-4D2F-9F15-CE4B56A845A5}"/>
    <hyperlink ref="B42" location="Trimestre!C25:F26" display="HIPOTECA" xr:uid="{27F6D88C-DF95-49D0-8EA4-58026914FB48}"/>
    <hyperlink ref="B42:G43" location="AÑO!G22:J22" display="AÑO!G22:J22" xr:uid="{E1C2B11E-2BB2-4347-B3C1-A70FC9BD0CBC}"/>
    <hyperlink ref="B62" location="Trimestre!C25:F26" display="HIPOTECA" xr:uid="{98B31D56-AD3C-48D3-B201-F93FC6842B86}"/>
    <hyperlink ref="B62:G63" location="AÑO!G23:J23" display="AÑO!G23:J23" xr:uid="{A381DDE4-4483-4C69-8CB5-555D93B8B7BF}"/>
    <hyperlink ref="B82" location="Trimestre!C25:F26" display="HIPOTECA" xr:uid="{C74AD30A-FE4E-4D86-BEF6-3C1988BFEBE2}"/>
    <hyperlink ref="B82:G83" location="AÑO!G24:J24" display="AÑO!G24:J24" xr:uid="{63760DED-1430-42E1-956D-10B359821847}"/>
    <hyperlink ref="B102" location="Trimestre!C25:F26" display="HIPOTECA" xr:uid="{8FB14B71-20AB-45D1-AC3F-CDD965DDDCCB}"/>
    <hyperlink ref="B102:G103" location="AÑO!G25:J25" display="AÑO!G25:J25" xr:uid="{D18757EB-E013-4FDA-814B-2EE97023C75B}"/>
    <hyperlink ref="B122" location="Trimestre!C25:F26" display="HIPOTECA" xr:uid="{77AFAEAD-4156-4CB3-8EC2-706A126FE1EE}"/>
    <hyperlink ref="B122:G123" location="AÑO!G26:J26" display="AÑO!G26:J26" xr:uid="{94E76C8B-BCCA-41CD-909A-92C576190B85}"/>
    <hyperlink ref="B142" location="Trimestre!C25:F26" display="HIPOTECA" xr:uid="{51F4F74E-046D-42DB-8CAD-1301337CD87B}"/>
    <hyperlink ref="B142:G143" location="AÑO!G27:J27" display="AÑO!G27:J27" xr:uid="{67D79098-1E06-435A-98ED-AF442B199629}"/>
    <hyperlink ref="B162" location="Trimestre!C25:F26" display="HIPOTECA" xr:uid="{1B5F42CC-E6FA-4FD5-89CB-5112A0648768}"/>
    <hyperlink ref="B162:G163" location="AÑO!G28:J28" display="AÑO!G28:J28" xr:uid="{E3DE2FF4-873A-49C6-AB3F-0DAD5F8B3B35}"/>
    <hyperlink ref="B182" location="Trimestre!C25:F26" display="HIPOTECA" xr:uid="{A115D2FC-B0D2-4A14-829E-B18548376522}"/>
    <hyperlink ref="B182:G183" location="AÑO!G29:J29" display="AÑO!G29:J29" xr:uid="{1320C1B9-D232-4D2F-ADD1-2637836A9504}"/>
    <hyperlink ref="B202" location="Trimestre!C25:F26" display="HIPOTECA" xr:uid="{2B086B7D-6445-4B40-949C-7D27C1FAC659}"/>
    <hyperlink ref="B202:G203" location="AÑO!G30:J30" display="AÑO!G30:J30" xr:uid="{8CD32F74-1A7A-400F-9076-C497773DF432}"/>
    <hyperlink ref="B222" location="Trimestre!C25:F26" display="HIPOTECA" xr:uid="{14479288-502B-4601-8E59-A6584FD4250E}"/>
    <hyperlink ref="B222:G223" location="AÑO!G31:J31" display="AÑO!G31:J31" xr:uid="{A4F9EEDA-B20B-46AC-B459-5319AFA29F49}"/>
    <hyperlink ref="B242" location="Trimestre!C25:F26" display="HIPOTECA" xr:uid="{6AB6B7E6-A436-41C0-874B-E7A53CDF3159}"/>
    <hyperlink ref="B242:G243" location="AÑO!G32:J32" display="AÑO!G32:J32" xr:uid="{9A67DA89-8B9E-4AA0-B4D9-BCCB333F08AB}"/>
    <hyperlink ref="B262" location="Trimestre!C25:F26" display="HIPOTECA" xr:uid="{18BE684B-40EF-46BD-81D7-5F6E7E715DA9}"/>
    <hyperlink ref="B262:G263" location="AÑO!G33:J33" display="AÑO!G33:J33" xr:uid="{528733ED-9495-464F-89C1-B8A12819F80E}"/>
    <hyperlink ref="B282" location="Trimestre!C25:F26" display="HIPOTECA" xr:uid="{C650B393-FCD5-4521-B4D7-3016C934A61C}"/>
    <hyperlink ref="B282:G283" location="AÑO!G34:J34" display="AÑO!G34:J34" xr:uid="{0250757C-CA12-4886-B535-43B25D01DEDD}"/>
    <hyperlink ref="B302" location="Trimestre!C25:F26" display="HIPOTECA" xr:uid="{CCE32628-B549-4C82-9730-EBC66A41B070}"/>
    <hyperlink ref="B302:G303" location="AÑO!G35:J35" display="AÑO!G35:J35" xr:uid="{BAD4A4C8-CE19-48DD-8C7D-D301D61CBC21}"/>
    <hyperlink ref="B322" location="Trimestre!C25:F26" display="HIPOTECA" xr:uid="{C5DD3679-D718-444C-9911-C1152476FB11}"/>
    <hyperlink ref="B322:G323" location="AÑO!G36:J36" display="AÑO!G36:J36" xr:uid="{79BD2A8F-7C9C-4682-873C-DBED02CE3586}"/>
    <hyperlink ref="B342" location="Trimestre!C25:F26" display="HIPOTECA" xr:uid="{E9D2FD09-03B6-42DC-80D6-BC9982FC3D6D}"/>
    <hyperlink ref="B342:G343" location="AÑO!G37:J37" display="AÑO!G37:J37" xr:uid="{44323583-0E9E-41CA-9BF1-0AA66C4E7FE0}"/>
    <hyperlink ref="B362" location="Trimestre!C25:F26" display="HIPOTECA" xr:uid="{028AFC57-6CF5-49B2-8B4B-59F6378D94FD}"/>
    <hyperlink ref="B362:G363" location="AÑO!G38:J38" display="AÑO!G38:J38" xr:uid="{D52C6CD0-4C55-4F52-BD8F-F38CAC4EE5B0}"/>
    <hyperlink ref="B382" location="Trimestre!C25:F26" display="HIPOTECA" xr:uid="{ACF63E33-1FCD-4244-BF60-68B30031F378}"/>
    <hyperlink ref="B382:G383" location="AÑO!G39:J39" display="AÑO!G39:J39" xr:uid="{9ECDEDEC-F02B-49AA-A83C-92676CC1BD72}"/>
    <hyperlink ref="B402" location="Trimestre!C25:F26" display="HIPOTECA" xr:uid="{217ADFCE-5080-4A53-AD40-3A9D05EEF1AB}"/>
    <hyperlink ref="B402:G403" location="AÑO!G40:J40" display="AÑO!G40:J40" xr:uid="{CF096300-9542-4E13-9D16-2DF5AE7B5F6D}"/>
    <hyperlink ref="B422" location="Trimestre!C25:F26" display="HIPOTECA" xr:uid="{48007D8F-4A4D-42D0-97B4-B75F9BB7F943}"/>
    <hyperlink ref="B422:G423" location="AÑO!G41:J41" display="AÑO!G41:J41" xr:uid="{74BD7C7E-AD48-4ABC-8850-96DD9FD49743}"/>
    <hyperlink ref="B442" location="Trimestre!C25:F26" display="HIPOTECA" xr:uid="{CCF03B96-0737-41F3-A6D6-47556021B67A}"/>
    <hyperlink ref="B442:G443" location="AÑO!G42:J42" display="AÑO!G42:J42" xr:uid="{210E9BC1-D793-4330-8176-63459B79B3C8}"/>
    <hyperlink ref="B462" location="Trimestre!C25:F26" display="HIPOTECA" xr:uid="{4AB5887B-8771-4F17-9DE5-94884BF27417}"/>
    <hyperlink ref="B462:G463" location="AÑO!G43:J43" display="AÑO!G43:J43" xr:uid="{4190FCAA-7D5A-4267-96DF-B60C88115BB0}"/>
    <hyperlink ref="B482" location="Trimestre!C25:F26" display="HIPOTECA" xr:uid="{6917B037-D563-4878-BA76-2FA2F093DD07}"/>
    <hyperlink ref="B482:G483" location="AÑO!G44:J44" display="AÑO!G44:J44" xr:uid="{EC96969E-50DD-41A3-9E45-1F356AFEC319}"/>
    <hyperlink ref="B502" location="Trimestre!C25:F26" display="HIPOTECA" xr:uid="{A0E3CD93-D8BD-472B-9250-2A8CFC85B6B8}"/>
    <hyperlink ref="B502:G503" location="AÑO!G45:J45" display="AÑO!G45:J45" xr:uid="{7B4FEEBC-1672-429C-8EDB-08CD601E57D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13" workbookViewId="0">
      <selection activeCell="F473" sqref="F47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 Gastos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10" t="s">
        <v>9</v>
      </c>
      <c r="E4" s="410"/>
      <c r="F4" s="410"/>
      <c r="G4" s="403"/>
      <c r="H4" s="222"/>
      <c r="I4" s="40" t="s">
        <v>57</v>
      </c>
      <c r="J4" s="105" t="s">
        <v>58</v>
      </c>
      <c r="K4" s="430" t="s">
        <v>59</v>
      </c>
      <c r="L4" s="43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2"/>
      <c r="L5" s="433"/>
      <c r="M5" s="1"/>
      <c r="N5" s="1"/>
      <c r="R5" s="3"/>
    </row>
    <row r="6" spans="1:22" ht="15.75">
      <c r="A6" s="112">
        <f>'11'!A6+(B6-SUM(D6:F6))</f>
        <v>3209.7000000000003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6">
        <v>550</v>
      </c>
      <c r="L6" s="417"/>
      <c r="M6" s="1" t="s">
        <v>165</v>
      </c>
      <c r="N6" s="1"/>
      <c r="R6" s="3"/>
    </row>
    <row r="7" spans="1:22" ht="15.75">
      <c r="A7" s="112">
        <f>'11'!A7+(B7-SUM(D7:F7))</f>
        <v>523.93000000000006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6"/>
      <c r="L7" s="417"/>
      <c r="M7" s="1"/>
      <c r="N7" s="1"/>
      <c r="R7" s="3"/>
    </row>
    <row r="8" spans="1:22" ht="15.75">
      <c r="A8" s="112">
        <f>'11'!A8+(B8-SUM(D8:F8))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6">
        <v>7000</v>
      </c>
      <c r="L8" s="417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6">
        <v>659.77</v>
      </c>
      <c r="L9" s="417"/>
      <c r="M9" s="1"/>
      <c r="N9" s="1"/>
      <c r="R9" s="3"/>
    </row>
    <row r="10" spans="1:22" ht="15.75">
      <c r="A10" s="112">
        <f>'11'!A10+(B10-SUM(D10:F10))</f>
        <v>96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6">
        <v>1800.04</v>
      </c>
      <c r="L10" s="417"/>
      <c r="M10" s="1" t="s">
        <v>156</v>
      </c>
      <c r="N10" s="1"/>
      <c r="R10" s="3"/>
    </row>
    <row r="11" spans="1:22" ht="15.75">
      <c r="A11" s="112">
        <f>'11'!A11+(B11-SUM(D11:F11))</f>
        <v>211.58999999999997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6"/>
      <c r="L11" s="417"/>
      <c r="M11" s="1"/>
      <c r="N11" s="1"/>
      <c r="R11" s="3"/>
    </row>
    <row r="12" spans="1:22" ht="15.75">
      <c r="A12" s="112">
        <f>'11'!A12+(B12-SUM(D12:F12))</f>
        <v>338.04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6">
        <v>5092.08</v>
      </c>
      <c r="L12" s="417"/>
      <c r="M12" s="92"/>
      <c r="N12" s="1"/>
      <c r="R12" s="3"/>
    </row>
    <row r="13" spans="1:22" ht="15.75">
      <c r="A13" s="112">
        <f>'11'!A13+(B13-SUM(D13:F13))</f>
        <v>66.5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8">
        <f>SUM(K5:K18)</f>
        <v>15101.890000000001</v>
      </c>
      <c r="L19" s="419"/>
      <c r="M19" s="1"/>
      <c r="N19" s="1"/>
      <c r="R19" s="3"/>
    </row>
    <row r="20" spans="1:18" ht="16.5" thickBot="1">
      <c r="A20" s="112">
        <f>SUM(A6:A15)</f>
        <v>4445.76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10" t="s">
        <v>9</v>
      </c>
      <c r="E24" s="410"/>
      <c r="F24" s="410"/>
      <c r="G24" s="403"/>
      <c r="H24" s="1"/>
      <c r="I24" s="40" t="s">
        <v>31</v>
      </c>
      <c r="J24" s="435" t="s">
        <v>87</v>
      </c>
      <c r="K24" s="436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1" t="str">
        <f>AÑO!A8</f>
        <v>Manolo Salario</v>
      </c>
      <c r="J25" s="424"/>
      <c r="K25" s="425"/>
      <c r="L25" s="198"/>
      <c r="M25" s="1"/>
      <c r="R25" s="3"/>
    </row>
    <row r="26" spans="1:18" ht="15.75">
      <c r="A26" s="112">
        <f>'11'!A26+(B26-SUM(D26:F26))</f>
        <v>6300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2"/>
      <c r="J26" s="426"/>
      <c r="K26" s="427"/>
      <c r="L26" s="199"/>
      <c r="M26" s="1"/>
      <c r="R26" s="3"/>
    </row>
    <row r="27" spans="1:18" ht="15.75">
      <c r="A27" s="112">
        <f>'11'!A27+(B27-SUM(D27:F27))</f>
        <v>1236.02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22"/>
      <c r="J27" s="426"/>
      <c r="K27" s="427"/>
      <c r="L27" s="199"/>
      <c r="M27" s="1"/>
      <c r="R27" s="3"/>
    </row>
    <row r="28" spans="1:18" ht="15.75">
      <c r="A28" s="112">
        <f>'11'!A28+(B28-SUM(D28:F28))</f>
        <v>358.3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2"/>
      <c r="J28" s="426"/>
      <c r="K28" s="427"/>
      <c r="L28" s="199"/>
      <c r="M28" s="1"/>
      <c r="R28" s="3"/>
    </row>
    <row r="29" spans="1:18" ht="15.75">
      <c r="A29" s="112">
        <f>'11'!A29+(B29-SUM(D29:F29))</f>
        <v>127.43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3"/>
      <c r="J29" s="428"/>
      <c r="K29" s="429"/>
      <c r="L29" s="201"/>
      <c r="M29" s="1"/>
      <c r="R29" s="3"/>
    </row>
    <row r="30" spans="1:18" ht="15.75" customHeight="1">
      <c r="A30" s="112">
        <f>'11'!A30+(B30-SUM(D30:F30))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1" t="str">
        <f>AÑO!A9</f>
        <v>Rocío Salario</v>
      </c>
      <c r="J30" s="424"/>
      <c r="K30" s="425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/>
      <c r="K31" s="427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/>
      <c r="K32" s="427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218</v>
      </c>
      <c r="J35" s="424"/>
      <c r="K35" s="425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01"/>
      <c r="M39" s="1"/>
      <c r="R39" s="3"/>
    </row>
    <row r="40" spans="1:18" ht="16.5" thickBot="1">
      <c r="A40" s="112">
        <f>SUM(A26:A35)</f>
        <v>8208.0300000000007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1" t="str">
        <f>AÑO!A11</f>
        <v>Finanazas</v>
      </c>
      <c r="J40" s="424"/>
      <c r="K40" s="42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199"/>
      <c r="M41" s="1"/>
      <c r="R41" s="3"/>
    </row>
    <row r="42" spans="1:18" ht="15.6" customHeight="1">
      <c r="A42" s="1"/>
      <c r="B42" s="404" t="str">
        <f>AÑO!A22</f>
        <v>Comida+Limpieza</v>
      </c>
      <c r="C42" s="411"/>
      <c r="D42" s="411"/>
      <c r="E42" s="411"/>
      <c r="F42" s="411"/>
      <c r="G42" s="412"/>
      <c r="H42" s="1"/>
      <c r="I42" s="422"/>
      <c r="J42" s="426"/>
      <c r="K42" s="427"/>
      <c r="L42" s="19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199"/>
      <c r="M43" s="1"/>
      <c r="R43" s="3"/>
    </row>
    <row r="44" spans="1:18" ht="15.75">
      <c r="A44" s="1"/>
      <c r="B44" s="402" t="s">
        <v>8</v>
      </c>
      <c r="C44" s="403"/>
      <c r="D44" s="410" t="s">
        <v>9</v>
      </c>
      <c r="E44" s="410"/>
      <c r="F44" s="410"/>
      <c r="G44" s="403"/>
      <c r="H44" s="1"/>
      <c r="I44" s="423"/>
      <c r="J44" s="428"/>
      <c r="K44" s="429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1" t="str">
        <f>AÑO!A12</f>
        <v>Regalos</v>
      </c>
      <c r="J45" s="424"/>
      <c r="K45" s="425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22"/>
      <c r="J46" s="426"/>
      <c r="K46" s="427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22"/>
      <c r="J47" s="426"/>
      <c r="K47" s="427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2"/>
      <c r="J48" s="426"/>
      <c r="K48" s="427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3"/>
      <c r="J49" s="428"/>
      <c r="K49" s="429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1" t="str">
        <f>AÑO!A13</f>
        <v>Gubernamental</v>
      </c>
      <c r="J50" s="424"/>
      <c r="K50" s="425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2"/>
      <c r="J51" s="426"/>
      <c r="K51" s="427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2"/>
      <c r="J52" s="426"/>
      <c r="K52" s="427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2"/>
      <c r="J53" s="426"/>
      <c r="K53" s="427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24"/>
      <c r="K55" s="425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1" t="str">
        <f>AÑO!A15</f>
        <v>Alquiler Cartama</v>
      </c>
      <c r="J60" s="424"/>
      <c r="K60" s="425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19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19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199"/>
      <c r="M63" s="1"/>
      <c r="R63" s="3"/>
    </row>
    <row r="64" spans="1:18" ht="15.75">
      <c r="A64" s="1"/>
      <c r="B64" s="402" t="s">
        <v>8</v>
      </c>
      <c r="C64" s="403"/>
      <c r="D64" s="410" t="s">
        <v>9</v>
      </c>
      <c r="E64" s="410"/>
      <c r="F64" s="410"/>
      <c r="G64" s="403"/>
      <c r="H64" s="1"/>
      <c r="I64" s="423"/>
      <c r="J64" s="428"/>
      <c r="K64" s="429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1" t="str">
        <f>AÑO!A16</f>
        <v>Otros</v>
      </c>
      <c r="J65" s="424"/>
      <c r="K65" s="425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22"/>
      <c r="J66" s="426"/>
      <c r="K66" s="427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2"/>
      <c r="J67" s="426"/>
      <c r="K67" s="427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2"/>
      <c r="J68" s="426"/>
      <c r="K68" s="427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7"/>
      <c r="J69" s="438"/>
      <c r="K69" s="439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10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10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1809.2900000000002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496.84000000000003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733.09999999999991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2670.7700000000018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3039.23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10" t="s">
        <v>9</v>
      </c>
      <c r="E124" s="410"/>
      <c r="F124" s="410"/>
      <c r="G124" s="40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10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10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10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10" t="s">
        <v>9</v>
      </c>
      <c r="E204" s="410"/>
      <c r="F204" s="410"/>
      <c r="G204" s="40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10" t="s">
        <v>9</v>
      </c>
      <c r="E224" s="410"/>
      <c r="F224" s="410"/>
      <c r="G224" s="40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2:7" ht="15" customHeight="1" thickBot="1">
      <c r="B243" s="413"/>
      <c r="C243" s="414"/>
      <c r="D243" s="414"/>
      <c r="E243" s="414"/>
      <c r="F243" s="414"/>
      <c r="G243" s="415"/>
    </row>
    <row r="244" spans="2:7" ht="15" customHeight="1">
      <c r="B244" s="402" t="s">
        <v>8</v>
      </c>
      <c r="C244" s="403"/>
      <c r="D244" s="410" t="s">
        <v>9</v>
      </c>
      <c r="E244" s="410"/>
      <c r="F244" s="410"/>
      <c r="G244" s="40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2:7" ht="15" customHeight="1" thickBot="1">
      <c r="B263" s="413"/>
      <c r="C263" s="414"/>
      <c r="D263" s="414"/>
      <c r="E263" s="414"/>
      <c r="F263" s="414"/>
      <c r="G263" s="415"/>
    </row>
    <row r="264" spans="2:7">
      <c r="B264" s="402" t="s">
        <v>8</v>
      </c>
      <c r="C264" s="403"/>
      <c r="D264" s="410" t="s">
        <v>9</v>
      </c>
      <c r="E264" s="410"/>
      <c r="F264" s="410"/>
      <c r="G264" s="40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10" t="s">
        <v>9</v>
      </c>
      <c r="E284" s="410"/>
      <c r="F284" s="410"/>
      <c r="G284" s="40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10" t="s">
        <v>9</v>
      </c>
      <c r="E304" s="410"/>
      <c r="F304" s="410"/>
      <c r="G304" s="40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4" t="str">
        <f>AÑO!A36</f>
        <v>Nenas</v>
      </c>
      <c r="C322" s="411"/>
      <c r="D322" s="411"/>
      <c r="E322" s="411"/>
      <c r="F322" s="411"/>
      <c r="G322" s="412"/>
    </row>
    <row r="323" spans="2:7" ht="15" customHeight="1" thickBot="1">
      <c r="B323" s="413"/>
      <c r="C323" s="414"/>
      <c r="D323" s="414"/>
      <c r="E323" s="414"/>
      <c r="F323" s="414"/>
      <c r="G323" s="415"/>
    </row>
    <row r="324" spans="2:7">
      <c r="B324" s="402" t="s">
        <v>8</v>
      </c>
      <c r="C324" s="403"/>
      <c r="D324" s="410" t="s">
        <v>9</v>
      </c>
      <c r="E324" s="410"/>
      <c r="F324" s="410"/>
      <c r="G324" s="40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4" t="str">
        <f>AÑO!A37</f>
        <v>Impuestos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10" t="s">
        <v>9</v>
      </c>
      <c r="E344" s="410"/>
      <c r="F344" s="410"/>
      <c r="G344" s="40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10" t="s">
        <v>9</v>
      </c>
      <c r="E364" s="410"/>
      <c r="F364" s="410"/>
      <c r="G364" s="40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11"/>
      <c r="D382" s="411"/>
      <c r="E382" s="411"/>
      <c r="F382" s="411"/>
      <c r="G382" s="412"/>
    </row>
    <row r="383" spans="2:7" ht="15" customHeight="1" thickBot="1">
      <c r="B383" s="413"/>
      <c r="C383" s="414"/>
      <c r="D383" s="414"/>
      <c r="E383" s="414"/>
      <c r="F383" s="414"/>
      <c r="G383" s="415"/>
    </row>
    <row r="384" spans="2:7">
      <c r="B384" s="402" t="s">
        <v>8</v>
      </c>
      <c r="C384" s="403"/>
      <c r="D384" s="410" t="s">
        <v>9</v>
      </c>
      <c r="E384" s="410"/>
      <c r="F384" s="410"/>
      <c r="G384" s="40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10" t="s">
        <v>9</v>
      </c>
      <c r="E404" s="410"/>
      <c r="F404" s="410"/>
      <c r="G404" s="40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10" t="s">
        <v>9</v>
      </c>
      <c r="E424" s="410"/>
      <c r="F424" s="410"/>
      <c r="G424" s="403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Cartama Finanazas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'11'!A466+(B466-SUM(D466:F466))</f>
        <v>150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'11'!A467+(B467-SUM(D467:F467))</f>
        <v>545.23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'11'!A468+(B468-SUM(D468:F468))</f>
        <v>238.4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933.63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10" t="s">
        <v>9</v>
      </c>
      <c r="E504" s="410"/>
      <c r="F504" s="410"/>
      <c r="G504" s="40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20438195-0F13-4C04-9471-654DEABA7209}"/>
    <hyperlink ref="I22:L23" location="AÑO!G7:J17" display="INGRESOS" xr:uid="{9CACA1B4-E542-48AB-A505-14B11D6A2666}"/>
    <hyperlink ref="I2" location="Trimestre!C39:F40" display="TELÉFONO" xr:uid="{2915906E-64A7-4B00-9923-5AE15EA9A115}"/>
    <hyperlink ref="I2:L3" location="AÑO!G4:J5" display="SALDO REAL" xr:uid="{2AE4DA69-F991-45EF-8934-16F19915B3CC}"/>
    <hyperlink ref="B2" location="Trimestre!C25:F26" display="HIPOTECA" xr:uid="{1612C0DB-1BB2-468C-97B5-836822F981B1}"/>
    <hyperlink ref="B2:G3" location="AÑO!G20:J20" display="AÑO!G20:J20" xr:uid="{EF21322C-F603-4E71-91F5-8903DAC6719E}"/>
    <hyperlink ref="B22" location="Trimestre!C25:F26" display="HIPOTECA" xr:uid="{0ECEB6EF-D1F8-4BBC-A20F-908B83315F36}"/>
    <hyperlink ref="B22:G23" location="AÑO!G21:J21" display="AÑO!G21:J21" xr:uid="{FBF12B13-465B-4EAD-BBD9-F0B9FC7C011F}"/>
    <hyperlink ref="B42" location="Trimestre!C25:F26" display="HIPOTECA" xr:uid="{FF3FA28D-3DF9-4682-A38A-047480B9D403}"/>
    <hyperlink ref="B42:G43" location="AÑO!G22:J22" display="AÑO!G22:J22" xr:uid="{F06118D0-F1CE-407D-B380-5AA6F39A51CB}"/>
    <hyperlink ref="B62" location="Trimestre!C25:F26" display="HIPOTECA" xr:uid="{9A09A15E-F815-4332-9402-DBC1D9137A17}"/>
    <hyperlink ref="B62:G63" location="AÑO!G23:J23" display="AÑO!G23:J23" xr:uid="{7745A220-DD3F-460E-A6C5-56D4CE464519}"/>
    <hyperlink ref="B82" location="Trimestre!C25:F26" display="HIPOTECA" xr:uid="{93E3189E-8BF2-4BE7-9622-2600CF158E56}"/>
    <hyperlink ref="B82:G83" location="AÑO!G24:J24" display="AÑO!G24:J24" xr:uid="{72B03189-DD34-4DD0-8998-1F1C1B025A6B}"/>
    <hyperlink ref="B102" location="Trimestre!C25:F26" display="HIPOTECA" xr:uid="{853B2BB6-ED8C-40E4-BD91-75FF166FEE90}"/>
    <hyperlink ref="B102:G103" location="AÑO!G25:J25" display="AÑO!G25:J25" xr:uid="{9160BE5E-F121-40EE-8615-8907BDEBD403}"/>
    <hyperlink ref="B122" location="Trimestre!C25:F26" display="HIPOTECA" xr:uid="{43FD924E-D18B-43CD-96B1-8C5066F56861}"/>
    <hyperlink ref="B122:G123" location="AÑO!G26:J26" display="AÑO!G26:J26" xr:uid="{D27720F2-105A-4778-BE1D-C7F3D1BC19F1}"/>
    <hyperlink ref="B142" location="Trimestre!C25:F26" display="HIPOTECA" xr:uid="{1E06B1FB-F6C4-41A0-B06C-C789EA34869E}"/>
    <hyperlink ref="B142:G143" location="AÑO!G27:J27" display="AÑO!G27:J27" xr:uid="{E899E6F5-414C-463F-8827-82CB86BFAC64}"/>
    <hyperlink ref="B162" location="Trimestre!C25:F26" display="HIPOTECA" xr:uid="{A9A76ED2-0239-4FD1-A5EE-69255067C8A6}"/>
    <hyperlink ref="B162:G163" location="AÑO!G28:J28" display="AÑO!G28:J28" xr:uid="{56B373E3-493A-46F0-AC0E-CA9CEB471C7D}"/>
    <hyperlink ref="B182" location="Trimestre!C25:F26" display="HIPOTECA" xr:uid="{57843207-C64E-4F65-ACD8-A6F24007B431}"/>
    <hyperlink ref="B182:G183" location="AÑO!G29:J29" display="AÑO!G29:J29" xr:uid="{FABEE905-B111-4B9C-9C80-12AA0E90E881}"/>
    <hyperlink ref="B202" location="Trimestre!C25:F26" display="HIPOTECA" xr:uid="{CC4D3EDB-E7A3-41E6-B5FE-75DB59FA73D0}"/>
    <hyperlink ref="B202:G203" location="AÑO!G30:J30" display="AÑO!G30:J30" xr:uid="{A819E8BB-6188-40EF-8A92-2A6F640809B1}"/>
    <hyperlink ref="B222" location="Trimestre!C25:F26" display="HIPOTECA" xr:uid="{1CD785F2-43B1-496F-AAF4-5D22AB9DF7CB}"/>
    <hyperlink ref="B222:G223" location="AÑO!G31:J31" display="AÑO!G31:J31" xr:uid="{B83DF037-5A4A-4FA3-81F2-70DC6C83A927}"/>
    <hyperlink ref="B242" location="Trimestre!C25:F26" display="HIPOTECA" xr:uid="{30645D87-23EF-4A76-96F4-FB660470EF12}"/>
    <hyperlink ref="B242:G243" location="AÑO!G32:J32" display="AÑO!G32:J32" xr:uid="{234630AE-CCBD-41D4-AD0F-4F5026F41E69}"/>
    <hyperlink ref="B262" location="Trimestre!C25:F26" display="HIPOTECA" xr:uid="{DDB7411D-DA8C-438D-A5A2-493B10F03380}"/>
    <hyperlink ref="B262:G263" location="AÑO!G33:J33" display="AÑO!G33:J33" xr:uid="{F0046EAB-1149-4A9F-8937-195CC7FC04B0}"/>
    <hyperlink ref="B282" location="Trimestre!C25:F26" display="HIPOTECA" xr:uid="{6ABE98A1-1F67-403A-BD0F-BD1395F3A638}"/>
    <hyperlink ref="B282:G283" location="AÑO!G34:J34" display="AÑO!G34:J34" xr:uid="{AE36AFF3-BA6D-4E87-9800-6C59DB6B1DD7}"/>
    <hyperlink ref="B302" location="Trimestre!C25:F26" display="HIPOTECA" xr:uid="{7689437A-A5C6-481B-9B12-25BA0A596146}"/>
    <hyperlink ref="B302:G303" location="AÑO!G35:J35" display="AÑO!G35:J35" xr:uid="{307A02EE-BFE3-464C-B12D-8A3335746CBE}"/>
    <hyperlink ref="B322" location="Trimestre!C25:F26" display="HIPOTECA" xr:uid="{C82811C5-B2D1-43F8-8BA0-24689B334CC2}"/>
    <hyperlink ref="B322:G323" location="AÑO!G36:J36" display="AÑO!G36:J36" xr:uid="{B4381FE5-1A7D-473B-B51D-DAC2FEF1871F}"/>
    <hyperlink ref="B342" location="Trimestre!C25:F26" display="HIPOTECA" xr:uid="{CBC06CD0-2C2A-4E17-AA90-28F5BDDD900D}"/>
    <hyperlink ref="B342:G343" location="AÑO!G37:J37" display="AÑO!G37:J37" xr:uid="{EBF84231-6310-452D-A1E6-E2D0769D791C}"/>
    <hyperlink ref="B362" location="Trimestre!C25:F26" display="HIPOTECA" xr:uid="{98EECB6C-9212-4B75-889F-FAB4D0A39984}"/>
    <hyperlink ref="B362:G363" location="AÑO!G38:J38" display="AÑO!G38:J38" xr:uid="{09C04FC0-9E2A-48B5-BF36-5C03214CE97A}"/>
    <hyperlink ref="B382" location="Trimestre!C25:F26" display="HIPOTECA" xr:uid="{3EFD74D5-8A85-4DA2-809C-88FD23288A38}"/>
    <hyperlink ref="B382:G383" location="AÑO!G39:J39" display="AÑO!G39:J39" xr:uid="{7E1222A8-3494-4415-AF97-F73B3D7C6F50}"/>
    <hyperlink ref="B402" location="Trimestre!C25:F26" display="HIPOTECA" xr:uid="{F9599B8E-3C2A-4C8C-BF1F-14EE5FE045D4}"/>
    <hyperlink ref="B402:G403" location="AÑO!G40:J40" display="AÑO!G40:J40" xr:uid="{8DF38622-CC35-45E2-A5F5-3CF1250202BF}"/>
    <hyperlink ref="B422" location="Trimestre!C25:F26" display="HIPOTECA" xr:uid="{CFDA8725-3B41-4398-AB3A-9648CE27852C}"/>
    <hyperlink ref="B422:G423" location="AÑO!G41:J41" display="AÑO!G41:J41" xr:uid="{A79A53F9-4949-4F09-98E6-3E8385F9AD0F}"/>
    <hyperlink ref="B442" location="Trimestre!C25:F26" display="HIPOTECA" xr:uid="{47122CB1-03C6-4A65-9F6D-71367370A415}"/>
    <hyperlink ref="B442:G443" location="AÑO!G42:J42" display="AÑO!G42:J42" xr:uid="{2F211955-1776-49C0-A934-9F356B3D7754}"/>
    <hyperlink ref="B462" location="Trimestre!C25:F26" display="HIPOTECA" xr:uid="{B572D287-080D-44B2-ACB3-F13452981D7E}"/>
    <hyperlink ref="B462:G463" location="AÑO!G43:J43" display="AÑO!G43:J43" xr:uid="{6C9D4A55-A4E5-4A6C-BCB7-54E2051E23D6}"/>
    <hyperlink ref="B482" location="Trimestre!C25:F26" display="HIPOTECA" xr:uid="{ACD0A4E8-F10A-4D79-96D8-7EA7A333EAF6}"/>
    <hyperlink ref="B482:G483" location="AÑO!G44:J44" display="AÑO!G44:J44" xr:uid="{0C4736D4-2276-496B-9870-DFCF578EA19C}"/>
    <hyperlink ref="B502" location="Trimestre!C25:F26" display="HIPOTECA" xr:uid="{C0759D93-0E4B-4E96-857C-64BACFD1600B}"/>
    <hyperlink ref="B502:G503" location="AÑO!G45:J45" display="AÑO!G45:J45" xr:uid="{25259CB5-257E-4640-8D79-F823FF4D0375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topLeftCell="A4" workbookViewId="0">
      <selection activeCell="D26" sqref="D26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41"/>
      <c r="E1" s="42"/>
    </row>
    <row r="2" spans="1:13" ht="12.75" customHeight="1">
      <c r="A2" s="43" t="s">
        <v>89</v>
      </c>
      <c r="B2" s="42"/>
      <c r="C2" s="114"/>
      <c r="E2" s="42"/>
    </row>
    <row r="3" spans="1:13" ht="12.75" customHeight="1">
      <c r="A3" t="s">
        <v>180</v>
      </c>
      <c r="B3" s="114">
        <f>Historico!I25</f>
        <v>43739</v>
      </c>
      <c r="D3" s="44"/>
      <c r="E3" s="45"/>
    </row>
    <row r="4" spans="1:13" ht="12.75" customHeight="1">
      <c r="A4" t="s">
        <v>179</v>
      </c>
      <c r="B4" s="119">
        <v>130048.84</v>
      </c>
      <c r="C4" s="114"/>
      <c r="E4" s="41"/>
    </row>
    <row r="5" spans="1:13" ht="12.75" customHeight="1">
      <c r="A5" t="s">
        <v>90</v>
      </c>
      <c r="B5" s="46">
        <f>((YEAR(B9)-YEAR(B3))*12)+(MONTH(B9)-MONTH(B3)+1)</f>
        <v>341</v>
      </c>
      <c r="E5" s="42"/>
      <c r="J5" s="47" t="s">
        <v>91</v>
      </c>
      <c r="L5" s="44" t="s">
        <v>92</v>
      </c>
      <c r="M5" t="s">
        <v>93</v>
      </c>
    </row>
    <row r="6" spans="1:13" ht="12.75" customHeight="1">
      <c r="A6" t="s">
        <v>94</v>
      </c>
      <c r="B6" s="48">
        <f>E19</f>
        <v>-0.10840000000000005</v>
      </c>
      <c r="C6" s="44" t="s">
        <v>95</v>
      </c>
      <c r="D6" s="43" t="s">
        <v>96</v>
      </c>
      <c r="E6" s="42"/>
      <c r="J6" t="s">
        <v>97</v>
      </c>
      <c r="K6" s="49">
        <f>B4-B15</f>
        <v>129688.22910710827</v>
      </c>
      <c r="L6" s="39">
        <f>B4*(E8/100)</f>
        <v>42.439271453333326</v>
      </c>
      <c r="M6" s="49">
        <f>B13-L6</f>
        <v>360.61089289172935</v>
      </c>
    </row>
    <row r="7" spans="1:13" ht="12.75" customHeight="1">
      <c r="E7" s="42"/>
      <c r="J7" t="s">
        <v>98</v>
      </c>
      <c r="K7" s="49">
        <f>K6-(B13-L7)</f>
        <v>129327.50053486183</v>
      </c>
      <c r="L7" s="39">
        <f>(K6*(E8/100))</f>
        <v>42.321592098619654</v>
      </c>
      <c r="M7" s="49">
        <f>B13-L7</f>
        <v>360.72857224644304</v>
      </c>
    </row>
    <row r="8" spans="1:13" ht="12.75" customHeight="1">
      <c r="B8" s="42"/>
      <c r="D8" t="s">
        <v>183</v>
      </c>
      <c r="E8" s="50">
        <f>(B6+0.5)/12</f>
        <v>3.2633333333333327E-2</v>
      </c>
      <c r="J8" t="s">
        <v>99</v>
      </c>
      <c r="K8" s="49">
        <f>K7-(B13-L8)</f>
        <v>128966.65424485797</v>
      </c>
      <c r="L8" s="39">
        <f>(K7*(E8/100))</f>
        <v>42.203874341209904</v>
      </c>
      <c r="M8" s="49">
        <f>B13-L8</f>
        <v>360.8462900038528</v>
      </c>
    </row>
    <row r="9" spans="1:13" ht="12.75" customHeight="1">
      <c r="A9" t="s">
        <v>310</v>
      </c>
      <c r="B9" s="114">
        <v>54117</v>
      </c>
      <c r="D9" t="s">
        <v>100</v>
      </c>
      <c r="E9" s="50">
        <f>1+(E8/100)</f>
        <v>1.0003263333333334</v>
      </c>
      <c r="J9" t="s">
        <v>101</v>
      </c>
      <c r="K9" s="49">
        <f>K8-(B13-L9)</f>
        <v>128605.69019868148</v>
      </c>
      <c r="L9" s="39">
        <f>(K8*(E8/100))</f>
        <v>42.086118168571979</v>
      </c>
      <c r="M9" s="49">
        <f>B13-L9</f>
        <v>360.96404617649068</v>
      </c>
    </row>
    <row r="10" spans="1:13" ht="12.75" customHeight="1">
      <c r="B10" s="42"/>
      <c r="D10" t="s">
        <v>102</v>
      </c>
      <c r="E10" s="50">
        <f>E9^-B5</f>
        <v>0.89470474097859476</v>
      </c>
      <c r="J10" t="s">
        <v>103</v>
      </c>
      <c r="K10" s="49">
        <f>K9-(B13-L10)</f>
        <v>128244.60835790458</v>
      </c>
      <c r="L10" s="39">
        <f>(K9*(E8/100))</f>
        <v>41.968323568169716</v>
      </c>
      <c r="M10" s="49">
        <f>B13-L10</f>
        <v>361.08184077689299</v>
      </c>
    </row>
    <row r="11" spans="1:13" ht="12.75" customHeight="1">
      <c r="A11" s="43" t="s">
        <v>104</v>
      </c>
      <c r="B11" s="42"/>
      <c r="D11" t="s">
        <v>105</v>
      </c>
      <c r="E11" s="50">
        <f>100*(1-E10)</f>
        <v>10.529525902140524</v>
      </c>
      <c r="J11" t="s">
        <v>106</v>
      </c>
      <c r="K11" s="51">
        <f>K10-(B13-L11)</f>
        <v>127883.40868408699</v>
      </c>
      <c r="L11" s="39">
        <f>(K10*(E8/100))</f>
        <v>41.850490527462853</v>
      </c>
      <c r="M11" s="49">
        <f>B13-L11</f>
        <v>361.19967381759983</v>
      </c>
    </row>
    <row r="12" spans="1:13" ht="12.75" customHeight="1">
      <c r="B12" s="42"/>
      <c r="E12" s="42"/>
    </row>
    <row r="13" spans="1:13" ht="12.75" customHeight="1">
      <c r="A13" t="s">
        <v>107</v>
      </c>
      <c r="B13" s="52">
        <f>(B4*E8)/E11</f>
        <v>403.05016434506268</v>
      </c>
      <c r="E13" s="42"/>
      <c r="F13" s="44"/>
      <c r="G13" s="53"/>
      <c r="L13" s="54">
        <f>SUM(L6:L11)</f>
        <v>252.86967015736744</v>
      </c>
      <c r="M13" s="54">
        <f>SUM(M6:M11)</f>
        <v>2165.4313159130088</v>
      </c>
    </row>
    <row r="14" spans="1:13" ht="12.75" customHeight="1">
      <c r="A14" t="s">
        <v>108</v>
      </c>
      <c r="B14" s="55">
        <f>B4*(E8/100)</f>
        <v>42.439271453333326</v>
      </c>
      <c r="E14" s="42"/>
    </row>
    <row r="15" spans="1:13" ht="12.75" customHeight="1">
      <c r="A15" t="s">
        <v>109</v>
      </c>
      <c r="B15" s="55">
        <f>B13-B14</f>
        <v>360.61089289172935</v>
      </c>
      <c r="E15" s="42"/>
    </row>
    <row r="16" spans="1:13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403.05172434506267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-0.10840000000000005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-2.168000000000001</v>
      </c>
    </row>
    <row r="21" spans="1:9" ht="12.75" customHeight="1">
      <c r="E21" s="42">
        <v>-0.11</v>
      </c>
      <c r="F21">
        <v>1</v>
      </c>
      <c r="G21" s="57">
        <f>IF(E21="",0,1)</f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2165.4313159130088</v>
      </c>
      <c r="C22" s="58">
        <f>B22/170000</f>
        <v>1.2737831270076522E-2</v>
      </c>
      <c r="E22" s="42">
        <v>-0.109</v>
      </c>
      <c r="F22">
        <v>4</v>
      </c>
      <c r="G22" s="57">
        <f t="shared" ref="G22:G40" si="0">IF(E22="",0,1)</f>
        <v>1</v>
      </c>
    </row>
    <row r="23" spans="1:9" ht="12.75" customHeight="1">
      <c r="A23" t="s">
        <v>115</v>
      </c>
      <c r="B23" s="53">
        <f>K11</f>
        <v>127883.40868408699</v>
      </c>
      <c r="C23" s="59">
        <f>6/(40*6)</f>
        <v>2.5000000000000001E-2</v>
      </c>
      <c r="E23" s="42">
        <v>-0.109</v>
      </c>
      <c r="F23">
        <v>5</v>
      </c>
      <c r="G23" s="57">
        <f t="shared" si="0"/>
        <v>1</v>
      </c>
    </row>
    <row r="24" spans="1:9" ht="12.75" customHeight="1">
      <c r="E24" s="42">
        <v>-0.108</v>
      </c>
      <c r="F24">
        <v>6</v>
      </c>
      <c r="G24" s="57">
        <f t="shared" si="0"/>
        <v>1</v>
      </c>
    </row>
    <row r="25" spans="1:9" ht="12.75" customHeight="1">
      <c r="E25" s="42">
        <v>-0.108</v>
      </c>
      <c r="F25">
        <v>7</v>
      </c>
      <c r="G25" s="57">
        <f t="shared" si="0"/>
        <v>1</v>
      </c>
    </row>
    <row r="26" spans="1:9" ht="12.75" customHeight="1">
      <c r="E26" s="42">
        <v>-0.109</v>
      </c>
      <c r="F26">
        <v>8</v>
      </c>
      <c r="G26" s="57">
        <f t="shared" si="0"/>
        <v>1</v>
      </c>
    </row>
    <row r="27" spans="1:9" ht="12.75" customHeight="1">
      <c r="E27" s="42">
        <v>-0.109</v>
      </c>
      <c r="F27">
        <v>11</v>
      </c>
      <c r="G27" s="57">
        <f t="shared" si="0"/>
        <v>1</v>
      </c>
    </row>
    <row r="28" spans="1:9" ht="12.75" customHeight="1">
      <c r="C28" s="59"/>
      <c r="E28" s="42">
        <v>-0.11</v>
      </c>
      <c r="F28">
        <v>12</v>
      </c>
      <c r="G28" s="57">
        <f t="shared" si="0"/>
        <v>1</v>
      </c>
    </row>
    <row r="29" spans="1:9" ht="12.75" customHeight="1">
      <c r="C29" s="59"/>
      <c r="E29" s="42">
        <v>-0.108</v>
      </c>
      <c r="F29">
        <v>13</v>
      </c>
      <c r="G29" s="57">
        <f t="shared" si="0"/>
        <v>1</v>
      </c>
    </row>
    <row r="30" spans="1:9" ht="12.75" customHeight="1">
      <c r="C30" s="59"/>
      <c r="E30" s="42">
        <v>-0.108</v>
      </c>
      <c r="F30">
        <v>14</v>
      </c>
      <c r="G30" s="57">
        <f t="shared" si="0"/>
        <v>1</v>
      </c>
    </row>
    <row r="31" spans="1:9" ht="12.75" customHeight="1">
      <c r="E31" s="42">
        <v>-0.108</v>
      </c>
      <c r="F31">
        <v>15</v>
      </c>
      <c r="G31" s="57">
        <f t="shared" si="0"/>
        <v>1</v>
      </c>
    </row>
    <row r="32" spans="1:9" ht="12.75" customHeight="1">
      <c r="E32" s="42">
        <v>-0.108</v>
      </c>
      <c r="F32">
        <v>18</v>
      </c>
      <c r="G32" s="57">
        <f t="shared" si="0"/>
        <v>1</v>
      </c>
    </row>
    <row r="33" spans="2:10" ht="12.75" customHeight="1">
      <c r="C33" s="59"/>
      <c r="E33" s="42">
        <v>-0.108</v>
      </c>
      <c r="F33">
        <v>19</v>
      </c>
      <c r="G33" s="57">
        <f t="shared" si="0"/>
        <v>1</v>
      </c>
    </row>
    <row r="34" spans="2:10" ht="12.75" customHeight="1">
      <c r="C34" s="58"/>
      <c r="E34" s="42">
        <v>-0.108</v>
      </c>
      <c r="F34">
        <v>20</v>
      </c>
      <c r="G34" s="57">
        <f t="shared" si="0"/>
        <v>1</v>
      </c>
    </row>
    <row r="35" spans="2:10" ht="12.75" customHeight="1">
      <c r="C35" s="58"/>
      <c r="E35" s="42">
        <v>-0.108</v>
      </c>
      <c r="F35">
        <v>21</v>
      </c>
      <c r="G35" s="57">
        <f t="shared" si="0"/>
        <v>1</v>
      </c>
      <c r="J35" t="s">
        <v>362</v>
      </c>
    </row>
    <row r="36" spans="2:10" ht="12.75" customHeight="1">
      <c r="E36" s="42">
        <v>-0.108</v>
      </c>
      <c r="F36">
        <v>22</v>
      </c>
      <c r="G36" s="57">
        <f t="shared" si="0"/>
        <v>1</v>
      </c>
    </row>
    <row r="37" spans="2:10" ht="12.75" customHeight="1">
      <c r="E37" s="42">
        <v>-0.108</v>
      </c>
      <c r="F37">
        <v>25</v>
      </c>
      <c r="G37" s="57">
        <f t="shared" si="0"/>
        <v>1</v>
      </c>
    </row>
    <row r="38" spans="2:10" ht="12.75" customHeight="1">
      <c r="E38" s="42">
        <v>-0.108</v>
      </c>
      <c r="F38">
        <v>26</v>
      </c>
      <c r="G38" s="57">
        <f t="shared" si="0"/>
        <v>1</v>
      </c>
    </row>
    <row r="39" spans="2:10" ht="12.75" customHeight="1">
      <c r="E39" s="42">
        <v>-0.108</v>
      </c>
      <c r="F39">
        <v>27</v>
      </c>
      <c r="G39" s="57">
        <f t="shared" si="0"/>
        <v>1</v>
      </c>
    </row>
    <row r="40" spans="2:10" ht="12.75" customHeight="1">
      <c r="E40" s="42">
        <v>-0.108</v>
      </c>
      <c r="F40">
        <v>28</v>
      </c>
      <c r="G40" s="57">
        <f t="shared" si="0"/>
        <v>1</v>
      </c>
    </row>
    <row r="41" spans="2:10" ht="12.75" customHeight="1">
      <c r="E41" s="42"/>
      <c r="F41">
        <v>29</v>
      </c>
      <c r="G41" s="57">
        <f t="shared" ref="G41:G43" si="1">IF(E41="",0,1)</f>
        <v>0</v>
      </c>
    </row>
    <row r="42" spans="2:10" ht="12.75" customHeight="1">
      <c r="E42" s="42"/>
      <c r="F42">
        <v>30</v>
      </c>
      <c r="G42" s="57">
        <f t="shared" si="1"/>
        <v>0</v>
      </c>
    </row>
    <row r="43" spans="2:10" ht="12.75" customHeight="1">
      <c r="B43" s="39"/>
      <c r="E43" s="42"/>
      <c r="F43">
        <v>31</v>
      </c>
      <c r="G43" s="57">
        <f t="shared" si="1"/>
        <v>0</v>
      </c>
    </row>
    <row r="45" spans="2:10" ht="12.75" customHeight="1">
      <c r="G45" s="57">
        <f>SUM(G21:G43)</f>
        <v>20</v>
      </c>
    </row>
    <row r="46" spans="2:10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6" workbookViewId="0">
      <selection activeCell="G21" sqref="G21"/>
    </sheetView>
  </sheetViews>
  <sheetFormatPr defaultColWidth="11" defaultRowHeight="15"/>
  <cols>
    <col min="3" max="3" width="14.140625" customWidth="1"/>
    <col min="4" max="4" width="18" customWidth="1"/>
  </cols>
  <sheetData>
    <row r="1" spans="1:5" ht="15.75" thickBot="1">
      <c r="A1" s="90">
        <v>258.47000000000003</v>
      </c>
    </row>
    <row r="2" spans="1:5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5">
      <c r="B3" s="79">
        <v>43074</v>
      </c>
      <c r="C3" s="70">
        <v>0</v>
      </c>
      <c r="D3" s="66">
        <v>24736.65</v>
      </c>
      <c r="E3" t="s">
        <v>148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</row>
    <row r="17" spans="2:9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</row>
    <row r="18" spans="2:9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148</v>
      </c>
    </row>
    <row r="19" spans="2:9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148</v>
      </c>
    </row>
    <row r="20" spans="2:9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148</v>
      </c>
      <c r="G20">
        <f>9486.92-I20</f>
        <v>6086.8600000000006</v>
      </c>
      <c r="H20">
        <v>67.53</v>
      </c>
      <c r="I20">
        <v>3400.06</v>
      </c>
    </row>
    <row r="21" spans="2:9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G21">
        <f>G20-H$20</f>
        <v>6019.3300000000008</v>
      </c>
    </row>
    <row r="22" spans="2:9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G22">
        <f t="shared" ref="G22:G63" si="3">G21-H$20</f>
        <v>5951.8000000000011</v>
      </c>
    </row>
    <row r="23" spans="2:9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G23">
        <f t="shared" si="3"/>
        <v>5884.2700000000013</v>
      </c>
    </row>
    <row r="24" spans="2:9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G24">
        <f t="shared" si="3"/>
        <v>5816.7400000000016</v>
      </c>
    </row>
    <row r="25" spans="2:9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G25">
        <f t="shared" si="3"/>
        <v>5749.2100000000019</v>
      </c>
    </row>
    <row r="26" spans="2:9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G26">
        <f t="shared" si="3"/>
        <v>5681.6800000000021</v>
      </c>
    </row>
    <row r="27" spans="2:9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G27">
        <f t="shared" si="3"/>
        <v>5614.1500000000024</v>
      </c>
    </row>
    <row r="28" spans="2:9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G28">
        <f t="shared" si="3"/>
        <v>5546.6200000000026</v>
      </c>
    </row>
    <row r="29" spans="2:9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G29">
        <f t="shared" si="3"/>
        <v>5479.0900000000029</v>
      </c>
    </row>
    <row r="30" spans="2:9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G30">
        <f t="shared" si="3"/>
        <v>5411.5600000000031</v>
      </c>
    </row>
    <row r="31" spans="2:9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G31">
        <f t="shared" si="3"/>
        <v>5344.0300000000034</v>
      </c>
    </row>
    <row r="32" spans="2:9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G32">
        <f t="shared" si="3"/>
        <v>5276.5000000000036</v>
      </c>
    </row>
    <row r="33" spans="2:7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G33">
        <f t="shared" si="3"/>
        <v>5208.9700000000039</v>
      </c>
    </row>
    <row r="34" spans="2:7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G34">
        <f t="shared" si="3"/>
        <v>5141.4400000000041</v>
      </c>
    </row>
    <row r="35" spans="2:7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G35">
        <f t="shared" si="3"/>
        <v>5073.9100000000044</v>
      </c>
    </row>
    <row r="36" spans="2:7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G36">
        <f t="shared" si="3"/>
        <v>5006.3800000000047</v>
      </c>
    </row>
    <row r="37" spans="2:7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G37">
        <f t="shared" si="3"/>
        <v>4938.8500000000049</v>
      </c>
    </row>
    <row r="38" spans="2:7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G38">
        <f t="shared" si="3"/>
        <v>4871.3200000000052</v>
      </c>
    </row>
    <row r="39" spans="2:7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G39">
        <f t="shared" si="3"/>
        <v>4803.7900000000054</v>
      </c>
    </row>
    <row r="40" spans="2:7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G40">
        <f t="shared" si="3"/>
        <v>4736.2600000000057</v>
      </c>
    </row>
    <row r="41" spans="2:7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G41">
        <f t="shared" si="3"/>
        <v>4668.7300000000059</v>
      </c>
    </row>
    <row r="42" spans="2:7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G42">
        <f t="shared" si="3"/>
        <v>4601.2000000000062</v>
      </c>
    </row>
    <row r="43" spans="2:7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G43">
        <f t="shared" si="3"/>
        <v>4533.6700000000064</v>
      </c>
    </row>
    <row r="44" spans="2:7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G44">
        <f t="shared" si="3"/>
        <v>4466.1400000000067</v>
      </c>
    </row>
    <row r="45" spans="2:7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G45">
        <f t="shared" si="3"/>
        <v>4398.6100000000069</v>
      </c>
    </row>
    <row r="46" spans="2:7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G46">
        <f t="shared" si="3"/>
        <v>4331.0800000000072</v>
      </c>
    </row>
    <row r="47" spans="2:7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G47">
        <f t="shared" si="3"/>
        <v>4263.5500000000075</v>
      </c>
    </row>
    <row r="48" spans="2:7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G48">
        <f t="shared" si="3"/>
        <v>4196.0200000000077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G49">
        <f t="shared" si="3"/>
        <v>4128.490000000008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G50">
        <f t="shared" si="3"/>
        <v>4060.9600000000078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G51">
        <f t="shared" si="3"/>
        <v>3993.4300000000076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G52">
        <f t="shared" si="3"/>
        <v>3925.9000000000074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G53">
        <f t="shared" si="3"/>
        <v>3858.3700000000072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G54">
        <f t="shared" si="3"/>
        <v>3790.840000000007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G55">
        <f t="shared" si="3"/>
        <v>3723.3100000000068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G56">
        <f t="shared" si="3"/>
        <v>3655.7800000000066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G57">
        <f t="shared" si="3"/>
        <v>3588.2500000000064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G58">
        <f t="shared" si="3"/>
        <v>3520.7200000000062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G59">
        <f t="shared" si="3"/>
        <v>3453.190000000006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G60">
        <f t="shared" si="3"/>
        <v>3385.6600000000058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G61">
        <f t="shared" si="3"/>
        <v>3318.1300000000056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G62">
        <f t="shared" si="3"/>
        <v>3250.6000000000054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G63">
        <f t="shared" si="3"/>
        <v>3183.0700000000052</v>
      </c>
      <c r="H63" s="119"/>
      <c r="I63" s="11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workbookViewId="0">
      <selection activeCell="N13" sqref="N13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182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4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3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3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3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3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>K20-J20</f>
        <v>-132819.36000000002</v>
      </c>
      <c r="M20" s="72">
        <f t="shared" si="6"/>
        <v>5574.9159999999683</v>
      </c>
    </row>
    <row r="21" spans="1:13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>K21-J21</f>
        <v>-131787.35</v>
      </c>
      <c r="M21" s="72">
        <f t="shared" si="6"/>
        <v>1032.0100000000093</v>
      </c>
    </row>
    <row r="22" spans="1:13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>K22-J22</f>
        <v>-140170.01999999999</v>
      </c>
      <c r="M22" s="72">
        <f t="shared" si="6"/>
        <v>-8382.6699999999837</v>
      </c>
    </row>
    <row r="23" spans="1:13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>K23-J23</f>
        <v>-133906.89999999997</v>
      </c>
      <c r="M23" s="72">
        <f t="shared" ref="M23" si="8">L23-L22</f>
        <v>6263.1200000000244</v>
      </c>
    </row>
    <row r="24" spans="1:13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>K24-J24</f>
        <v>-126635.79</v>
      </c>
      <c r="M24" s="72">
        <f t="shared" ref="M24" si="9">L24-L23</f>
        <v>7271.1099999999715</v>
      </c>
    </row>
    <row r="25" spans="1:13" ht="12.75" customHeight="1">
      <c r="A25" s="120">
        <f t="shared" si="5"/>
        <v>43678</v>
      </c>
      <c r="B25" s="116">
        <f>Hipoteca!B4</f>
        <v>130048.84</v>
      </c>
      <c r="C25" s="71">
        <f>Hipoteca!B$6/100</f>
        <v>-1.0840000000000005E-3</v>
      </c>
      <c r="D25" s="73">
        <f>Hipoteca!B$13</f>
        <v>403.05016434506268</v>
      </c>
      <c r="E25" s="72">
        <f t="shared" ref="E25" si="10">D25-D24</f>
        <v>-2.9835654937301115E-2</v>
      </c>
      <c r="I25" s="79">
        <f t="shared" si="4"/>
        <v>43739</v>
      </c>
      <c r="J25" s="128"/>
      <c r="K25" s="127"/>
      <c r="L25" s="127"/>
      <c r="M25" s="72"/>
    </row>
    <row r="26" spans="1:13" ht="12.75" customHeight="1">
      <c r="A26" s="120">
        <f t="shared" si="5"/>
        <v>43862</v>
      </c>
      <c r="B26" s="116"/>
      <c r="C26" s="71"/>
      <c r="D26" s="73"/>
      <c r="E26" s="72"/>
      <c r="I26" s="79">
        <f t="shared" si="4"/>
        <v>43922</v>
      </c>
      <c r="J26" s="128"/>
      <c r="K26" s="127"/>
      <c r="L26" s="127"/>
      <c r="M26" s="72"/>
    </row>
    <row r="27" spans="1:13" ht="12.75" customHeight="1">
      <c r="A27" s="120">
        <f t="shared" si="5"/>
        <v>44044</v>
      </c>
      <c r="B27" s="116"/>
      <c r="C27" s="71"/>
      <c r="D27" s="73"/>
      <c r="E27" s="72"/>
      <c r="I27" s="79">
        <f t="shared" si="4"/>
        <v>44105</v>
      </c>
      <c r="J27" s="128"/>
      <c r="K27" s="127"/>
      <c r="L27" s="127"/>
      <c r="M27" s="72"/>
    </row>
    <row r="28" spans="1:13" ht="12.75" customHeight="1">
      <c r="A28" s="120">
        <f t="shared" si="5"/>
        <v>44228</v>
      </c>
      <c r="B28" s="116"/>
      <c r="C28" s="71"/>
      <c r="D28" s="73"/>
      <c r="E28" s="72"/>
      <c r="I28" s="79">
        <f t="shared" si="4"/>
        <v>44287</v>
      </c>
      <c r="J28" s="128"/>
      <c r="K28" s="127"/>
      <c r="L28" s="127"/>
      <c r="M28" s="72"/>
    </row>
    <row r="29" spans="1:13" ht="12.75" customHeight="1">
      <c r="A29" s="120">
        <f t="shared" si="5"/>
        <v>44409</v>
      </c>
      <c r="B29" s="116"/>
      <c r="C29" s="71"/>
      <c r="D29" s="73"/>
      <c r="E29" s="72"/>
      <c r="I29" s="79">
        <f t="shared" si="4"/>
        <v>44470</v>
      </c>
      <c r="J29" s="128"/>
      <c r="K29" s="127"/>
      <c r="L29" s="127"/>
      <c r="M29" s="72"/>
    </row>
    <row r="30" spans="1:13" ht="12.75" customHeight="1">
      <c r="A30" s="120">
        <f t="shared" si="5"/>
        <v>44593</v>
      </c>
      <c r="B30" s="116"/>
      <c r="C30" s="71"/>
      <c r="D30" s="73"/>
      <c r="E30" s="72"/>
      <c r="I30" s="79">
        <f t="shared" si="4"/>
        <v>44652</v>
      </c>
      <c r="J30" s="128"/>
      <c r="K30" s="127"/>
      <c r="L30" s="127"/>
      <c r="M30" s="72"/>
    </row>
    <row r="31" spans="1:13" ht="12.75" customHeight="1">
      <c r="A31" s="120">
        <f t="shared" si="5"/>
        <v>44774</v>
      </c>
      <c r="B31" s="116"/>
      <c r="C31" s="71"/>
      <c r="D31" s="73"/>
      <c r="E31" s="72"/>
      <c r="I31" s="79">
        <f t="shared" si="4"/>
        <v>44835</v>
      </c>
      <c r="J31" s="128"/>
      <c r="K31" s="127"/>
      <c r="L31" s="127"/>
      <c r="M31" s="72"/>
    </row>
    <row r="32" spans="1:13" ht="12.75" customHeight="1">
      <c r="A32" s="120">
        <f t="shared" si="5"/>
        <v>44958</v>
      </c>
      <c r="B32" s="116"/>
      <c r="C32" s="71"/>
      <c r="D32" s="73"/>
      <c r="E32" s="72"/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I63" s="79">
        <f t="shared" ref="I63:I81" si="11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I64" s="79">
        <f t="shared" si="11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I65" s="79">
        <f t="shared" si="11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I66" s="79">
        <f t="shared" si="11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I67" s="79">
        <f t="shared" si="11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I68" s="79">
        <f t="shared" si="11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I69" s="79">
        <f t="shared" si="11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I70" s="79">
        <f t="shared" si="11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I71" s="79">
        <f t="shared" si="11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I72" s="79">
        <f t="shared" si="11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I73" s="79">
        <f t="shared" si="11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I74" s="79">
        <f t="shared" si="11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I75" s="79">
        <f t="shared" si="11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I76" s="79">
        <f t="shared" si="11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I77" s="79">
        <f t="shared" si="11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I78" s="79">
        <f t="shared" si="11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I79" s="79">
        <f t="shared" si="11"/>
        <v>53601</v>
      </c>
      <c r="J79" s="128"/>
      <c r="K79" s="127"/>
      <c r="L79" s="127"/>
      <c r="M79" s="72"/>
    </row>
    <row r="80" spans="1:13" ht="12.75" customHeight="1">
      <c r="A80" s="120">
        <f t="shared" ref="A80:A81" si="12">EDATE(A79,6)</f>
        <v>53724</v>
      </c>
      <c r="B80" s="116"/>
      <c r="C80" s="71"/>
      <c r="D80" s="73"/>
      <c r="E80" s="72"/>
      <c r="I80" s="79">
        <f t="shared" si="11"/>
        <v>53783</v>
      </c>
      <c r="J80" s="128"/>
      <c r="K80" s="127"/>
      <c r="L80" s="127"/>
      <c r="M80" s="72"/>
    </row>
    <row r="81" spans="1:13" ht="12.75" customHeight="1">
      <c r="A81" s="120">
        <f t="shared" si="12"/>
        <v>53905</v>
      </c>
      <c r="B81" s="116"/>
      <c r="C81" s="71"/>
      <c r="D81" s="73"/>
      <c r="E81" s="72"/>
      <c r="I81" s="79">
        <f t="shared" si="11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8.4694482401656297E-3</v>
      </c>
      <c r="D83" s="85">
        <f>AVERAGE(D2:D82)</f>
        <v>492.81483362263265</v>
      </c>
      <c r="E83" s="86">
        <f>AVERAGE(E3:E82)</f>
        <v>-19.347818941519016</v>
      </c>
      <c r="M83" s="86">
        <f>AVERAGE(M3:M82)</f>
        <v>-5756.1722727272727</v>
      </c>
    </row>
    <row r="85" spans="1:13">
      <c r="E85" t="s">
        <v>125</v>
      </c>
      <c r="G85" s="68">
        <f>SUM(G2:G82)</f>
        <v>68547.035055588742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5E11D-5963-4199-8F64-38CC95B2FD67}">
  <dimension ref="A1:AB78"/>
  <sheetViews>
    <sheetView workbookViewId="0">
      <selection activeCell="T38" sqref="T38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7" max="17" width="12.85546875" customWidth="1"/>
    <col min="18" max="18" width="34.42578125" customWidth="1"/>
    <col min="19" max="19" width="17.7109375" customWidth="1"/>
    <col min="20" max="20" width="12.7109375" customWidth="1"/>
    <col min="21" max="21" width="24.140625" customWidth="1"/>
    <col min="22" max="22" width="12" bestFit="1" customWidth="1"/>
    <col min="23" max="23" width="14.7109375" customWidth="1"/>
    <col min="24" max="24" width="16" customWidth="1"/>
    <col min="27" max="27" width="12.7109375" bestFit="1" customWidth="1"/>
    <col min="28" max="28" width="16.140625" customWidth="1"/>
    <col min="29" max="29" width="15.28515625" customWidth="1"/>
    <col min="30" max="30" width="12.7109375" bestFit="1" customWidth="1"/>
  </cols>
  <sheetData>
    <row r="1" spans="1:26">
      <c r="A1" s="240" t="s">
        <v>504</v>
      </c>
      <c r="B1" s="240"/>
      <c r="C1" s="241"/>
      <c r="D1" s="320"/>
      <c r="E1" s="242"/>
      <c r="F1" s="243" t="s">
        <v>505</v>
      </c>
      <c r="G1" s="244"/>
      <c r="H1" s="244"/>
      <c r="I1" s="244"/>
      <c r="J1" s="244"/>
      <c r="K1" s="245" t="s">
        <v>506</v>
      </c>
      <c r="L1" s="246"/>
      <c r="M1" s="246"/>
      <c r="N1" s="247"/>
      <c r="O1" s="248" t="s">
        <v>5</v>
      </c>
      <c r="P1" s="249"/>
      <c r="Q1" s="250"/>
      <c r="R1" s="251"/>
    </row>
    <row r="2" spans="1:26">
      <c r="A2" s="252" t="s">
        <v>507</v>
      </c>
      <c r="B2" s="252" t="s">
        <v>508</v>
      </c>
      <c r="C2" s="252" t="s">
        <v>509</v>
      </c>
      <c r="D2" s="321" t="s">
        <v>564</v>
      </c>
      <c r="E2" s="252" t="s">
        <v>510</v>
      </c>
      <c r="F2" s="253" t="s">
        <v>511</v>
      </c>
      <c r="G2" s="254" t="s">
        <v>512</v>
      </c>
      <c r="H2" s="254" t="s">
        <v>513</v>
      </c>
      <c r="I2" s="254" t="s">
        <v>514</v>
      </c>
      <c r="J2" s="254" t="s">
        <v>7</v>
      </c>
      <c r="K2" s="255" t="s">
        <v>511</v>
      </c>
      <c r="L2" s="256" t="s">
        <v>512</v>
      </c>
      <c r="M2" s="256" t="s">
        <v>514</v>
      </c>
      <c r="N2" s="257" t="s">
        <v>7</v>
      </c>
      <c r="O2" s="258" t="s">
        <v>7</v>
      </c>
      <c r="P2" s="259" t="s">
        <v>515</v>
      </c>
      <c r="Q2" s="259" t="s">
        <v>95</v>
      </c>
      <c r="R2" s="260" t="s">
        <v>516</v>
      </c>
      <c r="S2" s="261"/>
    </row>
    <row r="3" spans="1:26">
      <c r="A3" s="262" t="s">
        <v>517</v>
      </c>
      <c r="B3" s="262" t="s">
        <v>518</v>
      </c>
      <c r="C3" s="263">
        <v>5600</v>
      </c>
      <c r="D3" s="322">
        <f ca="1">_xlfn.DAYS(K3,F3)</f>
        <v>1403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43612</v>
      </c>
      <c r="L3" s="263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9">
        <f>P3/E3</f>
        <v>0.33535038629518998</v>
      </c>
      <c r="R3" s="270" t="s">
        <v>538</v>
      </c>
    </row>
    <row r="4" spans="1:26">
      <c r="A4" s="262" t="s">
        <v>519</v>
      </c>
      <c r="B4" s="262" t="s">
        <v>413</v>
      </c>
      <c r="C4" s="263">
        <v>4090</v>
      </c>
      <c r="D4" s="322">
        <f ca="1">_xlfn.DAYS(K4,F4)</f>
        <v>7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43612</v>
      </c>
      <c r="L4" s="263">
        <v>73.97</v>
      </c>
      <c r="M4" s="264">
        <f>(H4*L4)</f>
        <v>4586.1400000000003</v>
      </c>
      <c r="N4" s="264">
        <f>-(IF((M4*0.0075)&lt;30,30,(M4*0.0075)) + (M4*0.0035))</f>
        <v>-50.447540000000004</v>
      </c>
      <c r="O4" s="272">
        <f>J4+N4</f>
        <v>-94.934400000000011</v>
      </c>
      <c r="P4" s="273">
        <f>M4-E4+N4</f>
        <v>446.94560000000013</v>
      </c>
      <c r="Q4" s="274">
        <f>P4/E4</f>
        <v>0.109311144784346</v>
      </c>
      <c r="R4" s="275" t="s">
        <v>538</v>
      </c>
    </row>
    <row r="5" spans="1:26">
      <c r="A5" s="262" t="s">
        <v>519</v>
      </c>
      <c r="B5" s="262" t="s">
        <v>520</v>
      </c>
      <c r="C5" s="263">
        <v>5100</v>
      </c>
      <c r="D5" s="322">
        <f ca="1">_xlfn.DAYS(K5,F5)</f>
        <v>458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43612</v>
      </c>
      <c r="L5" s="263">
        <v>30.27</v>
      </c>
      <c r="M5" s="264">
        <f>(H5*L5)</f>
        <v>5932.92</v>
      </c>
      <c r="N5" s="264">
        <f>-(IF((M5*0.0075)&lt;30,30,(M5*0.0075)) + (M5*0.0035))</f>
        <v>-65.262119999999996</v>
      </c>
      <c r="O5" s="272">
        <f>J5+N5</f>
        <v>-121.27499999999999</v>
      </c>
      <c r="P5" s="273">
        <f>M5-E5+N5</f>
        <v>719.56499999999994</v>
      </c>
      <c r="Q5" s="274">
        <f>P5/E5</f>
        <v>0.13977311924488819</v>
      </c>
      <c r="R5" s="275" t="s">
        <v>538</v>
      </c>
    </row>
    <row r="6" spans="1:26">
      <c r="A6" s="262"/>
      <c r="B6" s="262"/>
      <c r="C6" s="263"/>
      <c r="D6" s="322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4"/>
      <c r="R6" s="275"/>
    </row>
    <row r="7" spans="1:26">
      <c r="A7" s="262"/>
      <c r="B7" s="262"/>
      <c r="C7" s="263"/>
      <c r="D7" s="322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4"/>
      <c r="R7" s="275"/>
    </row>
    <row r="8" spans="1:26">
      <c r="A8" s="262"/>
      <c r="B8" s="262"/>
      <c r="C8" s="263"/>
      <c r="D8" s="322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4"/>
      <c r="R8" s="275"/>
    </row>
    <row r="9" spans="1:26">
      <c r="A9" s="280"/>
      <c r="B9" s="280"/>
      <c r="C9" s="281"/>
      <c r="D9" s="323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8"/>
      <c r="R9" s="289"/>
    </row>
    <row r="10" spans="1:26">
      <c r="A10" s="444"/>
      <c r="B10" s="445"/>
      <c r="C10" s="445"/>
      <c r="D10" s="445"/>
      <c r="E10" s="445"/>
      <c r="F10" s="445"/>
      <c r="G10" s="445"/>
      <c r="H10" s="445"/>
      <c r="I10" s="445"/>
      <c r="J10" s="445"/>
      <c r="K10" s="445"/>
      <c r="L10" s="445"/>
      <c r="M10" s="445"/>
      <c r="N10" s="445"/>
      <c r="O10" s="445"/>
      <c r="P10" s="445"/>
      <c r="Q10" s="445"/>
      <c r="R10" s="445"/>
    </row>
    <row r="11" spans="1:26">
      <c r="A11" s="446" t="s">
        <v>521</v>
      </c>
      <c r="B11" s="447"/>
      <c r="C11" s="447"/>
      <c r="D11" s="447"/>
      <c r="E11" s="447"/>
      <c r="F11" s="447"/>
      <c r="G11" s="447"/>
      <c r="H11" s="447"/>
      <c r="I11" s="447"/>
      <c r="J11" s="447"/>
      <c r="K11" s="447"/>
      <c r="L11" s="447"/>
      <c r="M11" s="447"/>
      <c r="N11" s="447"/>
      <c r="O11" s="447"/>
      <c r="P11" s="447"/>
      <c r="Q11" s="447"/>
      <c r="R11" s="447"/>
    </row>
    <row r="12" spans="1:26">
      <c r="A12" s="290" t="s">
        <v>507</v>
      </c>
      <c r="B12" s="290" t="s">
        <v>508</v>
      </c>
      <c r="C12" s="290" t="s">
        <v>509</v>
      </c>
      <c r="D12" s="324" t="s">
        <v>564</v>
      </c>
      <c r="E12" s="290" t="s">
        <v>510</v>
      </c>
      <c r="F12" s="291" t="s">
        <v>511</v>
      </c>
      <c r="G12" s="292" t="s">
        <v>512</v>
      </c>
      <c r="H12" s="292" t="s">
        <v>513</v>
      </c>
      <c r="I12" s="292" t="s">
        <v>514</v>
      </c>
      <c r="J12" s="292" t="s">
        <v>7</v>
      </c>
      <c r="K12" s="293" t="s">
        <v>511</v>
      </c>
      <c r="L12" s="294" t="s">
        <v>512</v>
      </c>
      <c r="M12" s="294" t="s">
        <v>514</v>
      </c>
      <c r="N12" s="295" t="s">
        <v>7</v>
      </c>
      <c r="O12" s="296" t="s">
        <v>7</v>
      </c>
      <c r="P12" s="297" t="s">
        <v>515</v>
      </c>
      <c r="Q12" s="297" t="s">
        <v>95</v>
      </c>
      <c r="R12" s="298" t="s">
        <v>516</v>
      </c>
      <c r="S12" s="340" t="s">
        <v>608</v>
      </c>
      <c r="W12" s="330" t="s">
        <v>534</v>
      </c>
      <c r="X12" s="330" t="s">
        <v>535</v>
      </c>
      <c r="Y12" s="330" t="s">
        <v>536</v>
      </c>
      <c r="Z12" s="330" t="s">
        <v>537</v>
      </c>
    </row>
    <row r="13" spans="1:26">
      <c r="A13" s="262" t="s">
        <v>517</v>
      </c>
      <c r="B13" s="262" t="s">
        <v>522</v>
      </c>
      <c r="C13" s="263">
        <v>4000</v>
      </c>
      <c r="D13" s="322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9">
        <v>-6.54E-2</v>
      </c>
      <c r="R13" s="270" t="s">
        <v>522</v>
      </c>
      <c r="S13" s="59">
        <f>Q13+Q14</f>
        <v>-4.7120556421087471E-2</v>
      </c>
      <c r="W13" s="39">
        <f ca="1">D13/D$43</f>
        <v>4.0312093628088429E-2</v>
      </c>
      <c r="X13" s="119">
        <f ca="1">W13*E13</f>
        <v>162.02514622886866</v>
      </c>
      <c r="Y13" s="38"/>
    </row>
    <row r="14" spans="1:26">
      <c r="A14" s="262" t="s">
        <v>517</v>
      </c>
      <c r="B14" s="262" t="s">
        <v>522</v>
      </c>
      <c r="C14" s="263"/>
      <c r="D14" s="322">
        <f t="shared" ref="D14:D35" si="0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4">
        <f>P14/E14</f>
        <v>1.8279443578912528E-2</v>
      </c>
      <c r="R14" s="275" t="s">
        <v>523</v>
      </c>
      <c r="W14" s="39">
        <f t="shared" ref="W14:W41" ca="1" si="1">D14/D$43</f>
        <v>0</v>
      </c>
      <c r="X14" s="119">
        <f t="shared" ref="X14:X41" ca="1" si="2">W14*E14</f>
        <v>0</v>
      </c>
    </row>
    <row r="15" spans="1:26">
      <c r="A15" s="262" t="s">
        <v>517</v>
      </c>
      <c r="B15" s="262" t="s">
        <v>524</v>
      </c>
      <c r="C15" s="263"/>
      <c r="D15" s="322">
        <f t="shared" si="0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4">
        <v>4.2278358399185385E-3</v>
      </c>
      <c r="R15" s="275" t="s">
        <v>524</v>
      </c>
      <c r="W15" s="39">
        <f t="shared" ca="1" si="1"/>
        <v>3.5760728218465543E-2</v>
      </c>
      <c r="X15" s="119">
        <f t="shared" ca="1" si="2"/>
        <v>0</v>
      </c>
    </row>
    <row r="16" spans="1:26">
      <c r="A16" s="262" t="s">
        <v>517</v>
      </c>
      <c r="B16" s="262" t="s">
        <v>525</v>
      </c>
      <c r="C16" s="263"/>
      <c r="D16" s="322">
        <f t="shared" si="0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4">
        <v>0.10105569620253146</v>
      </c>
      <c r="R16" s="275" t="s">
        <v>525</v>
      </c>
      <c r="W16" s="39">
        <f t="shared" ca="1" si="1"/>
        <v>9.1027308192457735E-3</v>
      </c>
      <c r="X16" s="119">
        <f t="shared" ca="1" si="2"/>
        <v>0</v>
      </c>
    </row>
    <row r="17" spans="1:24">
      <c r="A17" s="262"/>
      <c r="B17" s="262"/>
      <c r="C17" s="263"/>
      <c r="D17" s="322">
        <f t="shared" si="0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4"/>
      <c r="R17" s="275" t="s">
        <v>526</v>
      </c>
      <c r="W17" s="39">
        <f t="shared" ca="1" si="1"/>
        <v>0</v>
      </c>
      <c r="X17" s="119">
        <f t="shared" ca="1" si="2"/>
        <v>0</v>
      </c>
    </row>
    <row r="18" spans="1:24">
      <c r="A18" s="262"/>
      <c r="B18" s="262"/>
      <c r="C18" s="263"/>
      <c r="D18" s="322">
        <f t="shared" si="0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4"/>
      <c r="R18" s="275" t="s">
        <v>527</v>
      </c>
      <c r="W18" s="39">
        <f t="shared" ca="1" si="1"/>
        <v>0</v>
      </c>
      <c r="X18" s="119">
        <f t="shared" ca="1" si="2"/>
        <v>0</v>
      </c>
    </row>
    <row r="19" spans="1:24">
      <c r="A19" s="262" t="s">
        <v>517</v>
      </c>
      <c r="B19" s="262" t="s">
        <v>525</v>
      </c>
      <c r="C19" s="263">
        <v>4400</v>
      </c>
      <c r="D19" s="322">
        <f t="shared" si="0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4">
        <v>0.19146932203389827</v>
      </c>
      <c r="R19" s="275" t="s">
        <v>525</v>
      </c>
      <c r="S19" s="59">
        <f>Q19+Q21+Q24</f>
        <v>0.24013324659263452</v>
      </c>
      <c r="W19" s="39">
        <f t="shared" ca="1" si="1"/>
        <v>0.56501950585175553</v>
      </c>
      <c r="X19" s="119">
        <f t="shared" ca="1" si="2"/>
        <v>2499.3072369830952</v>
      </c>
    </row>
    <row r="20" spans="1:24">
      <c r="A20" s="262" t="s">
        <v>517</v>
      </c>
      <c r="B20" s="262" t="s">
        <v>525</v>
      </c>
      <c r="C20" s="263">
        <v>605</v>
      </c>
      <c r="D20" s="322">
        <f t="shared" si="0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4">
        <f>P20/E20</f>
        <v>3.2879453879453884</v>
      </c>
      <c r="R20" s="275" t="s">
        <v>565</v>
      </c>
      <c r="W20" s="39">
        <f t="shared" ca="1" si="1"/>
        <v>0.41092327698309494</v>
      </c>
      <c r="X20" s="119">
        <f t="shared" ca="1" si="2"/>
        <v>246.80052015604684</v>
      </c>
    </row>
    <row r="21" spans="1:24">
      <c r="A21" s="262" t="s">
        <v>517</v>
      </c>
      <c r="B21" s="262" t="s">
        <v>525</v>
      </c>
      <c r="C21" s="263"/>
      <c r="D21" s="322">
        <f t="shared" si="0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4">
        <f>P21/E21</f>
        <v>4.2560022472487621E-2</v>
      </c>
      <c r="R21" s="275" t="s">
        <v>528</v>
      </c>
      <c r="W21" s="39">
        <f t="shared" ca="1" si="1"/>
        <v>0</v>
      </c>
      <c r="X21" s="119">
        <f t="shared" ca="1" si="2"/>
        <v>0</v>
      </c>
    </row>
    <row r="22" spans="1:24">
      <c r="A22" s="262"/>
      <c r="B22" s="262"/>
      <c r="C22" s="263"/>
      <c r="D22" s="322">
        <f t="shared" si="0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4"/>
      <c r="R22" s="275" t="s">
        <v>526</v>
      </c>
      <c r="W22" s="39">
        <f t="shared" ca="1" si="1"/>
        <v>0</v>
      </c>
      <c r="X22" s="119">
        <f t="shared" ca="1" si="2"/>
        <v>0</v>
      </c>
    </row>
    <row r="23" spans="1:24">
      <c r="A23" s="262"/>
      <c r="B23" s="262"/>
      <c r="C23" s="263"/>
      <c r="D23" s="322">
        <f t="shared" si="0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4"/>
      <c r="R23" s="275" t="s">
        <v>529</v>
      </c>
      <c r="W23" s="39">
        <f t="shared" ca="1" si="1"/>
        <v>0</v>
      </c>
      <c r="X23" s="119">
        <f t="shared" ca="1" si="2"/>
        <v>0</v>
      </c>
    </row>
    <row r="24" spans="1:24">
      <c r="A24" s="262" t="s">
        <v>517</v>
      </c>
      <c r="B24" s="262" t="s">
        <v>525</v>
      </c>
      <c r="C24" s="263"/>
      <c r="D24" s="322">
        <f t="shared" si="0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4">
        <f>P24/E24</f>
        <v>6.1039020862486242E-3</v>
      </c>
      <c r="R24" s="275" t="s">
        <v>530</v>
      </c>
      <c r="W24" s="39">
        <f t="shared" ca="1" si="1"/>
        <v>0</v>
      </c>
      <c r="X24" s="119">
        <f t="shared" ca="1" si="2"/>
        <v>0</v>
      </c>
    </row>
    <row r="25" spans="1:24">
      <c r="A25" s="262" t="s">
        <v>517</v>
      </c>
      <c r="B25" s="262" t="s">
        <v>525</v>
      </c>
      <c r="C25" s="263">
        <v>600</v>
      </c>
      <c r="D25" s="322">
        <f t="shared" si="0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4">
        <f>P25/E25</f>
        <v>0.22727132347968687</v>
      </c>
      <c r="R25" s="275" t="s">
        <v>525</v>
      </c>
      <c r="W25" s="39">
        <f t="shared" ca="1" si="1"/>
        <v>0.18725617685305593</v>
      </c>
      <c r="X25" s="119">
        <f t="shared" ca="1" si="2"/>
        <v>113.84486936801041</v>
      </c>
    </row>
    <row r="26" spans="1:24">
      <c r="A26" s="262"/>
      <c r="B26" s="262"/>
      <c r="C26" s="263"/>
      <c r="D26" s="322">
        <f t="shared" si="0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4"/>
      <c r="R26" s="275" t="s">
        <v>531</v>
      </c>
      <c r="W26" s="39">
        <f t="shared" ca="1" si="1"/>
        <v>0</v>
      </c>
      <c r="X26" s="119">
        <f t="shared" ca="1" si="2"/>
        <v>0</v>
      </c>
    </row>
    <row r="27" spans="1:24">
      <c r="A27" s="262"/>
      <c r="B27" s="262"/>
      <c r="C27" s="263"/>
      <c r="D27" s="322">
        <f t="shared" si="0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4"/>
      <c r="R27" s="275" t="s">
        <v>531</v>
      </c>
      <c r="W27" s="39">
        <f t="shared" ca="1" si="1"/>
        <v>0</v>
      </c>
      <c r="X27" s="119">
        <f t="shared" ca="1" si="2"/>
        <v>0</v>
      </c>
    </row>
    <row r="28" spans="1:24">
      <c r="A28" s="262" t="s">
        <v>519</v>
      </c>
      <c r="B28" s="262" t="s">
        <v>520</v>
      </c>
      <c r="C28" s="263">
        <v>5100</v>
      </c>
      <c r="D28" s="322">
        <f t="shared" ca="1" si="0"/>
        <v>458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301">
        <f ca="1">TODAY()</f>
        <v>43612</v>
      </c>
      <c r="L28" s="302">
        <v>25</v>
      </c>
      <c r="M28" s="264">
        <f>(H28*L28)</f>
        <v>4900</v>
      </c>
      <c r="N28" s="264">
        <f>-(IF((M28*0.0075)&lt;30,30,(M28*0.0075)) + (M28*0.0035))</f>
        <v>-53.900000000000006</v>
      </c>
      <c r="O28" s="272">
        <f>J28+N28</f>
        <v>-109.91288</v>
      </c>
      <c r="P28" s="273">
        <f ca="1">IF(K28=0,0,M28-E28+N28)</f>
        <v>-301.99288000000013</v>
      </c>
      <c r="Q28" s="274">
        <f ca="1">P28/E28</f>
        <v>-5.8661117240759675E-2</v>
      </c>
      <c r="R28" s="275" t="s">
        <v>520</v>
      </c>
      <c r="S28" s="59">
        <f ca="1">Q28+Q29+Q30+Q34</f>
        <v>-3.4255963151931343E-2</v>
      </c>
      <c r="W28" s="39">
        <f t="shared" ca="1" si="1"/>
        <v>0.29778933680104031</v>
      </c>
      <c r="X28" s="119">
        <f t="shared" ca="1" si="2"/>
        <v>1533.0471645253576</v>
      </c>
    </row>
    <row r="29" spans="1:24">
      <c r="A29" s="262" t="s">
        <v>519</v>
      </c>
      <c r="B29" s="262" t="s">
        <v>520</v>
      </c>
      <c r="C29" s="263"/>
      <c r="D29" s="322">
        <f t="shared" si="0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4">
        <f>P29/E29</f>
        <v>7.5056920884457702E-3</v>
      </c>
      <c r="R29" s="275" t="s">
        <v>474</v>
      </c>
      <c r="W29" s="39">
        <f t="shared" ca="1" si="1"/>
        <v>0</v>
      </c>
      <c r="X29" s="119">
        <f t="shared" ca="1" si="2"/>
        <v>0</v>
      </c>
    </row>
    <row r="30" spans="1:24">
      <c r="A30" s="262" t="s">
        <v>519</v>
      </c>
      <c r="B30" s="262" t="s">
        <v>520</v>
      </c>
      <c r="C30" s="263"/>
      <c r="D30" s="322">
        <f t="shared" si="0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4">
        <f>P30/E30</f>
        <v>6.9190670856738691E-3</v>
      </c>
      <c r="R30" s="275" t="s">
        <v>474</v>
      </c>
      <c r="W30" s="39">
        <f t="shared" ca="1" si="1"/>
        <v>0</v>
      </c>
      <c r="X30" s="119">
        <f t="shared" ca="1" si="2"/>
        <v>0</v>
      </c>
    </row>
    <row r="31" spans="1:24">
      <c r="A31" s="262" t="s">
        <v>519</v>
      </c>
      <c r="B31" s="262"/>
      <c r="C31" s="263"/>
      <c r="D31" s="322">
        <f t="shared" si="0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4"/>
      <c r="R31" s="275" t="s">
        <v>532</v>
      </c>
      <c r="W31" s="39">
        <f t="shared" ca="1" si="1"/>
        <v>0</v>
      </c>
      <c r="X31" s="119">
        <f t="shared" ca="1" si="2"/>
        <v>0</v>
      </c>
    </row>
    <row r="32" spans="1:24">
      <c r="A32" s="262" t="s">
        <v>519</v>
      </c>
      <c r="B32" s="262"/>
      <c r="C32" s="263"/>
      <c r="D32" s="322">
        <f t="shared" si="0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</f>
        <v>-9.7999999999999989</v>
      </c>
      <c r="Q32" s="274"/>
      <c r="R32" s="275" t="s">
        <v>533</v>
      </c>
      <c r="W32" s="39">
        <f t="shared" ca="1" si="1"/>
        <v>0</v>
      </c>
      <c r="X32" s="119">
        <f t="shared" ca="1" si="2"/>
        <v>0</v>
      </c>
    </row>
    <row r="33" spans="1:26">
      <c r="A33" s="262" t="s">
        <v>519</v>
      </c>
      <c r="B33" s="262" t="s">
        <v>413</v>
      </c>
      <c r="C33" s="263">
        <v>4090</v>
      </c>
      <c r="D33" s="322">
        <f t="shared" si="0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4">
        <f>P33/E33</f>
        <v>8.5447618433168865E-2</v>
      </c>
      <c r="R33" s="275" t="s">
        <v>413</v>
      </c>
      <c r="W33" s="39">
        <f t="shared" ca="1" si="1"/>
        <v>1.4304291287386216E-2</v>
      </c>
      <c r="X33" s="119">
        <f t="shared" ca="1" si="2"/>
        <v>59.064223927178148</v>
      </c>
    </row>
    <row r="34" spans="1:26">
      <c r="A34" s="262" t="s">
        <v>519</v>
      </c>
      <c r="B34" s="262" t="s">
        <v>520</v>
      </c>
      <c r="C34" s="263"/>
      <c r="D34" s="322">
        <f t="shared" si="0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4">
        <f>P34/E34</f>
        <v>9.9803949147086856E-3</v>
      </c>
      <c r="R34" s="275" t="s">
        <v>474</v>
      </c>
      <c r="W34" s="39">
        <f t="shared" ca="1" si="1"/>
        <v>0</v>
      </c>
      <c r="X34" s="119">
        <f t="shared" ca="1" si="2"/>
        <v>0</v>
      </c>
    </row>
    <row r="35" spans="1:26">
      <c r="A35" s="262" t="s">
        <v>519</v>
      </c>
      <c r="B35" s="262" t="s">
        <v>413</v>
      </c>
      <c r="C35" s="263">
        <v>4090</v>
      </c>
      <c r="D35" s="322">
        <f t="shared" ca="1" si="0"/>
        <v>7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301">
        <f ca="1">TODAY()</f>
        <v>43612</v>
      </c>
      <c r="L35" s="302">
        <v>63.5</v>
      </c>
      <c r="M35" s="264">
        <f>(H35*L35)</f>
        <v>3937</v>
      </c>
      <c r="N35" s="264">
        <f>-(IF((M35*0.0075)&lt;30,30,(M35*0.0075)) + (M35*0.0035))</f>
        <v>-43.779499999999999</v>
      </c>
      <c r="O35" s="272">
        <f>J35+N35</f>
        <v>-88.266359999999992</v>
      </c>
      <c r="P35" s="273">
        <f ca="1">IF(K35=0,0,M35-E35+N35)</f>
        <v>-195.52636000000018</v>
      </c>
      <c r="Q35" s="274">
        <f ca="1">P35/E35</f>
        <v>-4.7820607803536211E-2</v>
      </c>
      <c r="R35" s="275" t="s">
        <v>413</v>
      </c>
      <c r="W35" s="39">
        <f t="shared" ca="1" si="1"/>
        <v>4.5513654096228867E-3</v>
      </c>
      <c r="X35" s="119">
        <f t="shared" ca="1" si="2"/>
        <v>18.609381027308192</v>
      </c>
    </row>
    <row r="36" spans="1:26">
      <c r="A36" s="262"/>
      <c r="B36" s="262"/>
      <c r="C36" s="263"/>
      <c r="D36" s="322"/>
      <c r="E36" s="278"/>
      <c r="F36" s="300"/>
      <c r="G36" s="263"/>
      <c r="H36" s="266"/>
      <c r="I36" s="264"/>
      <c r="J36" s="264"/>
      <c r="K36" s="271"/>
      <c r="L36" s="263"/>
      <c r="M36" s="264"/>
      <c r="N36" s="264"/>
      <c r="O36" s="272"/>
      <c r="P36" s="273"/>
      <c r="Q36" s="274"/>
      <c r="R36" s="275"/>
      <c r="W36" s="39">
        <f t="shared" ca="1" si="1"/>
        <v>0</v>
      </c>
      <c r="X36" s="119">
        <f t="shared" ca="1" si="2"/>
        <v>0</v>
      </c>
    </row>
    <row r="37" spans="1:26">
      <c r="A37" s="262"/>
      <c r="B37" s="262"/>
      <c r="C37" s="263"/>
      <c r="D37" s="322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/>
      <c r="Q37" s="274"/>
      <c r="R37" s="275"/>
      <c r="W37" s="39">
        <f t="shared" ca="1" si="1"/>
        <v>0</v>
      </c>
      <c r="X37" s="119">
        <f t="shared" ca="1" si="2"/>
        <v>0</v>
      </c>
    </row>
    <row r="38" spans="1:26">
      <c r="A38" s="262"/>
      <c r="B38" s="262"/>
      <c r="C38" s="263"/>
      <c r="D38" s="322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4"/>
      <c r="R38" s="275"/>
      <c r="W38" s="39">
        <f t="shared" ca="1" si="1"/>
        <v>0</v>
      </c>
      <c r="X38" s="119">
        <f t="shared" ca="1" si="2"/>
        <v>0</v>
      </c>
    </row>
    <row r="39" spans="1:26">
      <c r="A39" s="262"/>
      <c r="B39" s="262"/>
      <c r="C39" s="263"/>
      <c r="D39" s="322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4"/>
      <c r="R39" s="275"/>
      <c r="W39" s="39">
        <f t="shared" ca="1" si="1"/>
        <v>0</v>
      </c>
      <c r="X39" s="119">
        <f t="shared" ca="1" si="2"/>
        <v>0</v>
      </c>
    </row>
    <row r="40" spans="1:26">
      <c r="A40" s="262"/>
      <c r="B40" s="262"/>
      <c r="C40" s="263"/>
      <c r="D40" s="322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4"/>
      <c r="R40" s="275"/>
      <c r="W40" s="39">
        <f t="shared" ca="1" si="1"/>
        <v>0</v>
      </c>
      <c r="X40" s="119">
        <f t="shared" ca="1" si="2"/>
        <v>0</v>
      </c>
    </row>
    <row r="41" spans="1:26">
      <c r="A41" s="262"/>
      <c r="B41" s="262"/>
      <c r="C41" s="263"/>
      <c r="D41" s="322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4"/>
      <c r="R41" s="275"/>
      <c r="W41" s="39">
        <f t="shared" ca="1" si="1"/>
        <v>0</v>
      </c>
      <c r="X41" s="119">
        <f t="shared" ca="1" si="2"/>
        <v>0</v>
      </c>
    </row>
    <row r="42" spans="1:26">
      <c r="A42" s="313"/>
      <c r="B42" s="314"/>
      <c r="C42" s="315"/>
      <c r="D42" s="325">
        <f ca="1">SUM(D13:D41)</f>
        <v>2407</v>
      </c>
      <c r="E42" s="315">
        <f>SUM(E13:E41)</f>
        <v>51327.545465999996</v>
      </c>
      <c r="F42" s="318"/>
      <c r="G42" s="315"/>
      <c r="H42" s="316"/>
      <c r="I42" s="315"/>
      <c r="J42" s="319">
        <f>SUM(J13:J41)</f>
        <v>-231.578036</v>
      </c>
      <c r="K42" s="314"/>
      <c r="L42" s="314"/>
      <c r="M42" s="314"/>
      <c r="N42" s="319">
        <f>SUM(N13:N41)</f>
        <v>-368.26075900000001</v>
      </c>
      <c r="O42" s="315">
        <f>SUM(O13:O41)</f>
        <v>-554.45889699999998</v>
      </c>
      <c r="P42" s="315">
        <f ca="1">SUM(P13:P41)</f>
        <v>3163.3394829999997</v>
      </c>
      <c r="Q42" s="326">
        <f ca="1">SUM(Q13:Q41)</f>
        <v>3.8168839811167743</v>
      </c>
      <c r="R42" s="317"/>
      <c r="W42" s="327">
        <f ca="1">SUM(W13:W41)</f>
        <v>1.5650195058517558</v>
      </c>
      <c r="X42" s="328">
        <f ca="1">SUM(X13:X41)</f>
        <v>4632.698542215865</v>
      </c>
      <c r="Y42" s="329">
        <f ca="1">P42/X42</f>
        <v>0.68282869134993263</v>
      </c>
      <c r="Z42" s="329">
        <f ca="1">Y42/(D$43/365)</f>
        <v>0.16204972193935333</v>
      </c>
    </row>
    <row r="43" spans="1:26">
      <c r="C43" s="119" t="s">
        <v>572</v>
      </c>
      <c r="D43" s="46">
        <f ca="1">_xlfn.DAYS(TODAY(),F13)</f>
        <v>1538</v>
      </c>
      <c r="E43" s="119"/>
      <c r="F43" s="300"/>
      <c r="G43" s="119"/>
      <c r="H43" s="303"/>
      <c r="I43" s="119"/>
      <c r="J43" s="119"/>
      <c r="P43" s="119"/>
      <c r="Q43" s="59"/>
    </row>
    <row r="44" spans="1:26">
      <c r="C44" s="119"/>
      <c r="E44" s="119"/>
      <c r="F44" s="300"/>
      <c r="G44" s="119"/>
      <c r="H44" s="303"/>
      <c r="I44" s="119"/>
      <c r="J44" s="119"/>
    </row>
    <row r="45" spans="1:26">
      <c r="C45" s="119"/>
      <c r="E45" s="119"/>
      <c r="F45" s="300"/>
      <c r="G45" s="119"/>
      <c r="H45" s="303"/>
      <c r="I45" s="119"/>
      <c r="J45" s="119"/>
    </row>
    <row r="46" spans="1:26">
      <c r="C46" s="119"/>
      <c r="E46" s="119"/>
      <c r="F46" s="300"/>
      <c r="G46" s="119"/>
      <c r="H46" s="303"/>
      <c r="I46" s="119"/>
      <c r="J46" s="119"/>
    </row>
    <row r="47" spans="1:26">
      <c r="C47" s="119"/>
      <c r="E47" s="119"/>
      <c r="F47" s="300"/>
      <c r="G47" s="119"/>
      <c r="H47" s="303"/>
      <c r="I47" s="119"/>
      <c r="J47" s="119"/>
    </row>
    <row r="48" spans="1:26">
      <c r="C48" s="119"/>
      <c r="E48" s="119"/>
      <c r="F48" s="300"/>
      <c r="G48" s="119"/>
      <c r="H48" s="303"/>
      <c r="I48" s="119"/>
      <c r="J48" s="119"/>
    </row>
    <row r="49" spans="3:28">
      <c r="C49" s="119"/>
      <c r="E49" s="119"/>
      <c r="F49" s="300"/>
      <c r="G49" s="119"/>
      <c r="H49" s="303"/>
      <c r="I49" s="119"/>
      <c r="J49" s="119"/>
    </row>
    <row r="50" spans="3:28">
      <c r="C50" s="119"/>
      <c r="E50" s="119"/>
      <c r="F50" s="300"/>
      <c r="G50" s="119"/>
      <c r="H50" s="303"/>
      <c r="I50" s="119"/>
      <c r="J50" s="119"/>
    </row>
    <row r="51" spans="3:28">
      <c r="S51" s="119"/>
      <c r="T51" s="58"/>
    </row>
    <row r="52" spans="3:28">
      <c r="E52" s="41"/>
      <c r="I52" s="41"/>
      <c r="J52" s="41"/>
      <c r="K52" s="41"/>
      <c r="L52" s="41"/>
      <c r="M52" s="41"/>
      <c r="N52" s="41"/>
      <c r="O52" s="41"/>
      <c r="P52" s="41"/>
      <c r="S52" s="41"/>
    </row>
    <row r="53" spans="3:28">
      <c r="G53" s="38"/>
      <c r="H53" s="41"/>
    </row>
    <row r="54" spans="3:28">
      <c r="AB54" s="119"/>
    </row>
    <row r="55" spans="3:28">
      <c r="I55" s="38"/>
      <c r="J55" s="38"/>
      <c r="K55" s="38"/>
      <c r="L55" s="38"/>
      <c r="M55" s="38"/>
      <c r="N55" s="38"/>
      <c r="O55" s="38"/>
      <c r="P55" s="38"/>
      <c r="Q55" s="38"/>
      <c r="S55" s="38"/>
    </row>
    <row r="56" spans="3:28">
      <c r="E56" t="s">
        <v>539</v>
      </c>
      <c r="F56">
        <v>74.89</v>
      </c>
      <c r="G56">
        <v>52</v>
      </c>
      <c r="H56" s="58">
        <f>1-(G56/F56)</f>
        <v>0.30564828415008682</v>
      </c>
      <c r="Q56" s="38"/>
      <c r="T56" s="58"/>
      <c r="V56" s="59"/>
      <c r="W56" s="59"/>
    </row>
    <row r="57" spans="3:28">
      <c r="E57" t="s">
        <v>540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S57" s="38"/>
    </row>
    <row r="58" spans="3:28">
      <c r="E58" t="s">
        <v>541</v>
      </c>
      <c r="F58">
        <v>93.54</v>
      </c>
      <c r="G58">
        <v>65</v>
      </c>
      <c r="H58" s="58">
        <f>1-(G58/F58)</f>
        <v>0.30511011332050464</v>
      </c>
      <c r="I58" s="304"/>
      <c r="J58" s="304"/>
      <c r="K58" s="304"/>
      <c r="L58" s="38"/>
      <c r="Q58" s="119"/>
    </row>
    <row r="59" spans="3:28">
      <c r="D59" s="46" t="s">
        <v>542</v>
      </c>
      <c r="F59">
        <v>20</v>
      </c>
      <c r="G59">
        <v>14</v>
      </c>
      <c r="H59" s="58">
        <f>1-(G59/F59)</f>
        <v>0.30000000000000004</v>
      </c>
      <c r="Q59" s="119"/>
      <c r="S59" s="306"/>
    </row>
    <row r="60" spans="3:28">
      <c r="G60" s="38"/>
      <c r="S60" s="304"/>
      <c r="T60">
        <f>(0.00242*12)</f>
        <v>2.9039999999999996E-2</v>
      </c>
    </row>
    <row r="61" spans="3:28">
      <c r="P61" s="304"/>
      <c r="S61" s="307"/>
      <c r="T61">
        <f>4700*T60</f>
        <v>136.48799999999997</v>
      </c>
    </row>
    <row r="62" spans="3:28">
      <c r="Q62" s="59"/>
      <c r="S62" s="308" t="s">
        <v>543</v>
      </c>
      <c r="T62" s="41" t="s">
        <v>544</v>
      </c>
      <c r="U62" s="38"/>
    </row>
    <row r="63" spans="3:28" ht="15.75">
      <c r="G63" s="38"/>
      <c r="R63" t="s">
        <v>545</v>
      </c>
      <c r="S63" s="309" t="s">
        <v>546</v>
      </c>
      <c r="T63" s="310"/>
      <c r="U63" s="38"/>
    </row>
    <row r="64" spans="3:28">
      <c r="F64" s="38"/>
      <c r="G64" s="38"/>
      <c r="R64" t="s">
        <v>547</v>
      </c>
      <c r="S64" s="309" t="s">
        <v>548</v>
      </c>
      <c r="T64" t="s">
        <v>549</v>
      </c>
    </row>
    <row r="65" spans="6:21">
      <c r="F65" s="38"/>
      <c r="G65" s="38"/>
      <c r="H65" s="38"/>
      <c r="K65" t="s">
        <v>550</v>
      </c>
      <c r="S65" s="38"/>
      <c r="T65" t="s">
        <v>551</v>
      </c>
      <c r="U65" s="38"/>
    </row>
    <row r="66" spans="6:21">
      <c r="K66" s="311">
        <v>43587</v>
      </c>
      <c r="S66" s="306"/>
    </row>
    <row r="67" spans="6:21">
      <c r="K67" t="s">
        <v>552</v>
      </c>
      <c r="S67" s="312"/>
    </row>
    <row r="68" spans="6:21">
      <c r="K68" t="s">
        <v>553</v>
      </c>
      <c r="M68" t="s">
        <v>148</v>
      </c>
      <c r="S68" s="309"/>
      <c r="T68">
        <f>5000/12</f>
        <v>416.66666666666669</v>
      </c>
    </row>
    <row r="69" spans="6:21">
      <c r="K69" t="s">
        <v>554</v>
      </c>
      <c r="T69">
        <f>2.2/T68</f>
        <v>5.28E-3</v>
      </c>
    </row>
    <row r="70" spans="6:21">
      <c r="K70" t="s">
        <v>555</v>
      </c>
      <c r="T70">
        <f>100*T69</f>
        <v>0.52800000000000002</v>
      </c>
    </row>
    <row r="71" spans="6:21">
      <c r="K71" t="s">
        <v>556</v>
      </c>
      <c r="T71">
        <f>2.2*12</f>
        <v>26.400000000000002</v>
      </c>
    </row>
    <row r="72" spans="6:21">
      <c r="K72" t="s">
        <v>557</v>
      </c>
    </row>
    <row r="73" spans="6:21">
      <c r="K73" t="s">
        <v>558</v>
      </c>
    </row>
    <row r="74" spans="6:21">
      <c r="K74" t="s">
        <v>559</v>
      </c>
    </row>
    <row r="75" spans="6:21">
      <c r="K75" t="s">
        <v>560</v>
      </c>
    </row>
    <row r="76" spans="6:21">
      <c r="K76" t="s">
        <v>561</v>
      </c>
    </row>
    <row r="77" spans="6:21">
      <c r="K77" t="s">
        <v>562</v>
      </c>
    </row>
    <row r="78" spans="6:21">
      <c r="K78" t="s">
        <v>563</v>
      </c>
    </row>
  </sheetData>
  <mergeCells count="2">
    <mergeCell ref="A10:R10"/>
    <mergeCell ref="A11:R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905C-C927-46AD-A41B-CB021864580F}">
  <dimension ref="A1:E40"/>
  <sheetViews>
    <sheetView workbookViewId="0">
      <selection activeCell="D8" sqref="D8"/>
    </sheetView>
  </sheetViews>
  <sheetFormatPr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</cols>
  <sheetData>
    <row r="1" spans="1:5">
      <c r="A1" s="448" t="s">
        <v>578</v>
      </c>
      <c r="B1" s="448"/>
      <c r="C1" s="448"/>
      <c r="D1" s="448"/>
      <c r="E1" s="448"/>
    </row>
    <row r="2" spans="1:5">
      <c r="A2" s="332" t="s">
        <v>574</v>
      </c>
      <c r="B2" s="333" t="s">
        <v>88</v>
      </c>
      <c r="C2" s="333" t="s">
        <v>575</v>
      </c>
      <c r="D2" s="333" t="s">
        <v>576</v>
      </c>
      <c r="E2" s="270"/>
    </row>
    <row r="3" spans="1:5">
      <c r="A3" s="334" t="s">
        <v>52</v>
      </c>
      <c r="B3" s="335">
        <f>1094.26</f>
        <v>1094.26</v>
      </c>
      <c r="C3" s="305">
        <f>B3/B$7</f>
        <v>0.27057113044166298</v>
      </c>
      <c r="D3" s="335">
        <f>D$7*C3</f>
        <v>-53.031941566565941</v>
      </c>
      <c r="E3" s="275"/>
    </row>
    <row r="4" spans="1:5">
      <c r="A4" s="334" t="s">
        <v>26</v>
      </c>
      <c r="B4" s="335">
        <v>1350</v>
      </c>
      <c r="C4" s="305">
        <f t="shared" ref="C4:C6" si="0">B4/B$7</f>
        <v>0.33380643183178133</v>
      </c>
      <c r="D4" s="335">
        <f t="shared" ref="D4:D6" si="1">D$7*C4</f>
        <v>-65.426060639029146</v>
      </c>
      <c r="E4" s="275"/>
    </row>
    <row r="5" spans="1:5">
      <c r="A5" s="334" t="s">
        <v>171</v>
      </c>
      <c r="B5" s="335">
        <v>550</v>
      </c>
      <c r="C5" s="305">
        <f t="shared" si="0"/>
        <v>0.1359952129685035</v>
      </c>
      <c r="D5" s="335">
        <f t="shared" si="1"/>
        <v>-26.655061741826685</v>
      </c>
      <c r="E5" s="275"/>
    </row>
    <row r="6" spans="1:5">
      <c r="A6" s="334" t="s">
        <v>50</v>
      </c>
      <c r="B6" s="335">
        <v>1050</v>
      </c>
      <c r="C6" s="305">
        <f t="shared" si="0"/>
        <v>0.25962722475805217</v>
      </c>
      <c r="D6" s="335">
        <f t="shared" si="1"/>
        <v>-50.886936052578221</v>
      </c>
      <c r="E6" s="275"/>
    </row>
    <row r="7" spans="1:5">
      <c r="A7" s="334" t="s">
        <v>5</v>
      </c>
      <c r="B7" s="335">
        <f>SUM(B3:B6)</f>
        <v>4044.26</v>
      </c>
      <c r="C7" s="305">
        <f>SUM(C3:C6)</f>
        <v>1</v>
      </c>
      <c r="D7" s="336">
        <v>-196</v>
      </c>
      <c r="E7" s="275" t="s">
        <v>577</v>
      </c>
    </row>
    <row r="8" spans="1:5">
      <c r="A8" s="334"/>
      <c r="B8" s="335"/>
      <c r="C8" s="337"/>
      <c r="D8" s="337"/>
      <c r="E8" s="275"/>
    </row>
    <row r="9" spans="1:5">
      <c r="A9" s="334"/>
      <c r="B9" s="335"/>
      <c r="C9" s="337"/>
      <c r="D9" s="337"/>
      <c r="E9" s="275"/>
    </row>
    <row r="10" spans="1:5">
      <c r="A10" s="334"/>
      <c r="B10" s="337"/>
      <c r="C10" s="337"/>
      <c r="D10" s="337"/>
      <c r="E10" s="275"/>
    </row>
    <row r="11" spans="1:5">
      <c r="A11" s="334" t="s">
        <v>155</v>
      </c>
      <c r="B11" s="335">
        <v>5092.08</v>
      </c>
      <c r="C11" s="337"/>
      <c r="D11" s="337"/>
      <c r="E11" s="275"/>
    </row>
    <row r="12" spans="1:5">
      <c r="A12" s="338" t="s">
        <v>5</v>
      </c>
      <c r="B12" s="339">
        <f>B7+B11</f>
        <v>9136.34</v>
      </c>
      <c r="C12" s="330"/>
      <c r="D12" s="330"/>
      <c r="E12" s="289"/>
    </row>
    <row r="15" spans="1:5">
      <c r="A15" s="446" t="s">
        <v>607</v>
      </c>
      <c r="B15" s="446"/>
      <c r="C15" s="446"/>
      <c r="D15" s="446"/>
      <c r="E15" s="446"/>
    </row>
    <row r="17" spans="1:4">
      <c r="A17" s="331" t="s">
        <v>579</v>
      </c>
    </row>
    <row r="19" spans="1:4">
      <c r="A19" t="s">
        <v>580</v>
      </c>
    </row>
    <row r="20" spans="1:4">
      <c r="A20" t="s">
        <v>581</v>
      </c>
    </row>
    <row r="21" spans="1:4">
      <c r="A21" t="s">
        <v>582</v>
      </c>
    </row>
    <row r="22" spans="1:4">
      <c r="A22" t="s">
        <v>583</v>
      </c>
    </row>
    <row r="23" spans="1:4">
      <c r="A23" t="s">
        <v>584</v>
      </c>
    </row>
    <row r="24" spans="1:4">
      <c r="A24" t="s">
        <v>585</v>
      </c>
    </row>
    <row r="25" spans="1:4">
      <c r="A25" t="s">
        <v>586</v>
      </c>
    </row>
    <row r="30" spans="1:4">
      <c r="A30" s="331" t="s">
        <v>587</v>
      </c>
      <c r="B30" s="331" t="s">
        <v>588</v>
      </c>
      <c r="C30" s="331" t="s">
        <v>589</v>
      </c>
      <c r="D30" s="331" t="s">
        <v>590</v>
      </c>
    </row>
    <row r="32" spans="1:4">
      <c r="A32" t="s">
        <v>591</v>
      </c>
      <c r="B32" t="s">
        <v>592</v>
      </c>
      <c r="C32" t="s">
        <v>593</v>
      </c>
      <c r="D32" t="s">
        <v>594</v>
      </c>
    </row>
    <row r="33" spans="1:4">
      <c r="A33" t="s">
        <v>595</v>
      </c>
      <c r="B33" t="s">
        <v>596</v>
      </c>
      <c r="C33" t="s">
        <v>597</v>
      </c>
      <c r="D33" t="s">
        <v>592</v>
      </c>
    </row>
    <row r="34" spans="1:4">
      <c r="A34" t="s">
        <v>598</v>
      </c>
      <c r="B34" t="s">
        <v>599</v>
      </c>
      <c r="C34" t="s">
        <v>600</v>
      </c>
      <c r="D34" t="s">
        <v>594</v>
      </c>
    </row>
    <row r="35" spans="1:4">
      <c r="A35" t="s">
        <v>601</v>
      </c>
      <c r="B35" t="s">
        <v>592</v>
      </c>
      <c r="C35" t="s">
        <v>597</v>
      </c>
      <c r="D35" t="s">
        <v>602</v>
      </c>
    </row>
    <row r="36" spans="1:4">
      <c r="A36" t="s">
        <v>425</v>
      </c>
      <c r="B36" t="s">
        <v>592</v>
      </c>
      <c r="C36" t="s">
        <v>593</v>
      </c>
      <c r="D36" t="s">
        <v>602</v>
      </c>
    </row>
    <row r="37" spans="1:4">
      <c r="A37" t="s">
        <v>603</v>
      </c>
      <c r="B37" t="s">
        <v>594</v>
      </c>
      <c r="C37" t="s">
        <v>600</v>
      </c>
      <c r="D37" t="s">
        <v>599</v>
      </c>
    </row>
    <row r="38" spans="1:4">
      <c r="A38" t="s">
        <v>604</v>
      </c>
      <c r="B38" t="s">
        <v>592</v>
      </c>
      <c r="C38" t="s">
        <v>600</v>
      </c>
      <c r="D38" t="s">
        <v>592</v>
      </c>
    </row>
    <row r="39" spans="1:4">
      <c r="A39" t="s">
        <v>605</v>
      </c>
      <c r="B39" t="s">
        <v>594</v>
      </c>
      <c r="C39" t="s">
        <v>593</v>
      </c>
      <c r="D39" t="s">
        <v>592</v>
      </c>
    </row>
    <row r="40" spans="1:4">
      <c r="A40" t="s">
        <v>606</v>
      </c>
      <c r="B40" t="s">
        <v>594</v>
      </c>
      <c r="C40" t="s">
        <v>593</v>
      </c>
      <c r="D40" t="s">
        <v>599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3"/>
  <sheetViews>
    <sheetView workbookViewId="0">
      <selection activeCell="M50" sqref="M50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337</v>
      </c>
      <c r="I7" t="s">
        <v>338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354</v>
      </c>
      <c r="I10" t="s">
        <v>355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166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2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178</v>
      </c>
      <c r="B47" t="s">
        <v>168</v>
      </c>
    </row>
    <row r="48" spans="1:9">
      <c r="A48" t="s">
        <v>167</v>
      </c>
      <c r="B48" t="s">
        <v>168</v>
      </c>
    </row>
    <row r="49" spans="1:2">
      <c r="A49" t="s">
        <v>48</v>
      </c>
      <c r="B49" t="s">
        <v>168</v>
      </c>
    </row>
    <row r="50" spans="1:2">
      <c r="A50" t="s">
        <v>170</v>
      </c>
      <c r="B50" t="s">
        <v>169</v>
      </c>
    </row>
    <row r="51" spans="1:2">
      <c r="A51" t="s">
        <v>193</v>
      </c>
      <c r="B51" t="s">
        <v>168</v>
      </c>
    </row>
    <row r="52" spans="1:2">
      <c r="A52" t="s">
        <v>204</v>
      </c>
      <c r="B52" t="s">
        <v>203</v>
      </c>
    </row>
    <row r="53" spans="1:2">
      <c r="A53" t="s">
        <v>207</v>
      </c>
      <c r="B53" t="s">
        <v>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316" workbookViewId="0">
      <selection activeCell="G326" sqref="G326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 Gastos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10" t="s">
        <v>9</v>
      </c>
      <c r="E4" s="410"/>
      <c r="F4" s="410"/>
      <c r="G4" s="403"/>
      <c r="H4" s="222">
        <v>2018</v>
      </c>
      <c r="I4" s="40" t="s">
        <v>57</v>
      </c>
      <c r="J4" s="105" t="s">
        <v>58</v>
      </c>
      <c r="K4" s="430" t="s">
        <v>59</v>
      </c>
      <c r="L4" s="43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184</v>
      </c>
      <c r="I5" s="106" t="s">
        <v>60</v>
      </c>
      <c r="J5" s="107" t="s">
        <v>61</v>
      </c>
      <c r="K5" s="432">
        <v>2901.68</v>
      </c>
      <c r="L5" s="433"/>
      <c r="M5" s="1"/>
      <c r="N5" s="1"/>
      <c r="R5" s="3"/>
    </row>
    <row r="6" spans="1:22" ht="15.75">
      <c r="A6" s="112">
        <f>H6+(B6-SUM(D6:F6))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416">
        <v>620.05999999999995</v>
      </c>
      <c r="L6" s="417"/>
      <c r="M6" s="1" t="s">
        <v>165</v>
      </c>
      <c r="N6" s="1"/>
      <c r="R6" s="3"/>
    </row>
    <row r="7" spans="1:22" ht="15.75">
      <c r="A7" s="112">
        <f t="shared" ref="A7:A13" si="0">H7+(B7-SUM(D7:F7))</f>
        <v>509.45999999999992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416">
        <v>8035.29</v>
      </c>
      <c r="L7" s="417"/>
      <c r="M7" s="1"/>
      <c r="N7" s="1"/>
      <c r="R7" s="3"/>
    </row>
    <row r="8" spans="1:22" ht="15.75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416">
        <v>7000</v>
      </c>
      <c r="L8" s="417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416">
        <v>659.39</v>
      </c>
      <c r="L9" s="417"/>
      <c r="M9" s="1"/>
      <c r="N9" s="1"/>
      <c r="R9" s="3"/>
    </row>
    <row r="10" spans="1:22" ht="15.75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416">
        <v>1800.04</v>
      </c>
      <c r="L10" s="417"/>
      <c r="M10" s="1" t="s">
        <v>156</v>
      </c>
      <c r="N10" s="1"/>
      <c r="R10" s="3"/>
    </row>
    <row r="11" spans="1:22" ht="15.75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416">
        <f>240+35</f>
        <v>275</v>
      </c>
      <c r="L11" s="417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206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416">
        <v>5092.08</v>
      </c>
      <c r="L12" s="417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201</v>
      </c>
      <c r="D13" s="137"/>
      <c r="E13" s="138"/>
      <c r="F13" s="138"/>
      <c r="G13" s="16"/>
      <c r="H13" s="112">
        <v>63</v>
      </c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418">
        <f>SUM(K5:K18)</f>
        <v>26383.54</v>
      </c>
      <c r="L19" s="419"/>
      <c r="M19" s="1"/>
      <c r="N19" s="1">
        <v>26293.569999999996</v>
      </c>
      <c r="R19" s="3"/>
    </row>
    <row r="20" spans="1:18" ht="16.5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12"/>
      <c r="I22" s="420" t="s">
        <v>6</v>
      </c>
      <c r="J22" s="411"/>
      <c r="K22" s="411"/>
      <c r="L22" s="412"/>
      <c r="M22" s="1"/>
      <c r="N22" s="113">
        <f>K19-N19</f>
        <v>89.970000000004802</v>
      </c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12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10" t="s">
        <v>9</v>
      </c>
      <c r="E24" s="410"/>
      <c r="F24" s="410"/>
      <c r="G24" s="403"/>
      <c r="H24" s="112"/>
      <c r="I24" s="40" t="s">
        <v>31</v>
      </c>
      <c r="J24" s="435" t="s">
        <v>87</v>
      </c>
      <c r="K24" s="436"/>
      <c r="L24" s="197" t="s">
        <v>88</v>
      </c>
      <c r="M24" s="1"/>
      <c r="R24" s="3"/>
    </row>
    <row r="25" spans="1:18" ht="15.75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184</v>
      </c>
      <c r="I25" s="421" t="str">
        <f>AÑO!A8</f>
        <v>Manolo Salario</v>
      </c>
      <c r="J25" s="424" t="s">
        <v>291</v>
      </c>
      <c r="K25" s="425"/>
      <c r="L25" s="198">
        <v>2593.46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422"/>
      <c r="J26" s="426"/>
      <c r="K26" s="427"/>
      <c r="L26" s="229"/>
      <c r="M26" s="1"/>
      <c r="R26" s="3"/>
    </row>
    <row r="27" spans="1:18" ht="15.75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422"/>
      <c r="J27" s="426"/>
      <c r="K27" s="427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422"/>
      <c r="J28" s="426"/>
      <c r="K28" s="427"/>
      <c r="L28" s="229"/>
      <c r="M28" s="1"/>
      <c r="R28" s="3"/>
    </row>
    <row r="29" spans="1:18" ht="15.75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423"/>
      <c r="J29" s="428"/>
      <c r="K29" s="429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296</v>
      </c>
      <c r="H30" s="112">
        <v>593.55999999999995</v>
      </c>
      <c r="I30" s="421" t="str">
        <f>AÑO!A9</f>
        <v>Rocío Salario</v>
      </c>
      <c r="J30" s="424" t="s">
        <v>238</v>
      </c>
      <c r="K30" s="425"/>
      <c r="L30" s="231">
        <v>350.59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12"/>
      <c r="I31" s="422"/>
      <c r="J31" s="426" t="s">
        <v>256</v>
      </c>
      <c r="K31" s="427"/>
      <c r="L31" s="229">
        <v>190.62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422"/>
      <c r="J32" s="434" t="s">
        <v>267</v>
      </c>
      <c r="K32" s="427"/>
      <c r="L32" s="229">
        <v>114.38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422"/>
      <c r="J33" s="426"/>
      <c r="K33" s="42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423"/>
      <c r="J34" s="428"/>
      <c r="K34" s="429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421" t="s">
        <v>218</v>
      </c>
      <c r="J35" s="424" t="s">
        <v>306</v>
      </c>
      <c r="K35" s="425"/>
      <c r="L35" s="231">
        <v>120.85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422"/>
      <c r="J36" s="426"/>
      <c r="K36" s="42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422"/>
      <c r="J37" s="426"/>
      <c r="K37" s="42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422"/>
      <c r="J38" s="426"/>
      <c r="K38" s="42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423"/>
      <c r="J39" s="428"/>
      <c r="K39" s="429"/>
      <c r="L39" s="230"/>
      <c r="M39" s="1"/>
      <c r="R39" s="3"/>
    </row>
    <row r="40" spans="1:18" ht="16.5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421" t="str">
        <f>AÑO!A11</f>
        <v>Finanazas</v>
      </c>
      <c r="J40" s="424" t="s">
        <v>239</v>
      </c>
      <c r="K40" s="425"/>
      <c r="L40" s="231">
        <v>1.98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422"/>
      <c r="J41" s="426" t="s">
        <v>240</v>
      </c>
      <c r="K41" s="427"/>
      <c r="L41" s="229">
        <v>1.87</v>
      </c>
      <c r="M41" s="1"/>
      <c r="R41" s="3"/>
    </row>
    <row r="42" spans="1:18" ht="15.6" customHeight="1">
      <c r="A42" s="1"/>
      <c r="B42" s="404" t="str">
        <f>AÑO!A22</f>
        <v>Comida+Limpieza</v>
      </c>
      <c r="C42" s="411"/>
      <c r="D42" s="411"/>
      <c r="E42" s="411"/>
      <c r="F42" s="411"/>
      <c r="G42" s="412"/>
      <c r="H42" s="112"/>
      <c r="I42" s="422"/>
      <c r="J42" s="426" t="s">
        <v>269</v>
      </c>
      <c r="K42" s="427"/>
      <c r="L42" s="229">
        <v>0.02</v>
      </c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12"/>
      <c r="I43" s="422"/>
      <c r="J43" s="426"/>
      <c r="K43" s="427"/>
      <c r="L43" s="229"/>
      <c r="M43" s="1"/>
      <c r="R43" s="3"/>
    </row>
    <row r="44" spans="1:18" ht="15.75">
      <c r="A44" s="1"/>
      <c r="B44" s="402" t="s">
        <v>8</v>
      </c>
      <c r="C44" s="403"/>
      <c r="D44" s="410" t="s">
        <v>9</v>
      </c>
      <c r="E44" s="410"/>
      <c r="F44" s="410"/>
      <c r="G44" s="403"/>
      <c r="H44" s="112"/>
      <c r="I44" s="423"/>
      <c r="J44" s="428"/>
      <c r="K44" s="429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12"/>
      <c r="I45" s="421" t="str">
        <f>AÑO!A12</f>
        <v>Regalos</v>
      </c>
      <c r="J45" s="424" t="s">
        <v>299</v>
      </c>
      <c r="K45" s="425"/>
      <c r="L45" s="231">
        <v>137</v>
      </c>
      <c r="M45" s="112">
        <f>600.04-L45</f>
        <v>463.03999999999996</v>
      </c>
      <c r="R45" s="3"/>
    </row>
    <row r="46" spans="1:18" ht="15.75">
      <c r="A46" s="1"/>
      <c r="B46" s="133">
        <v>439.65</v>
      </c>
      <c r="C46" s="19"/>
      <c r="D46" s="137">
        <v>31.03</v>
      </c>
      <c r="E46" s="138"/>
      <c r="F46" s="138"/>
      <c r="G46" s="30" t="s">
        <v>244</v>
      </c>
      <c r="H46" s="112"/>
      <c r="I46" s="422"/>
      <c r="J46" s="426"/>
      <c r="K46" s="427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247</v>
      </c>
      <c r="H47" s="112"/>
      <c r="I47" s="422"/>
      <c r="J47" s="426"/>
      <c r="K47" s="427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>
        <v>5</v>
      </c>
      <c r="G48" s="16" t="s">
        <v>252</v>
      </c>
      <c r="H48" s="112"/>
      <c r="I48" s="422"/>
      <c r="J48" s="426"/>
      <c r="K48" s="427"/>
      <c r="L48" s="229"/>
      <c r="M48" s="1"/>
      <c r="R48" s="3"/>
    </row>
    <row r="49" spans="1:18" ht="15.75">
      <c r="A49" s="1"/>
      <c r="B49" s="134"/>
      <c r="C49" s="16"/>
      <c r="D49" s="137">
        <v>15.37</v>
      </c>
      <c r="E49" s="138"/>
      <c r="F49" s="138"/>
      <c r="G49" s="16" t="s">
        <v>249</v>
      </c>
      <c r="H49" s="112"/>
      <c r="I49" s="423"/>
      <c r="J49" s="428"/>
      <c r="K49" s="429"/>
      <c r="L49" s="230"/>
      <c r="M49" s="1"/>
      <c r="R49" s="3"/>
    </row>
    <row r="50" spans="1:18" ht="15.75">
      <c r="A50" s="1"/>
      <c r="B50" s="134"/>
      <c r="C50" s="16"/>
      <c r="D50" s="137">
        <v>29.45</v>
      </c>
      <c r="E50" s="138"/>
      <c r="F50" s="138"/>
      <c r="G50" s="16" t="s">
        <v>253</v>
      </c>
      <c r="H50" s="112"/>
      <c r="I50" s="421" t="str">
        <f>AÑO!A13</f>
        <v>Gubernamental</v>
      </c>
      <c r="J50" s="424" t="s">
        <v>259</v>
      </c>
      <c r="K50" s="425"/>
      <c r="L50" s="231">
        <v>95.8</v>
      </c>
      <c r="M50" s="1"/>
      <c r="R50" s="3"/>
    </row>
    <row r="51" spans="1:18" ht="15.75">
      <c r="A51" s="1"/>
      <c r="B51" s="134"/>
      <c r="C51" s="16"/>
      <c r="D51" s="137">
        <v>59.36</v>
      </c>
      <c r="E51" s="138"/>
      <c r="F51" s="138"/>
      <c r="G51" s="16" t="s">
        <v>261</v>
      </c>
      <c r="H51" s="112"/>
      <c r="I51" s="422"/>
      <c r="J51" s="426"/>
      <c r="K51" s="427"/>
      <c r="L51" s="229"/>
      <c r="M51" s="1"/>
      <c r="R51" s="3"/>
    </row>
    <row r="52" spans="1:18" ht="15.75">
      <c r="A52" s="1"/>
      <c r="B52" s="134"/>
      <c r="C52" s="16"/>
      <c r="D52" s="137">
        <v>121.4</v>
      </c>
      <c r="E52" s="138"/>
      <c r="F52" s="138"/>
      <c r="G52" s="16" t="s">
        <v>262</v>
      </c>
      <c r="H52" s="112"/>
      <c r="I52" s="422"/>
      <c r="J52" s="426"/>
      <c r="K52" s="427"/>
      <c r="L52" s="229"/>
      <c r="M52" s="1"/>
      <c r="R52" s="3"/>
    </row>
    <row r="53" spans="1:18" ht="15.75">
      <c r="A53" s="1"/>
      <c r="B53" s="134"/>
      <c r="C53" s="16"/>
      <c r="D53" s="137">
        <f>50.42-D367-D227</f>
        <v>39.92</v>
      </c>
      <c r="E53" s="138"/>
      <c r="F53" s="138"/>
      <c r="G53" s="16" t="s">
        <v>265</v>
      </c>
      <c r="H53" s="112"/>
      <c r="I53" s="422"/>
      <c r="J53" s="426"/>
      <c r="K53" s="427"/>
      <c r="L53" s="229"/>
      <c r="M53" s="1"/>
      <c r="R53" s="3"/>
    </row>
    <row r="54" spans="1:18" ht="15.75">
      <c r="A54" s="1"/>
      <c r="B54" s="134"/>
      <c r="C54" s="16"/>
      <c r="D54" s="137">
        <f>50.95</f>
        <v>50.95</v>
      </c>
      <c r="E54" s="138"/>
      <c r="F54" s="138"/>
      <c r="G54" s="16" t="s">
        <v>274</v>
      </c>
      <c r="H54" s="112"/>
      <c r="I54" s="423"/>
      <c r="J54" s="428"/>
      <c r="K54" s="429"/>
      <c r="L54" s="230"/>
      <c r="M54" s="1"/>
      <c r="R54" s="3"/>
    </row>
    <row r="55" spans="1:18" ht="15.75">
      <c r="A55" s="1"/>
      <c r="B55" s="134"/>
      <c r="C55" s="16"/>
      <c r="D55" s="137">
        <f>16.96</f>
        <v>16.96</v>
      </c>
      <c r="E55" s="138"/>
      <c r="F55" s="138"/>
      <c r="G55" s="16" t="s">
        <v>275</v>
      </c>
      <c r="H55" s="112"/>
      <c r="I55" s="421" t="str">
        <f>AÑO!A14</f>
        <v>Mutualite/DKV</v>
      </c>
      <c r="J55" s="424"/>
      <c r="K55" s="425"/>
      <c r="L55" s="231"/>
      <c r="M55" s="1"/>
      <c r="R55" s="3"/>
    </row>
    <row r="56" spans="1:18" ht="15.75">
      <c r="A56" s="1"/>
      <c r="B56" s="134"/>
      <c r="C56" s="16"/>
      <c r="D56" s="137">
        <f>20.5</f>
        <v>20.5</v>
      </c>
      <c r="E56" s="138"/>
      <c r="F56" s="138"/>
      <c r="G56" s="16" t="s">
        <v>277</v>
      </c>
      <c r="H56" s="112"/>
      <c r="I56" s="422"/>
      <c r="J56" s="426"/>
      <c r="K56" s="427"/>
      <c r="L56" s="229"/>
      <c r="M56" s="1"/>
      <c r="R56" s="3"/>
    </row>
    <row r="57" spans="1:18" ht="15.75">
      <c r="A57" s="1"/>
      <c r="B57" s="134"/>
      <c r="C57" s="16"/>
      <c r="D57" s="137">
        <f>48.43+53.44-D368</f>
        <v>67.87</v>
      </c>
      <c r="E57" s="138"/>
      <c r="F57" s="138"/>
      <c r="G57" s="16" t="s">
        <v>288</v>
      </c>
      <c r="H57" s="112"/>
      <c r="I57" s="422"/>
      <c r="J57" s="426"/>
      <c r="K57" s="427"/>
      <c r="L57" s="229"/>
      <c r="M57" s="1"/>
      <c r="R57" s="3"/>
    </row>
    <row r="58" spans="1:18" ht="15.75">
      <c r="A58" s="1"/>
      <c r="B58" s="134"/>
      <c r="C58" s="16"/>
      <c r="D58" s="137">
        <f>29.54</f>
        <v>29.54</v>
      </c>
      <c r="E58" s="138"/>
      <c r="F58" s="138"/>
      <c r="G58" s="16" t="s">
        <v>279</v>
      </c>
      <c r="H58" s="112"/>
      <c r="I58" s="422"/>
      <c r="J58" s="426"/>
      <c r="K58" s="42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423"/>
      <c r="J59" s="428"/>
      <c r="K59" s="429"/>
      <c r="L59" s="230"/>
      <c r="M59" s="1"/>
      <c r="R59" s="3"/>
    </row>
    <row r="60" spans="1:18" ht="16.5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421" t="str">
        <f>AÑO!A15</f>
        <v>Alquiler Cartama</v>
      </c>
      <c r="J60" s="424"/>
      <c r="K60" s="425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12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12"/>
      <c r="I63" s="422"/>
      <c r="J63" s="426"/>
      <c r="K63" s="427"/>
      <c r="L63" s="229"/>
      <c r="M63" s="1"/>
      <c r="R63" s="3"/>
    </row>
    <row r="64" spans="1:18" ht="15.75">
      <c r="A64" s="1"/>
      <c r="B64" s="402" t="s">
        <v>8</v>
      </c>
      <c r="C64" s="403"/>
      <c r="D64" s="410" t="s">
        <v>9</v>
      </c>
      <c r="E64" s="410"/>
      <c r="F64" s="410"/>
      <c r="G64" s="403"/>
      <c r="H64" s="112"/>
      <c r="I64" s="423"/>
      <c r="J64" s="428"/>
      <c r="K64" s="429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12"/>
      <c r="I65" s="421" t="str">
        <f>AÑO!A16</f>
        <v>Otros</v>
      </c>
      <c r="J65" s="424" t="s">
        <v>296</v>
      </c>
      <c r="K65" s="425"/>
      <c r="L65" s="231">
        <v>85</v>
      </c>
      <c r="M65" s="1"/>
      <c r="R65" s="3"/>
    </row>
    <row r="66" spans="1:18" ht="15.75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245</v>
      </c>
      <c r="H66" s="112">
        <v>42.13</v>
      </c>
      <c r="I66" s="422"/>
      <c r="J66" s="426"/>
      <c r="K66" s="427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422"/>
      <c r="J67" s="426"/>
      <c r="K67" s="427"/>
      <c r="L67" s="229"/>
      <c r="M67" s="1"/>
      <c r="R67" s="3"/>
    </row>
    <row r="68" spans="1:18" ht="15.75">
      <c r="A68" s="112"/>
      <c r="B68" s="134"/>
      <c r="C68" s="16"/>
      <c r="D68" s="137">
        <v>30</v>
      </c>
      <c r="E68" s="138"/>
      <c r="F68" s="138"/>
      <c r="G68" s="16" t="s">
        <v>264</v>
      </c>
      <c r="H68" s="112"/>
      <c r="I68" s="422"/>
      <c r="J68" s="426"/>
      <c r="K68" s="427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>
        <v>15</v>
      </c>
      <c r="G69" s="16" t="s">
        <v>268</v>
      </c>
      <c r="H69" s="112"/>
      <c r="I69" s="437"/>
      <c r="J69" s="438"/>
      <c r="K69" s="439"/>
      <c r="L69" s="232"/>
      <c r="M69" s="1"/>
      <c r="R69" s="3"/>
    </row>
    <row r="70" spans="1:18" ht="15.75">
      <c r="A70" s="112"/>
      <c r="B70" s="134"/>
      <c r="C70" s="16"/>
      <c r="D70" s="137">
        <v>30.79</v>
      </c>
      <c r="E70" s="138"/>
      <c r="F70" s="138"/>
      <c r="G70" s="16" t="s">
        <v>266</v>
      </c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>
        <v>12.5</v>
      </c>
      <c r="G71" s="16" t="s">
        <v>294</v>
      </c>
      <c r="H71" s="112"/>
      <c r="M71" s="1"/>
      <c r="R71" s="3"/>
    </row>
    <row r="72" spans="1:18" ht="15.75">
      <c r="A72" s="112"/>
      <c r="B72" s="134"/>
      <c r="C72" s="16"/>
      <c r="D72" s="137">
        <v>12.74</v>
      </c>
      <c r="E72" s="138"/>
      <c r="F72" s="138"/>
      <c r="G72" s="16" t="s">
        <v>295</v>
      </c>
      <c r="H72" s="112"/>
      <c r="M72" s="1"/>
      <c r="R72" s="3"/>
    </row>
    <row r="73" spans="1:18" ht="15.75">
      <c r="A73" s="112"/>
      <c r="B73" s="134"/>
      <c r="C73" s="16"/>
      <c r="D73" s="137">
        <v>36.299999999999997</v>
      </c>
      <c r="E73" s="138"/>
      <c r="F73" s="138"/>
      <c r="G73" s="16" t="s">
        <v>302</v>
      </c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20</v>
      </c>
      <c r="B79" s="233">
        <v>20</v>
      </c>
      <c r="C79" s="17" t="s">
        <v>237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12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12"/>
      <c r="M83" s="1"/>
      <c r="R83" s="3"/>
    </row>
    <row r="84" spans="1:18" ht="15.75">
      <c r="A84" s="1"/>
      <c r="B84" s="402" t="s">
        <v>8</v>
      </c>
      <c r="C84" s="403"/>
      <c r="D84" s="410" t="s">
        <v>9</v>
      </c>
      <c r="E84" s="410"/>
      <c r="F84" s="410"/>
      <c r="G84" s="403"/>
      <c r="H84" s="112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12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>
        <v>2</v>
      </c>
      <c r="F86" s="138"/>
      <c r="G86" s="16" t="s">
        <v>260</v>
      </c>
      <c r="H86" s="112"/>
      <c r="M86" s="1"/>
      <c r="R86" s="3"/>
    </row>
    <row r="87" spans="1:18" ht="15.75">
      <c r="A87" s="1"/>
      <c r="B87" s="134"/>
      <c r="C87" s="16"/>
      <c r="D87" s="137">
        <v>45</v>
      </c>
      <c r="E87" s="138"/>
      <c r="F87" s="138"/>
      <c r="G87" s="16" t="s">
        <v>263</v>
      </c>
      <c r="H87" s="112"/>
      <c r="M87" s="1"/>
      <c r="R87" s="3"/>
    </row>
    <row r="88" spans="1:18" ht="15.75">
      <c r="A88" s="1"/>
      <c r="B88" s="134"/>
      <c r="C88" s="16"/>
      <c r="D88" s="137">
        <v>44.31</v>
      </c>
      <c r="E88" s="138"/>
      <c r="F88" s="138"/>
      <c r="G88" s="16" t="s">
        <v>284</v>
      </c>
      <c r="H88" s="112"/>
      <c r="M88" s="1"/>
      <c r="R88" s="3"/>
    </row>
    <row r="89" spans="1:18" ht="15.75">
      <c r="A89" s="1"/>
      <c r="B89" s="134"/>
      <c r="C89" s="16"/>
      <c r="D89" s="137"/>
      <c r="E89" s="138">
        <v>1.3</v>
      </c>
      <c r="F89" s="138"/>
      <c r="G89" s="16" t="s">
        <v>298</v>
      </c>
      <c r="H89" s="112"/>
      <c r="M89" s="1"/>
      <c r="R89" s="3"/>
    </row>
    <row r="90" spans="1:18" ht="15.75">
      <c r="A90" s="1"/>
      <c r="B90" s="134"/>
      <c r="C90" s="16"/>
      <c r="D90" s="137">
        <v>52.4</v>
      </c>
      <c r="E90" s="138"/>
      <c r="F90" s="138"/>
      <c r="G90" s="16" t="s">
        <v>301</v>
      </c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04" t="str">
        <f>AÑO!A25</f>
        <v>Coche</v>
      </c>
      <c r="C102" s="411"/>
      <c r="D102" s="411"/>
      <c r="E102" s="411"/>
      <c r="F102" s="411"/>
      <c r="G102" s="412"/>
      <c r="H102" s="112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12"/>
      <c r="M103" s="1"/>
      <c r="R103" s="3"/>
    </row>
    <row r="104" spans="1:18" ht="15.75">
      <c r="A104" s="1"/>
      <c r="B104" s="402" t="s">
        <v>8</v>
      </c>
      <c r="C104" s="403"/>
      <c r="D104" s="410" t="s">
        <v>9</v>
      </c>
      <c r="E104" s="410"/>
      <c r="F104" s="410"/>
      <c r="G104" s="403"/>
      <c r="H104" s="112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184</v>
      </c>
      <c r="M105" s="1"/>
      <c r="R105" s="3"/>
    </row>
    <row r="106" spans="1:18" ht="15.75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205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12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12"/>
      <c r="M123" s="1"/>
      <c r="R123" s="3"/>
    </row>
    <row r="124" spans="1:18" ht="15.75">
      <c r="A124" s="1"/>
      <c r="B124" s="402" t="s">
        <v>8</v>
      </c>
      <c r="C124" s="403"/>
      <c r="D124" s="410" t="s">
        <v>9</v>
      </c>
      <c r="E124" s="410"/>
      <c r="F124" s="410"/>
      <c r="G124" s="403"/>
      <c r="H124" s="112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75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12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12"/>
      <c r="M143" s="1"/>
      <c r="R143" s="3"/>
    </row>
    <row r="144" spans="1:18" ht="15.75">
      <c r="A144" s="1"/>
      <c r="B144" s="402" t="s">
        <v>8</v>
      </c>
      <c r="C144" s="403"/>
      <c r="D144" s="410" t="s">
        <v>9</v>
      </c>
      <c r="E144" s="410"/>
      <c r="F144" s="410"/>
      <c r="G144" s="403"/>
      <c r="H144" s="112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12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23.67</v>
      </c>
      <c r="E146" s="138"/>
      <c r="F146" s="138"/>
      <c r="G146" s="16" t="s">
        <v>278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10" t="s">
        <v>9</v>
      </c>
      <c r="E164" s="410"/>
      <c r="F164" s="410"/>
      <c r="G164" s="403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AÑO!B28+(B166-SUM(D166:F172))</f>
        <v>427.65000000000009</v>
      </c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242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>
        <v>7.2</v>
      </c>
      <c r="F167" s="138"/>
      <c r="G167" s="16" t="s">
        <v>305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427.65000000000009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10" t="s">
        <v>9</v>
      </c>
      <c r="E184" s="410"/>
      <c r="F184" s="410"/>
      <c r="G184" s="403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>
        <v>45.97</v>
      </c>
      <c r="F186" s="138"/>
      <c r="G186" s="16" t="s">
        <v>276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  <c r="H202" s="112"/>
    </row>
    <row r="203" spans="2:12" ht="15" customHeight="1" thickBot="1">
      <c r="B203" s="413"/>
      <c r="C203" s="414"/>
      <c r="D203" s="414"/>
      <c r="E203" s="414"/>
      <c r="F203" s="414"/>
      <c r="G203" s="415"/>
      <c r="H203" s="112"/>
    </row>
    <row r="204" spans="2:12" ht="15.75">
      <c r="B204" s="402" t="s">
        <v>8</v>
      </c>
      <c r="C204" s="403"/>
      <c r="D204" s="410" t="s">
        <v>9</v>
      </c>
      <c r="E204" s="410"/>
      <c r="F204" s="410"/>
      <c r="G204" s="403"/>
      <c r="H204" s="112"/>
    </row>
    <row r="205" spans="2:12" ht="15.75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  <c r="H205" s="112"/>
    </row>
    <row r="206" spans="2:12" ht="15.75">
      <c r="B206" s="133">
        <v>35</v>
      </c>
      <c r="C206" s="19"/>
      <c r="D206" s="137">
        <v>42.06</v>
      </c>
      <c r="E206" s="138"/>
      <c r="F206" s="138"/>
      <c r="G206" s="16" t="s">
        <v>286</v>
      </c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404" t="str">
        <f>AÑO!A31</f>
        <v>Deportes</v>
      </c>
      <c r="C222" s="411"/>
      <c r="D222" s="411"/>
      <c r="E222" s="411"/>
      <c r="F222" s="411"/>
      <c r="G222" s="412"/>
      <c r="H222" s="112"/>
    </row>
    <row r="223" spans="2:8" ht="15" customHeight="1" thickBot="1">
      <c r="B223" s="413"/>
      <c r="C223" s="414"/>
      <c r="D223" s="414"/>
      <c r="E223" s="414"/>
      <c r="F223" s="414"/>
      <c r="G223" s="415"/>
      <c r="H223" s="112"/>
    </row>
    <row r="224" spans="2:8" ht="15.75">
      <c r="B224" s="402" t="s">
        <v>8</v>
      </c>
      <c r="C224" s="403"/>
      <c r="D224" s="410" t="s">
        <v>9</v>
      </c>
      <c r="E224" s="410"/>
      <c r="F224" s="410"/>
      <c r="G224" s="403"/>
      <c r="H224" s="112"/>
    </row>
    <row r="225" spans="2:8" ht="15.75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75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75">
      <c r="B227" s="134"/>
      <c r="C227" s="16" t="s">
        <v>42</v>
      </c>
      <c r="D227" s="137">
        <v>7</v>
      </c>
      <c r="E227" s="138"/>
      <c r="F227" s="138"/>
      <c r="G227" s="16" t="s">
        <v>265</v>
      </c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5" thickBot="1">
      <c r="B241" s="5"/>
      <c r="C241" s="3"/>
      <c r="D241" s="5"/>
      <c r="E241" s="5"/>
      <c r="H241" s="112"/>
    </row>
    <row r="242" spans="2:8" ht="14.45" customHeight="1">
      <c r="B242" s="404" t="str">
        <f>AÑO!A32</f>
        <v>Hogar</v>
      </c>
      <c r="C242" s="411"/>
      <c r="D242" s="411"/>
      <c r="E242" s="411"/>
      <c r="F242" s="411"/>
      <c r="G242" s="412"/>
      <c r="H242" s="112"/>
    </row>
    <row r="243" spans="2:8" ht="15" customHeight="1" thickBot="1">
      <c r="B243" s="413"/>
      <c r="C243" s="414"/>
      <c r="D243" s="414"/>
      <c r="E243" s="414"/>
      <c r="F243" s="414"/>
      <c r="G243" s="415"/>
      <c r="H243" s="112"/>
    </row>
    <row r="244" spans="2:8" ht="15" customHeight="1">
      <c r="B244" s="402" t="s">
        <v>8</v>
      </c>
      <c r="C244" s="403"/>
      <c r="D244" s="410" t="s">
        <v>9</v>
      </c>
      <c r="E244" s="410"/>
      <c r="F244" s="410"/>
      <c r="G244" s="403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303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75">
      <c r="B248" s="134"/>
      <c r="C248" s="16"/>
      <c r="D248" s="137"/>
      <c r="E248" s="138"/>
      <c r="F248" s="138"/>
      <c r="G248" s="16"/>
      <c r="H248" s="112"/>
    </row>
    <row r="249" spans="2:8" ht="15.75">
      <c r="B249" s="134"/>
      <c r="C249" s="16"/>
      <c r="D249" s="137"/>
      <c r="E249" s="138"/>
      <c r="F249" s="138"/>
      <c r="G249" s="16"/>
      <c r="H249" s="112"/>
    </row>
    <row r="250" spans="2:8" ht="15.75">
      <c r="B250" s="134"/>
      <c r="C250" s="16"/>
      <c r="D250" s="137"/>
      <c r="E250" s="138"/>
      <c r="F250" s="138"/>
      <c r="G250" s="16"/>
      <c r="H250" s="112"/>
    </row>
    <row r="251" spans="2:8" ht="15.75">
      <c r="B251" s="134"/>
      <c r="C251" s="16"/>
      <c r="D251" s="137"/>
      <c r="E251" s="138"/>
      <c r="F251" s="138"/>
      <c r="G251" s="16"/>
      <c r="H251" s="112"/>
    </row>
    <row r="252" spans="2:8" ht="15.75">
      <c r="B252" s="134"/>
      <c r="C252" s="16"/>
      <c r="D252" s="137"/>
      <c r="E252" s="138"/>
      <c r="F252" s="138"/>
      <c r="G252" s="16"/>
      <c r="H252" s="112"/>
    </row>
    <row r="253" spans="2:8" ht="15.75">
      <c r="B253" s="134"/>
      <c r="C253" s="16"/>
      <c r="D253" s="137"/>
      <c r="E253" s="138"/>
      <c r="F253" s="138"/>
      <c r="G253" s="16"/>
      <c r="H253" s="112"/>
    </row>
    <row r="254" spans="2:8" ht="15.75">
      <c r="B254" s="134"/>
      <c r="C254" s="16"/>
      <c r="D254" s="137"/>
      <c r="E254" s="138"/>
      <c r="F254" s="138"/>
      <c r="G254" s="16"/>
      <c r="H254" s="112"/>
    </row>
    <row r="255" spans="2:8" ht="15.75">
      <c r="B255" s="134"/>
      <c r="C255" s="16"/>
      <c r="D255" s="137"/>
      <c r="E255" s="138"/>
      <c r="F255" s="138"/>
      <c r="G255" s="16"/>
      <c r="H255" s="112"/>
    </row>
    <row r="256" spans="2:8" ht="15.75">
      <c r="B256" s="134"/>
      <c r="C256" s="16"/>
      <c r="D256" s="137"/>
      <c r="E256" s="138"/>
      <c r="F256" s="138"/>
      <c r="G256" s="16"/>
      <c r="H256" s="112"/>
    </row>
    <row r="257" spans="2:8" ht="15.75">
      <c r="B257" s="134"/>
      <c r="C257" s="16"/>
      <c r="D257" s="137"/>
      <c r="E257" s="138"/>
      <c r="F257" s="138"/>
      <c r="G257" s="16"/>
      <c r="H257" s="112"/>
    </row>
    <row r="258" spans="2:8" ht="15.75">
      <c r="B258" s="134"/>
      <c r="C258" s="16"/>
      <c r="D258" s="137"/>
      <c r="E258" s="138"/>
      <c r="F258" s="138"/>
      <c r="G258" s="16"/>
      <c r="H258" s="112"/>
    </row>
    <row r="259" spans="2:8" ht="16.5" thickBot="1">
      <c r="B259" s="135"/>
      <c r="C259" s="17"/>
      <c r="D259" s="135"/>
      <c r="E259" s="139"/>
      <c r="F259" s="139"/>
      <c r="G259" s="17"/>
      <c r="H259" s="112"/>
    </row>
    <row r="260" spans="2:8" ht="16.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5" thickBot="1">
      <c r="B261" s="5"/>
      <c r="C261" s="3"/>
      <c r="D261" s="5"/>
      <c r="E261" s="5"/>
      <c r="H261" s="112"/>
    </row>
    <row r="262" spans="2:8" ht="14.45" customHeight="1">
      <c r="B262" s="404" t="str">
        <f>AÑO!A33</f>
        <v>Formación</v>
      </c>
      <c r="C262" s="411"/>
      <c r="D262" s="411"/>
      <c r="E262" s="411"/>
      <c r="F262" s="411"/>
      <c r="G262" s="412"/>
      <c r="H262" s="112"/>
    </row>
    <row r="263" spans="2:8" ht="15" customHeight="1" thickBot="1">
      <c r="B263" s="413"/>
      <c r="C263" s="414"/>
      <c r="D263" s="414"/>
      <c r="E263" s="414"/>
      <c r="F263" s="414"/>
      <c r="G263" s="415"/>
      <c r="H263" s="112"/>
    </row>
    <row r="264" spans="2:8" ht="15.75">
      <c r="B264" s="402" t="s">
        <v>8</v>
      </c>
      <c r="C264" s="403"/>
      <c r="D264" s="410" t="s">
        <v>9</v>
      </c>
      <c r="E264" s="410"/>
      <c r="F264" s="410"/>
      <c r="G264" s="403"/>
      <c r="H264" s="112"/>
    </row>
    <row r="265" spans="2:8" ht="15.75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75">
      <c r="B266" s="133">
        <v>50</v>
      </c>
      <c r="C266" s="19"/>
      <c r="D266" s="137">
        <v>40</v>
      </c>
      <c r="E266" s="138"/>
      <c r="F266" s="138"/>
      <c r="G266" s="16" t="s">
        <v>293</v>
      </c>
      <c r="H266" s="112"/>
    </row>
    <row r="267" spans="2:8" ht="15.75">
      <c r="B267" s="134"/>
      <c r="C267" s="16"/>
      <c r="D267" s="137">
        <v>600</v>
      </c>
      <c r="E267" s="138"/>
      <c r="F267" s="138"/>
      <c r="G267" s="16" t="s">
        <v>304</v>
      </c>
      <c r="H267" s="112"/>
    </row>
    <row r="268" spans="2:8" ht="15.75">
      <c r="B268" s="134"/>
      <c r="C268" s="16"/>
      <c r="D268" s="137"/>
      <c r="E268" s="138"/>
      <c r="F268" s="138"/>
      <c r="G268" s="16"/>
      <c r="H268" s="112"/>
    </row>
    <row r="269" spans="2:8" ht="15.75">
      <c r="B269" s="134"/>
      <c r="C269" s="16"/>
      <c r="D269" s="137"/>
      <c r="E269" s="138"/>
      <c r="F269" s="138"/>
      <c r="G269" s="16"/>
      <c r="H269" s="112"/>
    </row>
    <row r="270" spans="2:8" ht="15.75">
      <c r="B270" s="134"/>
      <c r="C270" s="16"/>
      <c r="D270" s="137"/>
      <c r="E270" s="138"/>
      <c r="F270" s="138"/>
      <c r="G270" s="16"/>
      <c r="H270" s="112"/>
    </row>
    <row r="271" spans="2:8" ht="15.75">
      <c r="B271" s="134"/>
      <c r="C271" s="16"/>
      <c r="D271" s="137"/>
      <c r="E271" s="138"/>
      <c r="F271" s="138"/>
      <c r="G271" s="16"/>
      <c r="H271" s="112"/>
    </row>
    <row r="272" spans="2:8" ht="15.75">
      <c r="B272" s="134"/>
      <c r="C272" s="16"/>
      <c r="D272" s="137"/>
      <c r="E272" s="138"/>
      <c r="F272" s="138"/>
      <c r="G272" s="16"/>
      <c r="H272" s="112"/>
    </row>
    <row r="273" spans="2:8" ht="15.75">
      <c r="B273" s="134"/>
      <c r="C273" s="16"/>
      <c r="D273" s="137"/>
      <c r="E273" s="138"/>
      <c r="F273" s="138"/>
      <c r="G273" s="16"/>
      <c r="H273" s="112"/>
    </row>
    <row r="274" spans="2:8" ht="15.75">
      <c r="B274" s="134"/>
      <c r="C274" s="16"/>
      <c r="D274" s="137"/>
      <c r="E274" s="138"/>
      <c r="F274" s="138"/>
      <c r="G274" s="16"/>
      <c r="H274" s="112"/>
    </row>
    <row r="275" spans="2:8" ht="15.75">
      <c r="B275" s="134"/>
      <c r="C275" s="16"/>
      <c r="D275" s="137"/>
      <c r="E275" s="138"/>
      <c r="F275" s="138"/>
      <c r="G275" s="16"/>
      <c r="H275" s="112"/>
    </row>
    <row r="276" spans="2:8" ht="15.75">
      <c r="B276" s="134"/>
      <c r="C276" s="16"/>
      <c r="D276" s="137"/>
      <c r="E276" s="138"/>
      <c r="F276" s="138"/>
      <c r="G276" s="16"/>
      <c r="H276" s="112"/>
    </row>
    <row r="277" spans="2:8" ht="15.75">
      <c r="B277" s="134"/>
      <c r="C277" s="16"/>
      <c r="D277" s="137"/>
      <c r="E277" s="138"/>
      <c r="F277" s="138"/>
      <c r="G277" s="16"/>
      <c r="H277" s="112"/>
    </row>
    <row r="278" spans="2:8" ht="15.75">
      <c r="B278" s="134"/>
      <c r="C278" s="16"/>
      <c r="D278" s="137"/>
      <c r="E278" s="138"/>
      <c r="F278" s="138"/>
      <c r="G278" s="16"/>
      <c r="H278" s="112"/>
    </row>
    <row r="279" spans="2:8" ht="16.5" thickBot="1">
      <c r="B279" s="135"/>
      <c r="C279" s="17"/>
      <c r="D279" s="135"/>
      <c r="E279" s="139"/>
      <c r="F279" s="139"/>
      <c r="G279" s="17"/>
      <c r="H279" s="112"/>
    </row>
    <row r="280" spans="2:8" ht="16.5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5" thickBot="1">
      <c r="B281" s="5"/>
      <c r="C281" s="3"/>
      <c r="D281" s="5"/>
      <c r="E281" s="5"/>
      <c r="H281" s="112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  <c r="H282" s="112"/>
    </row>
    <row r="283" spans="2:8" ht="15" customHeight="1" thickBot="1">
      <c r="B283" s="413"/>
      <c r="C283" s="414"/>
      <c r="D283" s="414"/>
      <c r="E283" s="414"/>
      <c r="F283" s="414"/>
      <c r="G283" s="415"/>
      <c r="H283" s="112"/>
    </row>
    <row r="284" spans="2:8" ht="15.75">
      <c r="B284" s="402" t="s">
        <v>8</v>
      </c>
      <c r="C284" s="403"/>
      <c r="D284" s="410" t="s">
        <v>9</v>
      </c>
      <c r="E284" s="410"/>
      <c r="F284" s="410"/>
      <c r="G284" s="403"/>
      <c r="H284" s="112"/>
    </row>
    <row r="285" spans="2:8" ht="15.75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  <c r="H285" s="112"/>
    </row>
    <row r="286" spans="2:8" ht="15.75">
      <c r="B286" s="133">
        <v>90</v>
      </c>
      <c r="C286" s="19" t="s">
        <v>33</v>
      </c>
      <c r="D286" s="137">
        <v>40.98</v>
      </c>
      <c r="E286" s="138"/>
      <c r="F286" s="138"/>
      <c r="G286" s="16" t="s">
        <v>248</v>
      </c>
      <c r="H286" s="112"/>
    </row>
    <row r="287" spans="2:8" ht="15.75">
      <c r="B287" s="134">
        <v>137</v>
      </c>
      <c r="C287" s="16" t="s">
        <v>300</v>
      </c>
      <c r="D287" s="137">
        <v>11.43</v>
      </c>
      <c r="E287" s="138"/>
      <c r="F287" s="138"/>
      <c r="G287" s="16" t="s">
        <v>250</v>
      </c>
      <c r="H287" s="112"/>
    </row>
    <row r="288" spans="2:8" ht="15.75">
      <c r="B288" s="134"/>
      <c r="C288" s="16"/>
      <c r="D288" s="137">
        <v>47.4</v>
      </c>
      <c r="E288" s="138"/>
      <c r="F288" s="138"/>
      <c r="G288" s="16" t="s">
        <v>251</v>
      </c>
      <c r="H288" s="112"/>
    </row>
    <row r="289" spans="2:8" ht="15.75">
      <c r="B289" s="134"/>
      <c r="C289" s="16"/>
      <c r="D289" s="137">
        <v>50</v>
      </c>
      <c r="E289" s="138"/>
      <c r="F289" s="138"/>
      <c r="G289" s="16" t="s">
        <v>272</v>
      </c>
      <c r="H289" s="112"/>
    </row>
    <row r="290" spans="2:8" ht="15.75">
      <c r="B290" s="134"/>
      <c r="C290" s="16"/>
      <c r="D290" s="137"/>
      <c r="E290" s="138">
        <v>25</v>
      </c>
      <c r="F290" s="138"/>
      <c r="G290" s="16" t="s">
        <v>281</v>
      </c>
      <c r="H290" s="112"/>
    </row>
    <row r="291" spans="2:8" ht="15.75">
      <c r="B291" s="134"/>
      <c r="C291" s="16"/>
      <c r="D291" s="137"/>
      <c r="E291" s="138">
        <v>137</v>
      </c>
      <c r="F291" s="138"/>
      <c r="G291" s="16" t="s">
        <v>282</v>
      </c>
      <c r="H291" s="112" t="s">
        <v>280</v>
      </c>
    </row>
    <row r="292" spans="2:8" ht="15.75">
      <c r="B292" s="134"/>
      <c r="C292" s="16"/>
      <c r="D292" s="137">
        <v>21.99</v>
      </c>
      <c r="E292" s="138"/>
      <c r="F292" s="138">
        <v>2.25</v>
      </c>
      <c r="G292" s="16" t="s">
        <v>283</v>
      </c>
      <c r="H292" s="112"/>
    </row>
    <row r="293" spans="2:8" ht="15.75">
      <c r="B293" s="134"/>
      <c r="C293" s="16"/>
      <c r="D293" s="137"/>
      <c r="E293" s="138"/>
      <c r="F293" s="138"/>
      <c r="G293" s="16"/>
      <c r="H293" s="112"/>
    </row>
    <row r="294" spans="2:8" ht="15.75">
      <c r="B294" s="134"/>
      <c r="C294" s="16"/>
      <c r="D294" s="137"/>
      <c r="E294" s="138"/>
      <c r="F294" s="138"/>
      <c r="G294" s="16"/>
      <c r="H294" s="112"/>
    </row>
    <row r="295" spans="2:8" ht="15.75">
      <c r="B295" s="134"/>
      <c r="C295" s="16"/>
      <c r="D295" s="137"/>
      <c r="E295" s="138"/>
      <c r="F295" s="138"/>
      <c r="G295" s="16"/>
      <c r="H295" s="112"/>
    </row>
    <row r="296" spans="2:8" ht="15.75">
      <c r="B296" s="134"/>
      <c r="C296" s="16"/>
      <c r="D296" s="137"/>
      <c r="E296" s="138"/>
      <c r="F296" s="138"/>
      <c r="G296" s="16"/>
      <c r="H296" s="112"/>
    </row>
    <row r="297" spans="2:8" ht="15.75">
      <c r="B297" s="134"/>
      <c r="C297" s="16"/>
      <c r="D297" s="137"/>
      <c r="E297" s="138"/>
      <c r="F297" s="138"/>
      <c r="G297" s="16"/>
      <c r="H297" s="112"/>
    </row>
    <row r="298" spans="2:8" ht="15.75">
      <c r="B298" s="134"/>
      <c r="C298" s="16"/>
      <c r="D298" s="137"/>
      <c r="E298" s="138"/>
      <c r="F298" s="138"/>
      <c r="G298" s="16"/>
      <c r="H298" s="112"/>
    </row>
    <row r="299" spans="2:8" ht="16.5" thickBot="1">
      <c r="B299" s="135"/>
      <c r="C299" s="17"/>
      <c r="D299" s="135"/>
      <c r="E299" s="139"/>
      <c r="F299" s="139"/>
      <c r="G299" s="17"/>
      <c r="H299" s="112"/>
    </row>
    <row r="300" spans="2:8" ht="16.5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5" thickBot="1">
      <c r="B301" s="5"/>
      <c r="C301" s="3"/>
      <c r="D301" s="5"/>
      <c r="E301" s="5"/>
      <c r="H301" s="112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  <c r="H302" s="112"/>
    </row>
    <row r="303" spans="2:8" ht="15" customHeight="1" thickBot="1">
      <c r="B303" s="413"/>
      <c r="C303" s="414"/>
      <c r="D303" s="414"/>
      <c r="E303" s="414"/>
      <c r="F303" s="414"/>
      <c r="G303" s="415"/>
      <c r="H303" s="112"/>
    </row>
    <row r="304" spans="2:8" ht="15.75">
      <c r="B304" s="402" t="s">
        <v>8</v>
      </c>
      <c r="C304" s="403"/>
      <c r="D304" s="410" t="s">
        <v>9</v>
      </c>
      <c r="E304" s="410"/>
      <c r="F304" s="410"/>
      <c r="G304" s="403"/>
      <c r="H304" s="112"/>
    </row>
    <row r="305" spans="2:8" ht="15.75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  <c r="H305" s="112"/>
    </row>
    <row r="306" spans="2:8" ht="15.75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258</v>
      </c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5" thickBot="1">
      <c r="H321" s="112"/>
    </row>
    <row r="322" spans="2:8" ht="14.45" customHeight="1">
      <c r="B322" s="404" t="str">
        <f>AÑO!A36</f>
        <v>Nenas</v>
      </c>
      <c r="C322" s="411"/>
      <c r="D322" s="411"/>
      <c r="E322" s="411"/>
      <c r="F322" s="411"/>
      <c r="G322" s="412"/>
      <c r="H322" s="112"/>
    </row>
    <row r="323" spans="2:8" ht="15" customHeight="1" thickBot="1">
      <c r="B323" s="413"/>
      <c r="C323" s="414"/>
      <c r="D323" s="414"/>
      <c r="E323" s="414"/>
      <c r="F323" s="414"/>
      <c r="G323" s="415"/>
      <c r="H323" s="112"/>
    </row>
    <row r="324" spans="2:8" ht="15.75">
      <c r="B324" s="402" t="s">
        <v>8</v>
      </c>
      <c r="C324" s="403"/>
      <c r="D324" s="410" t="s">
        <v>9</v>
      </c>
      <c r="E324" s="410"/>
      <c r="F324" s="410"/>
      <c r="G324" s="403"/>
      <c r="H324" s="112"/>
    </row>
    <row r="325" spans="2:8" ht="15.75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  <c r="H325" s="112"/>
    </row>
    <row r="326" spans="2:8" ht="15.75">
      <c r="B326" s="133">
        <v>90</v>
      </c>
      <c r="C326" s="19"/>
      <c r="D326" s="137">
        <v>261</v>
      </c>
      <c r="E326" s="138"/>
      <c r="F326" s="138"/>
      <c r="G326" s="16" t="s">
        <v>287</v>
      </c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404" t="str">
        <f>AÑO!A37</f>
        <v>Impuestos</v>
      </c>
      <c r="C342" s="411"/>
      <c r="D342" s="411"/>
      <c r="E342" s="411"/>
      <c r="F342" s="411"/>
      <c r="G342" s="412"/>
      <c r="H342" s="112"/>
    </row>
    <row r="343" spans="2:8" ht="15" customHeight="1" thickBot="1">
      <c r="B343" s="413"/>
      <c r="C343" s="414"/>
      <c r="D343" s="414"/>
      <c r="E343" s="414"/>
      <c r="F343" s="414"/>
      <c r="G343" s="415"/>
      <c r="H343" s="112"/>
    </row>
    <row r="344" spans="2:8" ht="15.75">
      <c r="B344" s="402" t="s">
        <v>8</v>
      </c>
      <c r="C344" s="403"/>
      <c r="D344" s="410" t="s">
        <v>9</v>
      </c>
      <c r="E344" s="410"/>
      <c r="F344" s="410"/>
      <c r="G344" s="403"/>
      <c r="H344" s="112"/>
    </row>
    <row r="345" spans="2:8" ht="15.75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  <c r="H345" s="112"/>
    </row>
    <row r="346" spans="2:8" ht="15.75">
      <c r="B346" s="133">
        <v>45</v>
      </c>
      <c r="C346" s="19" t="s">
        <v>199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404" t="str">
        <f>AÑO!A38</f>
        <v>Gastos Curros</v>
      </c>
      <c r="C362" s="411"/>
      <c r="D362" s="411"/>
      <c r="E362" s="411"/>
      <c r="F362" s="411"/>
      <c r="G362" s="412"/>
      <c r="H362" s="112"/>
    </row>
    <row r="363" spans="2:8" ht="15" customHeight="1" thickBot="1">
      <c r="B363" s="413"/>
      <c r="C363" s="414"/>
      <c r="D363" s="414"/>
      <c r="E363" s="414"/>
      <c r="F363" s="414"/>
      <c r="G363" s="415"/>
      <c r="H363" s="112"/>
    </row>
    <row r="364" spans="2:8" ht="15.75">
      <c r="B364" s="402" t="s">
        <v>8</v>
      </c>
      <c r="C364" s="403"/>
      <c r="D364" s="410" t="s">
        <v>9</v>
      </c>
      <c r="E364" s="410"/>
      <c r="F364" s="410"/>
      <c r="G364" s="403"/>
      <c r="H364" s="112"/>
    </row>
    <row r="365" spans="2:8" ht="15.75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  <c r="H365" s="112"/>
    </row>
    <row r="366" spans="2:8" ht="15.75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75">
      <c r="B367" s="134"/>
      <c r="C367" s="16"/>
      <c r="D367" s="137">
        <v>3.5</v>
      </c>
      <c r="E367" s="138"/>
      <c r="F367" s="138"/>
      <c r="G367" s="31" t="s">
        <v>265</v>
      </c>
      <c r="H367" s="112"/>
    </row>
    <row r="368" spans="2:8" ht="15.75">
      <c r="B368" s="134"/>
      <c r="C368" s="16"/>
      <c r="D368" s="137">
        <v>34</v>
      </c>
      <c r="E368" s="138"/>
      <c r="F368" s="138"/>
      <c r="G368" s="16" t="s">
        <v>289</v>
      </c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404" t="str">
        <f>AÑO!A39</f>
        <v>Dreamed Holidays</v>
      </c>
      <c r="C382" s="411"/>
      <c r="D382" s="411"/>
      <c r="E382" s="411"/>
      <c r="F382" s="411"/>
      <c r="G382" s="412"/>
      <c r="H382" s="112"/>
    </row>
    <row r="383" spans="2:8" ht="15" customHeight="1" thickBot="1">
      <c r="B383" s="413"/>
      <c r="C383" s="414"/>
      <c r="D383" s="414"/>
      <c r="E383" s="414"/>
      <c r="F383" s="414"/>
      <c r="G383" s="415"/>
      <c r="H383" s="112"/>
    </row>
    <row r="384" spans="2:8" ht="15.75">
      <c r="B384" s="402" t="s">
        <v>8</v>
      </c>
      <c r="C384" s="403"/>
      <c r="D384" s="410" t="s">
        <v>9</v>
      </c>
      <c r="E384" s="410"/>
      <c r="F384" s="410"/>
      <c r="G384" s="403"/>
      <c r="H384" s="112"/>
    </row>
    <row r="385" spans="2:8" ht="15.75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75">
      <c r="B386" s="133">
        <v>20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404" t="str">
        <f>AÑO!A40</f>
        <v>Financieros</v>
      </c>
      <c r="C402" s="411"/>
      <c r="D402" s="411"/>
      <c r="E402" s="411"/>
      <c r="F402" s="411"/>
      <c r="G402" s="412"/>
      <c r="H402" s="112"/>
    </row>
    <row r="403" spans="2:8" ht="15" customHeight="1" thickBot="1">
      <c r="B403" s="413"/>
      <c r="C403" s="414"/>
      <c r="D403" s="414"/>
      <c r="E403" s="414"/>
      <c r="F403" s="414"/>
      <c r="G403" s="415"/>
      <c r="H403" s="112"/>
    </row>
    <row r="404" spans="2:8" ht="15.75">
      <c r="B404" s="402" t="s">
        <v>8</v>
      </c>
      <c r="C404" s="403"/>
      <c r="D404" s="410" t="s">
        <v>9</v>
      </c>
      <c r="E404" s="410"/>
      <c r="F404" s="410"/>
      <c r="G404" s="403"/>
      <c r="H404" s="112"/>
    </row>
    <row r="405" spans="2:8" ht="15.75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75">
      <c r="B406" s="133">
        <v>20</v>
      </c>
      <c r="C406" s="19"/>
      <c r="D406" s="137">
        <v>10</v>
      </c>
      <c r="E406" s="138"/>
      <c r="F406" s="138"/>
      <c r="G406" s="16" t="s">
        <v>246</v>
      </c>
      <c r="H406" s="112"/>
    </row>
    <row r="407" spans="2:8" ht="15.75">
      <c r="B407" s="134">
        <v>1.87</v>
      </c>
      <c r="C407" s="16" t="s">
        <v>240</v>
      </c>
      <c r="D407" s="137">
        <v>25.87</v>
      </c>
      <c r="E407" s="138"/>
      <c r="F407" s="138"/>
      <c r="G407" s="16" t="s">
        <v>273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404" t="str">
        <f>AÑO!A41</f>
        <v>Ahorros Colchón</v>
      </c>
      <c r="C422" s="405"/>
      <c r="D422" s="405"/>
      <c r="E422" s="405"/>
      <c r="F422" s="405"/>
      <c r="G422" s="406"/>
      <c r="H422" s="112"/>
    </row>
    <row r="423" spans="1:8" ht="15" customHeight="1" thickBot="1">
      <c r="B423" s="407"/>
      <c r="C423" s="408"/>
      <c r="D423" s="408"/>
      <c r="E423" s="408"/>
      <c r="F423" s="408"/>
      <c r="G423" s="409"/>
      <c r="H423" s="112"/>
    </row>
    <row r="424" spans="1:8" ht="15.75">
      <c r="B424" s="402" t="s">
        <v>8</v>
      </c>
      <c r="C424" s="403"/>
      <c r="D424" s="410" t="s">
        <v>9</v>
      </c>
      <c r="E424" s="410"/>
      <c r="F424" s="410"/>
      <c r="G424" s="403"/>
      <c r="H424" s="112"/>
    </row>
    <row r="425" spans="1:8" ht="15.75">
      <c r="A425" s="89" t="s">
        <v>220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209</v>
      </c>
    </row>
    <row r="426" spans="1:8" ht="15.75">
      <c r="A426" s="112">
        <f>3900+115.77+3.85+0.02+137+85</f>
        <v>4241.6399999999994</v>
      </c>
      <c r="B426" s="134">
        <f>AÑO!C17 -A426</f>
        <v>-550.06999999999925</v>
      </c>
      <c r="C426" s="19" t="s">
        <v>234</v>
      </c>
      <c r="D426" s="137"/>
      <c r="E426" s="138"/>
      <c r="F426" s="138"/>
      <c r="G426" s="16"/>
      <c r="H426" s="112">
        <v>5860</v>
      </c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404" t="str">
        <f>AÑO!A42</f>
        <v>Dinero Bloqueado</v>
      </c>
      <c r="C442" s="405"/>
      <c r="D442" s="405"/>
      <c r="E442" s="405"/>
      <c r="F442" s="405"/>
      <c r="G442" s="406"/>
      <c r="H442" s="112"/>
    </row>
    <row r="443" spans="2:8" ht="15" customHeight="1" thickBot="1">
      <c r="B443" s="407"/>
      <c r="C443" s="408"/>
      <c r="D443" s="408"/>
      <c r="E443" s="408"/>
      <c r="F443" s="408"/>
      <c r="G443" s="409"/>
      <c r="H443" s="112"/>
    </row>
    <row r="444" spans="2:8" ht="15.75">
      <c r="B444" s="402" t="s">
        <v>8</v>
      </c>
      <c r="C444" s="403"/>
      <c r="D444" s="410" t="s">
        <v>9</v>
      </c>
      <c r="E444" s="410"/>
      <c r="F444" s="410"/>
      <c r="G444" s="403"/>
      <c r="H444" s="112"/>
    </row>
    <row r="445" spans="2:8" ht="15.75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75">
      <c r="B446" s="133">
        <v>1.98</v>
      </c>
      <c r="C446" s="19" t="s">
        <v>241</v>
      </c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404" t="str">
        <f>AÑO!A43</f>
        <v>Cartama Finanazas</v>
      </c>
      <c r="C462" s="405"/>
      <c r="D462" s="405"/>
      <c r="E462" s="405"/>
      <c r="F462" s="405"/>
      <c r="G462" s="406"/>
      <c r="H462" s="112"/>
    </row>
    <row r="463" spans="2:8" ht="15" customHeight="1" thickBot="1">
      <c r="B463" s="407"/>
      <c r="C463" s="408"/>
      <c r="D463" s="408"/>
      <c r="E463" s="408"/>
      <c r="F463" s="408"/>
      <c r="G463" s="409"/>
      <c r="H463" s="112"/>
    </row>
    <row r="464" spans="2:8" ht="15.75">
      <c r="B464" s="402" t="s">
        <v>8</v>
      </c>
      <c r="C464" s="403"/>
      <c r="D464" s="410" t="s">
        <v>9</v>
      </c>
      <c r="E464" s="410"/>
      <c r="F464" s="410"/>
      <c r="G464" s="403"/>
      <c r="H464" s="112"/>
    </row>
    <row r="465" spans="1:8" ht="15.75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184</v>
      </c>
    </row>
    <row r="466" spans="1:8" ht="15.75">
      <c r="A466" s="112">
        <f>H466+(B466-SUM(D466:F466))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  <c r="H466" s="112">
        <v>550</v>
      </c>
    </row>
    <row r="467" spans="1:8" ht="15.75">
      <c r="A467" s="112">
        <f t="shared" ref="A467:A468" si="4">H467+(B467-SUM(D467:F467))</f>
        <v>433.02</v>
      </c>
      <c r="B467" s="134">
        <f>35+0.02</f>
        <v>35.020000000000003</v>
      </c>
      <c r="C467" s="16" t="s">
        <v>185</v>
      </c>
      <c r="D467" s="137"/>
      <c r="E467" s="138"/>
      <c r="F467" s="138"/>
      <c r="G467" s="16"/>
      <c r="H467" s="112">
        <v>398</v>
      </c>
    </row>
    <row r="468" spans="1:8" ht="15.75">
      <c r="A468" s="112">
        <f t="shared" si="4"/>
        <v>30</v>
      </c>
      <c r="B468" s="134">
        <v>15</v>
      </c>
      <c r="C468" s="16" t="s">
        <v>186</v>
      </c>
      <c r="D468" s="137"/>
      <c r="E468" s="138"/>
      <c r="F468" s="138"/>
      <c r="G468" s="16"/>
      <c r="H468" s="112">
        <v>15</v>
      </c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5" thickBot="1">
      <c r="H481" s="112"/>
    </row>
    <row r="482" spans="2:8" ht="14.45" customHeight="1">
      <c r="B482" s="404" t="str">
        <f>AÑO!A44</f>
        <v>NULO</v>
      </c>
      <c r="C482" s="405"/>
      <c r="D482" s="405"/>
      <c r="E482" s="405"/>
      <c r="F482" s="405"/>
      <c r="G482" s="406"/>
      <c r="H482" s="112"/>
    </row>
    <row r="483" spans="2:8" ht="15" customHeight="1" thickBot="1">
      <c r="B483" s="407"/>
      <c r="C483" s="408"/>
      <c r="D483" s="408"/>
      <c r="E483" s="408"/>
      <c r="F483" s="408"/>
      <c r="G483" s="409"/>
      <c r="H483" s="112"/>
    </row>
    <row r="484" spans="2:8" ht="15.75">
      <c r="B484" s="402" t="s">
        <v>8</v>
      </c>
      <c r="C484" s="403"/>
      <c r="D484" s="410" t="s">
        <v>9</v>
      </c>
      <c r="E484" s="410"/>
      <c r="F484" s="410"/>
      <c r="G484" s="403"/>
      <c r="H484" s="112"/>
    </row>
    <row r="485" spans="2:8" ht="15.75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404" t="str">
        <f>AÑO!A45</f>
        <v>OTROS</v>
      </c>
      <c r="C502" s="405"/>
      <c r="D502" s="405"/>
      <c r="E502" s="405"/>
      <c r="F502" s="405"/>
      <c r="G502" s="406"/>
      <c r="H502" s="112"/>
    </row>
    <row r="503" spans="2:8" ht="15" customHeight="1" thickBot="1">
      <c r="B503" s="407"/>
      <c r="C503" s="408"/>
      <c r="D503" s="408"/>
      <c r="E503" s="408"/>
      <c r="F503" s="408"/>
      <c r="G503" s="409"/>
      <c r="H503" s="112"/>
    </row>
    <row r="504" spans="2:8" ht="15.75">
      <c r="B504" s="402" t="s">
        <v>8</v>
      </c>
      <c r="C504" s="403"/>
      <c r="D504" s="410" t="s">
        <v>9</v>
      </c>
      <c r="E504" s="410"/>
      <c r="F504" s="410"/>
      <c r="G504" s="403"/>
      <c r="H504" s="112"/>
    </row>
    <row r="505" spans="2:8" ht="15.75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75">
      <c r="B506" s="133"/>
      <c r="C506" s="19"/>
      <c r="D506" s="137">
        <v>25.25</v>
      </c>
      <c r="E506" s="138"/>
      <c r="F506" s="138"/>
      <c r="G506" s="16" t="s">
        <v>285</v>
      </c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</mergeCells>
  <hyperlinks>
    <hyperlink ref="I22" location="Trimestre!C39:F40" display="TELÉFONO" xr:uid="{00000000-0004-0000-0100-000002000000}"/>
    <hyperlink ref="I22:L23" location="AÑO!C7:F17" display="INGRESOS" xr:uid="{00000000-0004-0000-0100-000003000000}"/>
    <hyperlink ref="I2" location="Trimestre!C39:F40" display="TELÉFONO" xr:uid="{050B82DE-15F5-41AC-9EF8-BE935715360F}"/>
    <hyperlink ref="I2:L3" location="AÑO!C4:F5" display="SALDO REAL" xr:uid="{6373CD6E-140D-4BE5-ACE5-4B346F8DA25E}"/>
    <hyperlink ref="B2" location="Trimestre!C25:F26" display="HIPOTECA" xr:uid="{2283DAEF-4EF2-4E91-9CDA-A1E08CDA5A94}"/>
    <hyperlink ref="B2:G3" location="AÑO!C20:F20" display="AÑO!C20:F20" xr:uid="{524DAB4A-0290-47C0-AD2C-16D80DF97937}"/>
    <hyperlink ref="B22" location="Trimestre!C25:F26" display="HIPOTECA" xr:uid="{D5182295-B66A-4A38-8F14-DF607DD49D95}"/>
    <hyperlink ref="B22:G23" location="AÑO!C21:F21" display="AÑO!C21:F21" xr:uid="{46F3A7A3-E326-4B4D-BDF4-0034BF49EFF3}"/>
    <hyperlink ref="B42" location="Trimestre!C25:F26" display="HIPOTECA" xr:uid="{A22DCEF4-97E4-4515-8A28-34609538A0F5}"/>
    <hyperlink ref="B42:G43" location="AÑO!C22:F22" display="AÑO!C22:F22" xr:uid="{6027B3FC-178E-469B-BF83-D68739991F11}"/>
    <hyperlink ref="B62" location="Trimestre!C25:F26" display="HIPOTECA" xr:uid="{436B641E-0561-48E5-BA4E-CA1450649830}"/>
    <hyperlink ref="B62:G63" location="AÑO!C23:F23" display="AÑO!C23:F23" xr:uid="{EF05BABF-6402-45C9-8FBF-60748A6EF59C}"/>
    <hyperlink ref="B82" location="Trimestre!C25:F26" display="HIPOTECA" xr:uid="{762FA746-0DE8-4FA4-B441-B4245AC2D8A5}"/>
    <hyperlink ref="B82:G83" location="AÑO!C24:F24" display="AÑO!C24:F24" xr:uid="{38513537-B0CA-4274-9D7F-D255B5E96E44}"/>
    <hyperlink ref="B102" location="Trimestre!C25:F26" display="HIPOTECA" xr:uid="{2459D62A-59C6-411B-B27A-72390D005F7C}"/>
    <hyperlink ref="B102:G103" location="AÑO!C25:F25" display="AÑO!C25:F25" xr:uid="{58A90BEB-2AE1-4C07-8B71-860A1614E3B8}"/>
    <hyperlink ref="B122" location="Trimestre!C25:F26" display="HIPOTECA" xr:uid="{0E19B79F-EBA8-4FE9-B9A9-F938C657BCA7}"/>
    <hyperlink ref="B122:G123" location="AÑO!C26:F26" display="AÑO!C26:F26" xr:uid="{2BB38805-8868-45DA-B903-C91ADD208EF5}"/>
    <hyperlink ref="B142" location="Trimestre!C25:F26" display="HIPOTECA" xr:uid="{214E4B32-404C-4DD7-97A3-6EBF9FF54C49}"/>
    <hyperlink ref="B142:G143" location="AÑO!C27:F27" display="AÑO!C27:F27" xr:uid="{E0735B6D-2605-4D02-A06A-93962D0F16AD}"/>
    <hyperlink ref="B162" location="Trimestre!C25:F26" display="HIPOTECA" xr:uid="{14B92464-1CC8-4D58-BB2A-2D009D1A5788}"/>
    <hyperlink ref="B162:G163" location="AÑO!C28:F28" display="AÑO!C28:F28" xr:uid="{A23749BA-EE13-47F0-AD19-6ED52CBA850F}"/>
    <hyperlink ref="B182" location="Trimestre!C25:F26" display="HIPOTECA" xr:uid="{228F7DB1-A6C2-403A-B856-010D08EAD123}"/>
    <hyperlink ref="B182:G183" location="AÑO!C29:F29" display="AÑO!C29:F29" xr:uid="{C201F255-91A9-40B4-8079-DF1A920D9D65}"/>
    <hyperlink ref="B202" location="Trimestre!C25:F26" display="HIPOTECA" xr:uid="{5726CFFA-94B9-40F8-B023-F3A544B97FA4}"/>
    <hyperlink ref="B202:G203" location="AÑO!C30:F30" display="AÑO!C30:F30" xr:uid="{893781A2-ECA7-4103-AF8B-808CF8202C6C}"/>
    <hyperlink ref="B222" location="Trimestre!C25:F26" display="HIPOTECA" xr:uid="{C2A10E3A-3B0E-4184-AE9F-79217B0F38C6}"/>
    <hyperlink ref="B222:G223" location="AÑO!C31:F31" display="AÑO!C31:F31" xr:uid="{4F75BDE7-F36C-446A-A7CF-7EF741F466D9}"/>
    <hyperlink ref="B242" location="Trimestre!C25:F26" display="HIPOTECA" xr:uid="{89D593E3-0297-4E27-86FE-448F9EA33746}"/>
    <hyperlink ref="B242:G243" location="AÑO!C32:F32" display="AÑO!C32:F32" xr:uid="{ABDA1191-7AFA-413B-9F93-3FBC5D5EB002}"/>
    <hyperlink ref="B262" location="Trimestre!C25:F26" display="HIPOTECA" xr:uid="{7A42D669-7929-41DF-95EA-CA54DB8C2C5A}"/>
    <hyperlink ref="B282" location="Trimestre!C25:F26" display="HIPOTECA" xr:uid="{396CEEBA-22DF-4EDF-8ED6-35565CE55730}"/>
    <hyperlink ref="B282:G283" location="AÑO!C34:F34" display="AÑO!C34:F34" xr:uid="{3CDCE30D-B457-4BC8-B0DE-A76222E6662B}"/>
    <hyperlink ref="B302" location="Trimestre!C25:F26" display="HIPOTECA" xr:uid="{49E00B59-1C0F-41C7-B726-A966C55C9FD6}"/>
    <hyperlink ref="B302:G303" location="AÑO!C35:F35" display="AÑO!C35:F35" xr:uid="{9B266850-4DE1-427F-B103-633A293BD825}"/>
    <hyperlink ref="B322" location="Trimestre!C25:F26" display="HIPOTECA" xr:uid="{C33FA24E-1C96-4DF8-B63F-C8E6ECB712B3}"/>
    <hyperlink ref="B322:G323" location="AÑO!C36:F36" display="AÑO!C36:F36" xr:uid="{97088344-66CF-4D2A-99D0-54CAA416CB76}"/>
    <hyperlink ref="B342" location="Trimestre!C25:F26" display="HIPOTECA" xr:uid="{4198071C-9384-4E74-AA53-67B1EFFA4B70}"/>
    <hyperlink ref="B342:G343" location="AÑO!C37:F37" display="AÑO!C37:F37" xr:uid="{F5227E44-DADD-49D2-8379-CD38A8EB7DED}"/>
    <hyperlink ref="B362" location="Trimestre!C25:F26" display="HIPOTECA" xr:uid="{650403B1-C089-4CA3-B4D9-72420041259B}"/>
    <hyperlink ref="B362:G363" location="AÑO!C38:F38" display="AÑO!C38:F38" xr:uid="{F2516C1F-F9E4-4D39-9166-E6D74C58161D}"/>
    <hyperlink ref="B382" location="Trimestre!C25:F26" display="HIPOTECA" xr:uid="{09D9559D-0B36-47C3-8AD1-3285C2D20943}"/>
    <hyperlink ref="B382:G383" location="AÑO!C39:F39" display="AÑO!C39:F39" xr:uid="{A9579FF8-0AB6-4304-9724-2CA3A1AD0A65}"/>
    <hyperlink ref="B402" location="Trimestre!C25:F26" display="HIPOTECA" xr:uid="{D20F3C0A-CC8E-4A2D-91EE-EC349DB5FC6F}"/>
    <hyperlink ref="B402:G403" location="AÑO!C40:F40" display="AÑO!C40:F40" xr:uid="{B92D11BD-75B3-4CAD-8408-6A691639FA37}"/>
    <hyperlink ref="B422" location="Trimestre!C25:F26" display="HIPOTECA" xr:uid="{2DBD446A-BE5F-4111-9893-0D85A898DA24}"/>
    <hyperlink ref="B422:G423" location="AÑO!C41:F41" display="AÑO!C41:F41" xr:uid="{DE3B47D3-5DEE-4EAC-BD78-767D58243025}"/>
    <hyperlink ref="B442" location="Trimestre!C25:F26" display="HIPOTECA" xr:uid="{E36ADAE2-BC48-43CD-A4EC-F1FCEDCDEBA0}"/>
    <hyperlink ref="B442:G443" location="AÑO!C42:F42" display="AÑO!C42:F42" xr:uid="{38C92EB3-E194-4F61-B6A8-5ED23D4B8F46}"/>
    <hyperlink ref="B462" location="Trimestre!C25:F26" display="HIPOTECA" xr:uid="{296555CA-AF48-47C3-B053-5C5399E78003}"/>
    <hyperlink ref="B462:G463" location="AÑO!C43:F43" display="AÑO!C43:F43" xr:uid="{AE72913F-C3EB-4FF7-BFEF-4E791B72148C}"/>
    <hyperlink ref="B482" location="Trimestre!C25:F26" display="HIPOTECA" xr:uid="{816E10C4-CF98-49B0-ABAA-478E129CB501}"/>
    <hyperlink ref="B482:G483" location="AÑO!C44:F44" display="AÑO!C44:F44" xr:uid="{C00398B7-6C16-483B-9D19-D08E4934EC4B}"/>
    <hyperlink ref="B502" location="Trimestre!C25:F26" display="HIPOTECA" xr:uid="{A128D826-1628-4ABE-B5E4-33CC84554D0A}"/>
    <hyperlink ref="B502:G503" location="AÑO!C45:F45" display="AÑO!C45:F45" xr:uid="{F46284EE-378D-4B77-A471-DF6324A2A8DC}"/>
    <hyperlink ref="B262:G263" location="AÑO!C33:F33" display="AÑO!C33:F33" xr:uid="{6809DACA-E617-4307-A67C-EE432833B97E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5" zoomScaleNormal="100" workbookViewId="0">
      <selection activeCell="J25" sqref="J25:K25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 Gastos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10" t="s">
        <v>9</v>
      </c>
      <c r="E4" s="410"/>
      <c r="F4" s="410"/>
      <c r="G4" s="403"/>
      <c r="H4" s="222"/>
      <c r="I4" s="40" t="s">
        <v>57</v>
      </c>
      <c r="J4" s="105" t="s">
        <v>58</v>
      </c>
      <c r="K4" s="430" t="s">
        <v>59</v>
      </c>
      <c r="L4" s="43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2">
        <f>2397.48-4.45</f>
        <v>2393.0300000000002</v>
      </c>
      <c r="L5" s="433"/>
      <c r="M5" s="1"/>
      <c r="N5" s="1"/>
      <c r="R5" s="3"/>
    </row>
    <row r="6" spans="1:22" ht="15.75">
      <c r="A6" s="112">
        <f>'01'!A6+(B6-SUM(D6:F6))</f>
        <v>6</v>
      </c>
      <c r="B6" s="133">
        <v>262.38</v>
      </c>
      <c r="C6" s="19" t="s">
        <v>181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416">
        <v>620.08000000000004</v>
      </c>
      <c r="L6" s="417"/>
      <c r="M6" s="1" t="s">
        <v>165</v>
      </c>
      <c r="N6" s="1"/>
      <c r="R6" s="3"/>
    </row>
    <row r="7" spans="1:22" ht="15.75">
      <c r="A7" s="112">
        <f>'01'!A7+(B7-SUM(D7:F7))</f>
        <v>579.63999999999987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6">
        <f>7340.23-4.45</f>
        <v>7335.78</v>
      </c>
      <c r="L7" s="417"/>
      <c r="M7" s="1"/>
      <c r="N7" s="1"/>
      <c r="R7" s="3"/>
    </row>
    <row r="8" spans="1:22" ht="15.75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416">
        <v>7001.87</v>
      </c>
      <c r="L8" s="417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6">
        <v>669.52</v>
      </c>
      <c r="L9" s="417"/>
      <c r="M9" s="1"/>
      <c r="N9" s="1"/>
      <c r="R9" s="3"/>
    </row>
    <row r="10" spans="1:22" ht="15.75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6">
        <v>1802.02</v>
      </c>
      <c r="L10" s="417"/>
      <c r="M10" s="1" t="s">
        <v>156</v>
      </c>
      <c r="N10" s="1"/>
      <c r="R10" s="3"/>
    </row>
    <row r="11" spans="1:22" ht="15.75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6">
        <f>160+155</f>
        <v>315</v>
      </c>
      <c r="L11" s="417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6">
        <v>5092.08</v>
      </c>
      <c r="L12" s="417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8">
        <f>SUM(K5:K18)</f>
        <v>25229.379999999997</v>
      </c>
      <c r="L19" s="419"/>
      <c r="M19" s="1"/>
      <c r="N19" s="1"/>
      <c r="R19" s="3"/>
    </row>
    <row r="20" spans="1:18" ht="16.5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10" t="s">
        <v>9</v>
      </c>
      <c r="E24" s="410"/>
      <c r="F24" s="410"/>
      <c r="G24" s="403"/>
      <c r="H24" s="1"/>
      <c r="I24" s="40" t="s">
        <v>31</v>
      </c>
      <c r="J24" s="435" t="s">
        <v>87</v>
      </c>
      <c r="K24" s="436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1" t="str">
        <f>AÑO!A8</f>
        <v>Manolo Salario</v>
      </c>
      <c r="J25" s="424" t="s">
        <v>402</v>
      </c>
      <c r="K25" s="425"/>
      <c r="L25" s="198">
        <v>2592.42</v>
      </c>
      <c r="M25" s="1"/>
      <c r="R25" s="3"/>
    </row>
    <row r="26" spans="1:18" ht="15.75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2"/>
      <c r="J26" s="426"/>
      <c r="K26" s="427"/>
      <c r="L26" s="199"/>
      <c r="M26" s="1"/>
      <c r="R26" s="3"/>
    </row>
    <row r="27" spans="1:18" ht="15.75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422"/>
      <c r="J27" s="426"/>
      <c r="K27" s="427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2"/>
      <c r="J28" s="426"/>
      <c r="K28" s="427"/>
      <c r="L28" s="199"/>
      <c r="M28" s="1"/>
      <c r="R28" s="3"/>
    </row>
    <row r="29" spans="1:18" ht="15.75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3"/>
      <c r="J29" s="428"/>
      <c r="K29" s="429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314</v>
      </c>
      <c r="K30" s="425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 t="s">
        <v>319</v>
      </c>
      <c r="K31" s="427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 t="s">
        <v>328</v>
      </c>
      <c r="K32" s="427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 t="s">
        <v>314</v>
      </c>
      <c r="K33" s="427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218</v>
      </c>
      <c r="J35" s="424" t="s">
        <v>359</v>
      </c>
      <c r="K35" s="425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01"/>
      <c r="M39" s="1"/>
      <c r="R39" s="3"/>
    </row>
    <row r="40" spans="1:18" ht="16.5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1" t="str">
        <f>AÑO!A11</f>
        <v>Finanazas</v>
      </c>
      <c r="J40" s="424"/>
      <c r="K40" s="42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199"/>
      <c r="M41" s="1"/>
      <c r="R41" s="3"/>
    </row>
    <row r="42" spans="1:18" ht="15.6" customHeight="1">
      <c r="A42" s="1"/>
      <c r="B42" s="404" t="str">
        <f>AÑO!A22</f>
        <v>Comida+Limpieza</v>
      </c>
      <c r="C42" s="411"/>
      <c r="D42" s="411"/>
      <c r="E42" s="411"/>
      <c r="F42" s="411"/>
      <c r="G42" s="412"/>
      <c r="H42" s="1"/>
      <c r="I42" s="422"/>
      <c r="J42" s="426"/>
      <c r="K42" s="427"/>
      <c r="L42" s="19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199"/>
      <c r="M43" s="1"/>
      <c r="R43" s="3"/>
    </row>
    <row r="44" spans="1:18" ht="15.75">
      <c r="A44" s="1"/>
      <c r="B44" s="402" t="s">
        <v>8</v>
      </c>
      <c r="C44" s="403"/>
      <c r="D44" s="410" t="s">
        <v>9</v>
      </c>
      <c r="E44" s="410"/>
      <c r="F44" s="410"/>
      <c r="G44" s="403"/>
      <c r="H44" s="1"/>
      <c r="I44" s="423"/>
      <c r="J44" s="428"/>
      <c r="K44" s="429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1" t="str">
        <f>AÑO!A12</f>
        <v>Regalos</v>
      </c>
      <c r="J45" s="424" t="s">
        <v>160</v>
      </c>
      <c r="K45" s="425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307</v>
      </c>
      <c r="H46" s="1"/>
      <c r="I46" s="422"/>
      <c r="J46" s="426"/>
      <c r="K46" s="427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308</v>
      </c>
      <c r="H47" s="1"/>
      <c r="I47" s="422"/>
      <c r="J47" s="426"/>
      <c r="K47" s="427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312</v>
      </c>
      <c r="H48" s="1"/>
      <c r="I48" s="422"/>
      <c r="J48" s="426"/>
      <c r="K48" s="427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313</v>
      </c>
      <c r="H49" s="1"/>
      <c r="I49" s="423"/>
      <c r="J49" s="428"/>
      <c r="K49" s="429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324</v>
      </c>
      <c r="H50" s="1"/>
      <c r="I50" s="421" t="str">
        <f>AÑO!A13</f>
        <v>Gubernamental</v>
      </c>
      <c r="J50" s="424" t="s">
        <v>259</v>
      </c>
      <c r="K50" s="425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331</v>
      </c>
      <c r="H51" s="1"/>
      <c r="I51" s="422"/>
      <c r="J51" s="426"/>
      <c r="K51" s="427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332</v>
      </c>
      <c r="H52" s="1"/>
      <c r="I52" s="422"/>
      <c r="J52" s="426"/>
      <c r="K52" s="427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345</v>
      </c>
      <c r="H53" s="1"/>
      <c r="I53" s="422"/>
      <c r="J53" s="426"/>
      <c r="K53" s="427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349</v>
      </c>
      <c r="H54" s="1"/>
      <c r="I54" s="423"/>
      <c r="J54" s="428"/>
      <c r="K54" s="429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350</v>
      </c>
      <c r="H55" s="1"/>
      <c r="I55" s="421" t="str">
        <f>AÑO!A14</f>
        <v>Mutualite/DKV</v>
      </c>
      <c r="J55" s="424"/>
      <c r="K55" s="425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421" t="str">
        <f>AÑO!A15</f>
        <v>Alquiler Cartama</v>
      </c>
      <c r="J60" s="424" t="s">
        <v>315</v>
      </c>
      <c r="K60" s="425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19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19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199"/>
      <c r="M63" s="1"/>
      <c r="R63" s="3"/>
    </row>
    <row r="64" spans="1:18" ht="15.75">
      <c r="A64" s="1"/>
      <c r="B64" s="402" t="s">
        <v>8</v>
      </c>
      <c r="C64" s="403"/>
      <c r="D64" s="410" t="s">
        <v>9</v>
      </c>
      <c r="E64" s="410"/>
      <c r="F64" s="410"/>
      <c r="G64" s="403"/>
      <c r="H64" s="1"/>
      <c r="I64" s="423"/>
      <c r="J64" s="428"/>
      <c r="K64" s="429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1" t="str">
        <f>AÑO!A16</f>
        <v>Otros</v>
      </c>
      <c r="J65" s="424"/>
      <c r="K65" s="425"/>
      <c r="L65" s="198"/>
      <c r="M65" s="1"/>
      <c r="R65" s="3"/>
    </row>
    <row r="66" spans="1:18" ht="15.75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320</v>
      </c>
      <c r="H66" s="1"/>
      <c r="I66" s="422"/>
      <c r="J66" s="426"/>
      <c r="K66" s="427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334</v>
      </c>
      <c r="H67" s="1"/>
      <c r="I67" s="422"/>
      <c r="J67" s="426"/>
      <c r="K67" s="427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336</v>
      </c>
      <c r="H68" s="1"/>
      <c r="I68" s="422"/>
      <c r="J68" s="426"/>
      <c r="K68" s="427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341</v>
      </c>
      <c r="H69" s="1"/>
      <c r="I69" s="437"/>
      <c r="J69" s="438"/>
      <c r="K69" s="439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353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40</v>
      </c>
      <c r="B79" s="233">
        <v>20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10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48.45</v>
      </c>
      <c r="E86" s="138"/>
      <c r="F86" s="138"/>
      <c r="G86" s="16" t="s">
        <v>329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344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343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357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10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10" t="s">
        <v>9</v>
      </c>
      <c r="E124" s="410"/>
      <c r="F124" s="410"/>
      <c r="G124" s="40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10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43.29-10.82</f>
        <v>32.47</v>
      </c>
      <c r="E146" s="138"/>
      <c r="F146" s="138"/>
      <c r="G146" s="16" t="s">
        <v>308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327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340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10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'01'!A166+(B166-SUM(D166:F172))</f>
        <v>627.65000000000009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'01'!A173+(B173-SUM(D173:F179))</f>
        <v>-80.509999999999991</v>
      </c>
      <c r="B173" s="134">
        <v>600.04</v>
      </c>
      <c r="C173" s="16" t="s">
        <v>160</v>
      </c>
      <c r="D173" s="137">
        <v>225.14</v>
      </c>
      <c r="E173" s="138"/>
      <c r="F173" s="138"/>
      <c r="G173" s="16" t="s">
        <v>316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>
        <v>455.41</v>
      </c>
      <c r="F174" s="138"/>
      <c r="G174" s="16" t="s">
        <v>330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627.65000000000009</v>
      </c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10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</v>
      </c>
      <c r="E186" s="138"/>
      <c r="F186" s="138"/>
      <c r="G186" s="16" t="s">
        <v>322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10" t="s">
        <v>9</v>
      </c>
      <c r="E204" s="410"/>
      <c r="F204" s="410"/>
      <c r="G204" s="40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10" t="s">
        <v>9</v>
      </c>
      <c r="E224" s="410"/>
      <c r="F224" s="410"/>
      <c r="G224" s="40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350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2:7" ht="15" customHeight="1" thickBot="1">
      <c r="B243" s="413"/>
      <c r="C243" s="414"/>
      <c r="D243" s="414"/>
      <c r="E243" s="414"/>
      <c r="F243" s="414"/>
      <c r="G243" s="415"/>
    </row>
    <row r="244" spans="2:7" ht="15" customHeight="1">
      <c r="B244" s="402" t="s">
        <v>8</v>
      </c>
      <c r="C244" s="403"/>
      <c r="D244" s="410" t="s">
        <v>9</v>
      </c>
      <c r="E244" s="410"/>
      <c r="F244" s="410"/>
      <c r="G244" s="40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350</v>
      </c>
    </row>
    <row r="247" spans="2:7" ht="15" customHeight="1">
      <c r="B247" s="134">
        <v>40</v>
      </c>
      <c r="C247" s="16" t="s">
        <v>361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2:7" ht="15" customHeight="1" thickBot="1">
      <c r="B263" s="413"/>
      <c r="C263" s="414"/>
      <c r="D263" s="414"/>
      <c r="E263" s="414"/>
      <c r="F263" s="414"/>
      <c r="G263" s="415"/>
    </row>
    <row r="264" spans="2:7">
      <c r="B264" s="402" t="s">
        <v>8</v>
      </c>
      <c r="C264" s="403"/>
      <c r="D264" s="410" t="s">
        <v>9</v>
      </c>
      <c r="E264" s="410"/>
      <c r="F264" s="410"/>
      <c r="G264" s="40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317</v>
      </c>
    </row>
    <row r="267" spans="2:7">
      <c r="B267" s="134"/>
      <c r="C267" s="16"/>
      <c r="D267" s="137">
        <v>10.45</v>
      </c>
      <c r="E267" s="138"/>
      <c r="F267" s="138"/>
      <c r="G267" s="16" t="s">
        <v>321</v>
      </c>
    </row>
    <row r="268" spans="2:7">
      <c r="B268" s="134"/>
      <c r="C268" s="16"/>
      <c r="D268" s="137"/>
      <c r="E268" s="138">
        <v>57.96</v>
      </c>
      <c r="F268" s="138"/>
      <c r="G268" s="16" t="s">
        <v>347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10" t="s">
        <v>9</v>
      </c>
      <c r="E284" s="410"/>
      <c r="F284" s="410"/>
      <c r="G284" s="40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10" t="s">
        <v>9</v>
      </c>
      <c r="E304" s="410"/>
      <c r="F304" s="410"/>
      <c r="G304" s="40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13.6</v>
      </c>
      <c r="E306" s="138"/>
      <c r="F306" s="138"/>
      <c r="G306" s="16" t="s">
        <v>333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346</v>
      </c>
    </row>
    <row r="308" spans="2:7">
      <c r="B308" s="134">
        <v>61.11</v>
      </c>
      <c r="C308" s="27" t="s">
        <v>360</v>
      </c>
      <c r="D308" s="137">
        <v>11.12</v>
      </c>
      <c r="E308" s="138"/>
      <c r="F308" s="138"/>
      <c r="G308" s="16" t="s">
        <v>351</v>
      </c>
    </row>
    <row r="309" spans="2:7">
      <c r="B309" s="134"/>
      <c r="C309" s="16"/>
      <c r="D309" s="137">
        <v>6</v>
      </c>
      <c r="E309" s="138"/>
      <c r="F309" s="138"/>
      <c r="G309" s="16" t="s">
        <v>350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.75" thickBot="1"/>
    <row r="322" spans="2:7" ht="14.45" customHeight="1">
      <c r="B322" s="404" t="str">
        <f>AÑO!A36</f>
        <v>Nenas</v>
      </c>
      <c r="C322" s="411"/>
      <c r="D322" s="411"/>
      <c r="E322" s="411"/>
      <c r="F322" s="411"/>
      <c r="G322" s="412"/>
    </row>
    <row r="323" spans="2:7" ht="15" customHeight="1" thickBot="1">
      <c r="B323" s="413"/>
      <c r="C323" s="414"/>
      <c r="D323" s="414"/>
      <c r="E323" s="414"/>
      <c r="F323" s="414"/>
      <c r="G323" s="415"/>
    </row>
    <row r="324" spans="2:7">
      <c r="B324" s="402" t="s">
        <v>8</v>
      </c>
      <c r="C324" s="403"/>
      <c r="D324" s="410" t="s">
        <v>9</v>
      </c>
      <c r="E324" s="410"/>
      <c r="F324" s="410"/>
      <c r="G324" s="40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331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4" t="str">
        <f>AÑO!A37</f>
        <v>Impuestos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10" t="s">
        <v>9</v>
      </c>
      <c r="E344" s="410"/>
      <c r="F344" s="410"/>
      <c r="G344" s="40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285.64999999999998</v>
      </c>
      <c r="E346" s="138"/>
      <c r="F346" s="138"/>
      <c r="G346" s="16" t="s">
        <v>318</v>
      </c>
    </row>
    <row r="347" spans="2:7">
      <c r="B347" s="134"/>
      <c r="C347" s="16"/>
      <c r="D347" s="137"/>
      <c r="E347" s="138"/>
      <c r="F347" s="138">
        <v>30</v>
      </c>
      <c r="G347" s="16" t="s">
        <v>342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10" t="s">
        <v>9</v>
      </c>
      <c r="E364" s="410"/>
      <c r="F364" s="410"/>
      <c r="G364" s="40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327</v>
      </c>
    </row>
    <row r="368" spans="2:7">
      <c r="B368" s="134"/>
      <c r="C368" s="16"/>
      <c r="D368" s="137">
        <v>60</v>
      </c>
      <c r="E368" s="138"/>
      <c r="F368" s="138"/>
      <c r="G368" s="16" t="s">
        <v>335</v>
      </c>
    </row>
    <row r="369" spans="2:7">
      <c r="B369" s="134"/>
      <c r="C369" s="16"/>
      <c r="D369" s="137">
        <v>26.58</v>
      </c>
      <c r="E369" s="138"/>
      <c r="F369" s="138"/>
      <c r="G369" s="16" t="s">
        <v>339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11"/>
      <c r="D382" s="411"/>
      <c r="E382" s="411"/>
      <c r="F382" s="411"/>
      <c r="G382" s="412"/>
    </row>
    <row r="383" spans="2:7" ht="15" customHeight="1" thickBot="1">
      <c r="B383" s="413"/>
      <c r="C383" s="414"/>
      <c r="D383" s="414"/>
      <c r="E383" s="414"/>
      <c r="F383" s="414"/>
      <c r="G383" s="415"/>
    </row>
    <row r="384" spans="2:7">
      <c r="B384" s="402" t="s">
        <v>8</v>
      </c>
      <c r="C384" s="403"/>
      <c r="D384" s="410" t="s">
        <v>9</v>
      </c>
      <c r="E384" s="410"/>
      <c r="F384" s="410"/>
      <c r="G384" s="40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10" t="s">
        <v>9</v>
      </c>
      <c r="E404" s="410"/>
      <c r="F404" s="410"/>
      <c r="G404" s="40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273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</row>
    <row r="422" spans="1:8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8" ht="15" customHeight="1" thickBot="1">
      <c r="B423" s="407"/>
      <c r="C423" s="408"/>
      <c r="D423" s="408"/>
      <c r="E423" s="408"/>
      <c r="F423" s="408"/>
      <c r="G423" s="409"/>
    </row>
    <row r="424" spans="1:8">
      <c r="B424" s="402" t="s">
        <v>8</v>
      </c>
      <c r="C424" s="403"/>
      <c r="D424" s="410" t="s">
        <v>9</v>
      </c>
      <c r="E424" s="410"/>
      <c r="F424" s="410"/>
      <c r="G424" s="403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356</v>
      </c>
    </row>
    <row r="426" spans="1:8" ht="15.75">
      <c r="A426" s="112">
        <v>3900</v>
      </c>
      <c r="B426" s="134">
        <f>A425-SUM(A426:A439)</f>
        <v>120.06999999999971</v>
      </c>
      <c r="C426" s="19" t="s">
        <v>234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Cartama Finanazas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'01'!A467+(B467-SUM(D467:F467))</f>
        <v>150.22999999999996</v>
      </c>
      <c r="B467" s="134">
        <f>399.59-B6+50+30</f>
        <v>217.20999999999998</v>
      </c>
      <c r="C467" s="16" t="s">
        <v>185</v>
      </c>
      <c r="D467" s="137"/>
      <c r="E467" s="138">
        <v>500</v>
      </c>
      <c r="F467" s="138"/>
      <c r="G467" s="16" t="s">
        <v>309</v>
      </c>
    </row>
    <row r="468" spans="1:7" ht="15.75">
      <c r="A468" s="112">
        <f>'01'!A468+(B468-SUM(D468:F468))</f>
        <v>50.21</v>
      </c>
      <c r="B468" s="134">
        <f>10+10.21</f>
        <v>20.21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10" t="s">
        <v>9</v>
      </c>
      <c r="E504" s="410"/>
      <c r="F504" s="410"/>
      <c r="G504" s="40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358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2" location="Trimestre!C39:F40" display="TELÉFONO" xr:uid="{B9F213BE-BD90-4BEC-A179-BC21E5036F5F}"/>
    <hyperlink ref="I22:L23" location="AÑO!G7:J17" display="INGRESOS" xr:uid="{C487B20A-5CB5-47A4-8EED-94E44227D220}"/>
    <hyperlink ref="I2" location="Trimestre!C39:F40" display="TELÉFONO" xr:uid="{CCE71FD3-DA95-43E0-AFC1-CE0732278879}"/>
    <hyperlink ref="I2:L3" location="AÑO!G4:J5" display="SALDO REAL" xr:uid="{097F258A-060E-4F18-AA9C-6C7E9ADB1147}"/>
    <hyperlink ref="B2" location="Trimestre!C25:F26" display="HIPOTECA" xr:uid="{E756625A-B84A-4B6E-AAFA-E5E1C94615FA}"/>
    <hyperlink ref="B2:G3" location="AÑO!G20:J20" display="AÑO!G20:J20" xr:uid="{E001805E-34EB-4366-8677-68006CCA2F8B}"/>
    <hyperlink ref="B22" location="Trimestre!C25:F26" display="HIPOTECA" xr:uid="{6A8FDD0F-6F15-4457-B656-B70F35335A04}"/>
    <hyperlink ref="B22:G23" location="AÑO!G21:J21" display="AÑO!G21:J21" xr:uid="{787CFBDE-F1E9-4593-9AAB-B6A91CD2E5D0}"/>
    <hyperlink ref="B42" location="Trimestre!C25:F26" display="HIPOTECA" xr:uid="{459FC909-F1F4-43D0-AD07-32825887D792}"/>
    <hyperlink ref="B42:G43" location="AÑO!G22:J22" display="AÑO!G22:J22" xr:uid="{067EA262-665B-4D9D-BCF8-19DE74E9D7B3}"/>
    <hyperlink ref="B62" location="Trimestre!C25:F26" display="HIPOTECA" xr:uid="{21DABE22-8499-4053-9F05-EEF850C32E33}"/>
    <hyperlink ref="B62:G63" location="AÑO!G23:J23" display="AÑO!G23:J23" xr:uid="{13E6F2F1-B25D-4E74-A667-D4F7654873F2}"/>
    <hyperlink ref="B82" location="Trimestre!C25:F26" display="HIPOTECA" xr:uid="{804A1CEF-01F7-46B9-8709-EFE601064135}"/>
    <hyperlink ref="B82:G83" location="AÑO!G24:J24" display="AÑO!G24:J24" xr:uid="{17B036FC-3DA5-4223-B963-A665AEB61296}"/>
    <hyperlink ref="B102" location="Trimestre!C25:F26" display="HIPOTECA" xr:uid="{A7339046-AC02-4735-9CF7-8EFAD91944E3}"/>
    <hyperlink ref="B102:G103" location="AÑO!G25:J25" display="AÑO!G25:J25" xr:uid="{A82C312E-F257-4B08-8D32-3F71AE54A665}"/>
    <hyperlink ref="B122" location="Trimestre!C25:F26" display="HIPOTECA" xr:uid="{6DA6CBFE-4A7E-473A-9749-41750839A46F}"/>
    <hyperlink ref="B122:G123" location="AÑO!G26:J26" display="AÑO!G26:J26" xr:uid="{F7093E40-C28E-4E2A-92C1-4598EEF44461}"/>
    <hyperlink ref="B142" location="Trimestre!C25:F26" display="HIPOTECA" xr:uid="{2588BCDF-E0FE-4CC4-963A-D21E6E7C3BA4}"/>
    <hyperlink ref="B142:G143" location="AÑO!G27:J27" display="AÑO!G27:J27" xr:uid="{68DA7793-9A6D-4CD6-969F-1BD130765161}"/>
    <hyperlink ref="B162" location="Trimestre!C25:F26" display="HIPOTECA" xr:uid="{FB2EF874-56D0-4E6C-BAA5-7E4A8641F3C2}"/>
    <hyperlink ref="B162:G163" location="AÑO!G28:J28" display="AÑO!G28:J28" xr:uid="{E2228C12-7D03-477C-A6AC-5C19558487A1}"/>
    <hyperlink ref="B182" location="Trimestre!C25:F26" display="HIPOTECA" xr:uid="{39B83936-E047-4FA9-B2D7-237ABAFA4F8A}"/>
    <hyperlink ref="B182:G183" location="AÑO!G29:J29" display="AÑO!G29:J29" xr:uid="{97121238-449F-41FC-B2DF-3867E093FA7E}"/>
    <hyperlink ref="B202" location="Trimestre!C25:F26" display="HIPOTECA" xr:uid="{896FD8F8-59F4-4919-9DDF-8115B500F3C9}"/>
    <hyperlink ref="B202:G203" location="AÑO!G30:J30" display="AÑO!G30:J30" xr:uid="{0F648F02-94AF-4E5B-86EB-72621EDD5483}"/>
    <hyperlink ref="B222" location="Trimestre!C25:F26" display="HIPOTECA" xr:uid="{D349B841-3F29-49EE-A2E7-77D423B2573B}"/>
    <hyperlink ref="B222:G223" location="AÑO!G31:J31" display="AÑO!G31:J31" xr:uid="{7B7F69BF-EEBC-44CD-8ADF-D6CA34D73717}"/>
    <hyperlink ref="B242" location="Trimestre!C25:F26" display="HIPOTECA" xr:uid="{F3A6EB74-63CE-486D-BA7A-781682797B47}"/>
    <hyperlink ref="B242:G243" location="AÑO!G32:J32" display="AÑO!G32:J32" xr:uid="{877B9CAA-FAEB-4B5F-81EB-CB754BBD3F68}"/>
    <hyperlink ref="B262" location="Trimestre!C25:F26" display="HIPOTECA" xr:uid="{36987A94-F79F-462F-893B-25DA4E84C84C}"/>
    <hyperlink ref="B262:G263" location="AÑO!G33:J33" display="AÑO!G33:J33" xr:uid="{C18E2BCE-61B0-436B-94D4-B03E2DACCA2A}"/>
    <hyperlink ref="B282" location="Trimestre!C25:F26" display="HIPOTECA" xr:uid="{641D8E19-8028-4FD5-8C52-EF52F667690F}"/>
    <hyperlink ref="B282:G283" location="AÑO!G34:J34" display="AÑO!G34:J34" xr:uid="{B6F924AE-1E97-40D3-8E70-FA5D93BAE681}"/>
    <hyperlink ref="B302" location="Trimestre!C25:F26" display="HIPOTECA" xr:uid="{80D50722-472C-4C64-8592-A3C23A753667}"/>
    <hyperlink ref="B302:G303" location="AÑO!G35:J35" display="AÑO!G35:J35" xr:uid="{4920106B-85B2-4E49-8F86-8118CC9191C0}"/>
    <hyperlink ref="B322" location="Trimestre!C25:F26" display="HIPOTECA" xr:uid="{D9CDF0BB-4AF9-461C-93F9-C91B2A36C914}"/>
    <hyperlink ref="B322:G323" location="AÑO!G36:J36" display="AÑO!G36:J36" xr:uid="{331E1E22-001E-48E9-95DD-C3470FBE5CE4}"/>
    <hyperlink ref="B342" location="Trimestre!C25:F26" display="HIPOTECA" xr:uid="{BD2F91FC-BD3E-4B78-8A04-1DBA34E89BE7}"/>
    <hyperlink ref="B342:G343" location="AÑO!G37:J37" display="AÑO!G37:J37" xr:uid="{C2832C2A-22ED-420D-BC7A-A3475C28EEFC}"/>
    <hyperlink ref="B362" location="Trimestre!C25:F26" display="HIPOTECA" xr:uid="{4E311625-4D07-4101-A483-0502B0A5C115}"/>
    <hyperlink ref="B362:G363" location="AÑO!G38:J38" display="AÑO!G38:J38" xr:uid="{136BC603-9277-48F7-8869-77CA766F030A}"/>
    <hyperlink ref="B382" location="Trimestre!C25:F26" display="HIPOTECA" xr:uid="{7F44F4CE-E8C2-4793-AD11-56CEAC8B8AD9}"/>
    <hyperlink ref="B382:G383" location="AÑO!G39:J39" display="AÑO!G39:J39" xr:uid="{B3AE040C-D127-4F3B-BF69-ABB57D521461}"/>
    <hyperlink ref="B402" location="Trimestre!C25:F26" display="HIPOTECA" xr:uid="{46F12E55-F99A-40F5-95A3-DFF8D6A3A7F6}"/>
    <hyperlink ref="B402:G403" location="AÑO!G40:J40" display="AÑO!G40:J40" xr:uid="{2F0B1FB2-CF5A-4675-AD3D-960726CECB4B}"/>
    <hyperlink ref="B422" location="Trimestre!C25:F26" display="HIPOTECA" xr:uid="{E3DDAD0B-9255-4527-8234-DCF38475D781}"/>
    <hyperlink ref="B422:G423" location="AÑO!G41:J41" display="AÑO!G41:J41" xr:uid="{2AEF8D50-0213-4581-ACF5-24CACA2CBECC}"/>
    <hyperlink ref="B442" location="Trimestre!C25:F26" display="HIPOTECA" xr:uid="{6F88BC5A-F86E-46B9-A81D-339F449B389C}"/>
    <hyperlink ref="B442:G443" location="AÑO!G42:J42" display="AÑO!G42:J42" xr:uid="{C197155F-F518-4AB7-AA1F-52BB5B1DCF3E}"/>
    <hyperlink ref="B462" location="Trimestre!C25:F26" display="HIPOTECA" xr:uid="{9DFF7191-80AA-48B3-AD67-15FC9A041BC8}"/>
    <hyperlink ref="B462:G463" location="AÑO!G43:J43" display="AÑO!G43:J43" xr:uid="{A46E8E99-C3EF-4B13-92C3-4128C6ECC701}"/>
    <hyperlink ref="B482" location="Trimestre!C25:F26" display="HIPOTECA" xr:uid="{747DE942-F531-4846-9A2F-CD52521DF357}"/>
    <hyperlink ref="B482:G483" location="AÑO!G44:J44" display="AÑO!G44:J44" xr:uid="{2C03F624-1232-4C82-9C6D-06360CDEE206}"/>
    <hyperlink ref="B502" location="Trimestre!C25:F26" display="HIPOTECA" xr:uid="{55EEA7BC-7C38-4BD8-A365-361C98F7FD83}"/>
    <hyperlink ref="B502:G503" location="AÑO!G45:J45" display="AÑO!G45:J45" xr:uid="{69C3D1EC-BB73-45DC-97E8-64D7589187E2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392" workbookViewId="0">
      <selection activeCell="C407" sqref="C40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 Gastos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10" t="s">
        <v>9</v>
      </c>
      <c r="E4" s="410"/>
      <c r="F4" s="410"/>
      <c r="G4" s="403"/>
      <c r="H4" s="222"/>
      <c r="I4" s="40" t="s">
        <v>57</v>
      </c>
      <c r="J4" s="105" t="s">
        <v>58</v>
      </c>
      <c r="K4" s="430" t="s">
        <v>59</v>
      </c>
      <c r="L4" s="43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2">
        <v>1559.34</v>
      </c>
      <c r="L5" s="433"/>
      <c r="M5" s="1"/>
      <c r="N5" s="1"/>
      <c r="R5" s="3"/>
    </row>
    <row r="6" spans="1:22" ht="15.75">
      <c r="A6" s="112">
        <f>'02'!A6+(B6-SUM(D6:F6))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"/>
      <c r="I6" s="108" t="s">
        <v>60</v>
      </c>
      <c r="J6" s="107" t="s">
        <v>62</v>
      </c>
      <c r="K6" s="416">
        <v>620.08000000000004</v>
      </c>
      <c r="L6" s="417"/>
      <c r="M6" s="1" t="s">
        <v>165</v>
      </c>
      <c r="N6" s="1"/>
      <c r="R6" s="3"/>
    </row>
    <row r="7" spans="1:22" ht="15.75">
      <c r="A7" s="112">
        <f>'02'!A7+(B7-SUM(D7:F7))</f>
        <v>-98.710000000000036</v>
      </c>
      <c r="B7" s="134">
        <v>70.180000000000007</v>
      </c>
      <c r="C7" s="16" t="s">
        <v>200</v>
      </c>
      <c r="D7" s="137"/>
      <c r="E7" s="138">
        <f>332.75+142.41+273.37</f>
        <v>748.53</v>
      </c>
      <c r="F7" s="138"/>
      <c r="G7" s="16" t="s">
        <v>74</v>
      </c>
      <c r="H7" s="1"/>
      <c r="I7" s="108" t="s">
        <v>63</v>
      </c>
      <c r="J7" s="107" t="s">
        <v>64</v>
      </c>
      <c r="K7" s="416">
        <v>8577.0300000000007</v>
      </c>
      <c r="L7" s="417"/>
      <c r="M7" s="1"/>
      <c r="N7" s="1"/>
      <c r="R7" s="3"/>
    </row>
    <row r="8" spans="1:22" ht="15.75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6">
        <v>3501.87</v>
      </c>
      <c r="L8" s="417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416">
        <v>4167.34</v>
      </c>
      <c r="L9" s="417"/>
      <c r="M9" s="1"/>
      <c r="N9" s="1"/>
      <c r="R9" s="3"/>
    </row>
    <row r="10" spans="1:22" ht="15.75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6">
        <v>1802.02</v>
      </c>
      <c r="L10" s="417"/>
      <c r="M10" s="1" t="s">
        <v>156</v>
      </c>
      <c r="N10" s="1"/>
      <c r="R10" s="3"/>
    </row>
    <row r="11" spans="1:22" ht="15.75">
      <c r="A11" s="112">
        <f>'02'!A11+(B11-SUM(D11:F11))</f>
        <v>-9.9999999999980105E-3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6">
        <v>255</v>
      </c>
      <c r="L11" s="417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6">
        <v>5092.08</v>
      </c>
      <c r="L12" s="417"/>
      <c r="M12" s="92"/>
      <c r="N12" s="1"/>
      <c r="R12" s="3"/>
    </row>
    <row r="13" spans="1:22" ht="15.75">
      <c r="A13" s="112">
        <f>'02'!A13+(B13-SUM(D13:F13))</f>
        <v>5</v>
      </c>
      <c r="B13" s="134">
        <v>7</v>
      </c>
      <c r="C13" s="16" t="s">
        <v>326</v>
      </c>
      <c r="D13" s="137"/>
      <c r="E13" s="138">
        <v>79</v>
      </c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8">
        <f>SUM(K5:K18)</f>
        <v>25574.760000000002</v>
      </c>
      <c r="L19" s="419"/>
      <c r="M19" s="1"/>
      <c r="N19" s="1"/>
      <c r="R19" s="3"/>
    </row>
    <row r="20" spans="1:18" ht="16.5" thickBot="1">
      <c r="A20" s="112">
        <f>SUM(A6:A15)</f>
        <v>37.319999999999993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10" t="s">
        <v>9</v>
      </c>
      <c r="E24" s="410"/>
      <c r="F24" s="410"/>
      <c r="G24" s="403"/>
      <c r="H24" s="1"/>
      <c r="I24" s="40" t="s">
        <v>31</v>
      </c>
      <c r="J24" s="435" t="s">
        <v>87</v>
      </c>
      <c r="K24" s="436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1" t="str">
        <f>AÑO!A8</f>
        <v>Manolo Salario</v>
      </c>
      <c r="J25" s="424" t="s">
        <v>402</v>
      </c>
      <c r="K25" s="425"/>
      <c r="L25" s="198">
        <v>2526.87</v>
      </c>
      <c r="M25" s="1"/>
      <c r="R25" s="3"/>
    </row>
    <row r="26" spans="1:18" ht="15.75">
      <c r="A26" s="112">
        <f>'02'!A26+(B26-SUM(D26:F26))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2"/>
      <c r="J26" s="426"/>
      <c r="K26" s="427"/>
      <c r="L26" s="199"/>
      <c r="M26" s="1"/>
      <c r="R26" s="3"/>
    </row>
    <row r="27" spans="1:18" ht="15.75">
      <c r="A27" s="112">
        <f>'02'!A27+(B27-SUM(D27:F27))</f>
        <v>18</v>
      </c>
      <c r="B27" s="134">
        <f>407.28+170</f>
        <v>577.28</v>
      </c>
      <c r="C27" s="27" t="s">
        <v>40</v>
      </c>
      <c r="D27" s="137">
        <v>577.28</v>
      </c>
      <c r="E27" s="138"/>
      <c r="F27" s="138"/>
      <c r="G27" s="16" t="s">
        <v>40</v>
      </c>
      <c r="H27" s="1"/>
      <c r="I27" s="422"/>
      <c r="J27" s="426"/>
      <c r="K27" s="427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2"/>
      <c r="J28" s="426"/>
      <c r="K28" s="427"/>
      <c r="L28" s="199"/>
      <c r="M28" s="1"/>
      <c r="R28" s="3"/>
    </row>
    <row r="29" spans="1:18" ht="15.75">
      <c r="A29" s="112">
        <f>'02'!A29+(B29-SUM(D29:F29))</f>
        <v>1.3300000000000018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3"/>
      <c r="J29" s="428"/>
      <c r="K29" s="429"/>
      <c r="L29" s="201"/>
      <c r="M29" s="1"/>
      <c r="R29" s="3"/>
    </row>
    <row r="30" spans="1:18" ht="15.75" customHeight="1">
      <c r="A30" s="112">
        <f>'02'!A30+(B30-SUM(D30:F30))</f>
        <v>186.27999999999997</v>
      </c>
      <c r="B30" s="134">
        <v>-407.28</v>
      </c>
      <c r="C30" s="27" t="s">
        <v>42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363</v>
      </c>
      <c r="K30" s="425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 t="s">
        <v>238</v>
      </c>
      <c r="K31" s="427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 t="s">
        <v>328</v>
      </c>
      <c r="K32" s="427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218</v>
      </c>
      <c r="J35" s="424"/>
      <c r="K35" s="425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01"/>
      <c r="M39" s="1"/>
      <c r="R39" s="3"/>
    </row>
    <row r="40" spans="1:18" ht="16.5" thickBot="1">
      <c r="A40" s="112">
        <f>SUM(A26:A35)</f>
        <v>371.73</v>
      </c>
      <c r="B40" s="135">
        <f>SUM(B26:B39)</f>
        <v>1128</v>
      </c>
      <c r="C40" s="17" t="s">
        <v>53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1" t="str">
        <f>AÑO!A11</f>
        <v>Finanazas</v>
      </c>
      <c r="J40" s="424"/>
      <c r="K40" s="42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199"/>
      <c r="M41" s="1"/>
      <c r="R41" s="3"/>
    </row>
    <row r="42" spans="1:18" ht="15.6" customHeight="1">
      <c r="A42" s="1"/>
      <c r="B42" s="404" t="str">
        <f>AÑO!A22</f>
        <v>Comida+Limpieza</v>
      </c>
      <c r="C42" s="411"/>
      <c r="D42" s="411"/>
      <c r="E42" s="411"/>
      <c r="F42" s="411"/>
      <c r="G42" s="412"/>
      <c r="H42" s="1"/>
      <c r="I42" s="422"/>
      <c r="J42" s="426"/>
      <c r="K42" s="427"/>
      <c r="L42" s="19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199"/>
      <c r="M43" s="1"/>
      <c r="R43" s="3"/>
    </row>
    <row r="44" spans="1:18" ht="15.75">
      <c r="A44" s="1"/>
      <c r="B44" s="402" t="s">
        <v>8</v>
      </c>
      <c r="C44" s="403"/>
      <c r="D44" s="410" t="s">
        <v>9</v>
      </c>
      <c r="E44" s="410"/>
      <c r="F44" s="410"/>
      <c r="G44" s="403"/>
      <c r="H44" s="1"/>
      <c r="I44" s="423"/>
      <c r="J44" s="428"/>
      <c r="K44" s="429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1" t="str">
        <f>AÑO!A12</f>
        <v>Regalos</v>
      </c>
      <c r="J45" s="424" t="s">
        <v>380</v>
      </c>
      <c r="K45" s="425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364</v>
      </c>
      <c r="H46" s="1"/>
      <c r="I46" s="422"/>
      <c r="J46" s="426" t="s">
        <v>160</v>
      </c>
      <c r="K46" s="427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78</v>
      </c>
      <c r="D47" s="137">
        <v>70.08</v>
      </c>
      <c r="E47" s="138"/>
      <c r="F47" s="138"/>
      <c r="G47" s="16" t="s">
        <v>365</v>
      </c>
      <c r="H47" s="1"/>
      <c r="I47" s="422"/>
      <c r="J47" s="426"/>
      <c r="K47" s="427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372</v>
      </c>
      <c r="H48" s="1"/>
      <c r="I48" s="422"/>
      <c r="J48" s="426"/>
      <c r="K48" s="427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376</v>
      </c>
      <c r="H49" s="1"/>
      <c r="I49" s="423"/>
      <c r="J49" s="428"/>
      <c r="K49" s="429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375</v>
      </c>
      <c r="H50" s="1"/>
      <c r="I50" s="421" t="str">
        <f>AÑO!A13</f>
        <v>Gubernamental</v>
      </c>
      <c r="J50" s="424" t="s">
        <v>259</v>
      </c>
      <c r="K50" s="425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382</v>
      </c>
      <c r="H51" s="1"/>
      <c r="I51" s="422"/>
      <c r="J51" s="426" t="s">
        <v>418</v>
      </c>
      <c r="K51" s="427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387</v>
      </c>
      <c r="H52" s="1"/>
      <c r="I52" s="422"/>
      <c r="J52" s="426"/>
      <c r="K52" s="427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388</v>
      </c>
      <c r="H53" s="1"/>
      <c r="I53" s="422"/>
      <c r="J53" s="426"/>
      <c r="K53" s="427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408</v>
      </c>
      <c r="H54" s="1"/>
      <c r="I54" s="423"/>
      <c r="J54" s="428"/>
      <c r="K54" s="429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422</v>
      </c>
      <c r="H55" s="1"/>
      <c r="I55" s="421" t="str">
        <f>AÑO!A14</f>
        <v>Mutualite/DKV</v>
      </c>
      <c r="J55" s="440" t="str">
        <f>G306</f>
        <v>12/03 Chirec</v>
      </c>
      <c r="K55" s="425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1" t="str">
        <f>AÑO!A15</f>
        <v>Alquiler Cartama</v>
      </c>
      <c r="J60" s="424" t="s">
        <v>367</v>
      </c>
      <c r="K60" s="425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19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19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199"/>
      <c r="M63" s="1"/>
      <c r="R63" s="3"/>
    </row>
    <row r="64" spans="1:18" ht="15.75">
      <c r="A64" s="1"/>
      <c r="B64" s="402" t="s">
        <v>8</v>
      </c>
      <c r="C64" s="403"/>
      <c r="D64" s="410" t="s">
        <v>9</v>
      </c>
      <c r="E64" s="410"/>
      <c r="F64" s="410"/>
      <c r="G64" s="403"/>
      <c r="H64" s="1"/>
      <c r="I64" s="423"/>
      <c r="J64" s="428"/>
      <c r="K64" s="429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1" t="str">
        <f>AÑO!A16</f>
        <v>Otros</v>
      </c>
      <c r="J65" s="424"/>
      <c r="K65" s="425"/>
      <c r="L65" s="198"/>
      <c r="M65" s="1"/>
      <c r="R65" s="3"/>
    </row>
    <row r="66" spans="1:18" ht="15.75">
      <c r="A66" s="112">
        <f>'02'!A66+(B66-SUM(D66:F77))</f>
        <v>3.1800000000000139</v>
      </c>
      <c r="B66" s="133">
        <v>160</v>
      </c>
      <c r="C66" s="19" t="s">
        <v>33</v>
      </c>
      <c r="D66" s="137"/>
      <c r="E66" s="138"/>
      <c r="F66" s="138">
        <v>31</v>
      </c>
      <c r="G66" s="19" t="s">
        <v>366</v>
      </c>
      <c r="H66" s="1"/>
      <c r="I66" s="422"/>
      <c r="J66" s="426"/>
      <c r="K66" s="427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374</v>
      </c>
      <c r="H67" s="1"/>
      <c r="I67" s="422"/>
      <c r="J67" s="426"/>
      <c r="K67" s="427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378</v>
      </c>
      <c r="H68" s="1"/>
      <c r="I68" s="422"/>
      <c r="J68" s="426"/>
      <c r="K68" s="427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389</v>
      </c>
      <c r="H69" s="1"/>
      <c r="I69" s="437"/>
      <c r="J69" s="438"/>
      <c r="K69" s="439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391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421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423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160</v>
      </c>
      <c r="D78" s="137"/>
      <c r="E78" s="138"/>
      <c r="F78" s="138">
        <v>100</v>
      </c>
      <c r="G78" s="16" t="s">
        <v>368</v>
      </c>
      <c r="H78" s="1" t="s">
        <v>160</v>
      </c>
      <c r="M78" s="1"/>
      <c r="R78" s="3"/>
    </row>
    <row r="79" spans="1:18" ht="16.5" thickBot="1">
      <c r="A79" s="112">
        <f>'02'!A79+(B79-SUM(D79:F79))</f>
        <v>50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53.180000000000014</v>
      </c>
      <c r="B80" s="233">
        <f>SUM(B66:B79)</f>
        <v>280</v>
      </c>
      <c r="C80" s="17" t="s">
        <v>53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10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49.03</v>
      </c>
      <c r="E86" s="138"/>
      <c r="F86" s="138"/>
      <c r="G86" s="16" t="s">
        <v>393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394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395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399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53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10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1.660000000000025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1776.6500000000008</v>
      </c>
      <c r="B109" s="134">
        <f>37.53-1370+80+10</f>
        <v>-1242.47</v>
      </c>
      <c r="C109" s="18" t="s">
        <v>415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348.75999999999993</v>
      </c>
      <c r="B120" s="135">
        <f>SUM(B106:B119)</f>
        <v>-865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10" t="s">
        <v>9</v>
      </c>
      <c r="E124" s="410"/>
      <c r="F124" s="410"/>
      <c r="G124" s="40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46</v>
      </c>
      <c r="D126" s="137">
        <f>27.5</f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47</v>
      </c>
      <c r="D127" s="137">
        <v>15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53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10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73.66</v>
      </c>
      <c r="E146" s="138"/>
      <c r="F146" s="138"/>
      <c r="G146" s="16" t="s">
        <v>373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387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10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827.65000000000009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160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827.65000000000009</v>
      </c>
      <c r="B180" s="135">
        <f>SUM(B166:B179)</f>
        <v>390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10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40.5</v>
      </c>
      <c r="E186" s="138"/>
      <c r="F186" s="138"/>
      <c r="G186" s="16" t="s">
        <v>411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10" t="s">
        <v>9</v>
      </c>
      <c r="E204" s="410"/>
      <c r="F204" s="410"/>
      <c r="G204" s="40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385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409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53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10" t="s">
        <v>9</v>
      </c>
      <c r="E224" s="410"/>
      <c r="F224" s="410"/>
      <c r="G224" s="40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8" ht="15.75" thickBot="1">
      <c r="B241" s="5"/>
      <c r="C241" s="3"/>
      <c r="D241" s="5"/>
      <c r="E241" s="5"/>
    </row>
    <row r="242" spans="1:8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8" ht="15" customHeight="1" thickBot="1">
      <c r="B243" s="413"/>
      <c r="C243" s="414"/>
      <c r="D243" s="414"/>
      <c r="E243" s="414"/>
      <c r="F243" s="414"/>
      <c r="G243" s="415"/>
    </row>
    <row r="244" spans="1:8" ht="15" customHeight="1">
      <c r="B244" s="402" t="s">
        <v>8</v>
      </c>
      <c r="C244" s="403"/>
      <c r="D244" s="410" t="s">
        <v>9</v>
      </c>
      <c r="E244" s="410"/>
      <c r="F244" s="410"/>
      <c r="G244" s="403"/>
    </row>
    <row r="245" spans="1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379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383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400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410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406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404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405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53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7" ht="15" customHeight="1" thickBot="1">
      <c r="B263" s="413"/>
      <c r="C263" s="414"/>
      <c r="D263" s="414"/>
      <c r="E263" s="414"/>
      <c r="F263" s="414"/>
      <c r="G263" s="415"/>
    </row>
    <row r="264" spans="1:7">
      <c r="B264" s="402" t="s">
        <v>8</v>
      </c>
      <c r="C264" s="403"/>
      <c r="D264" s="410" t="s">
        <v>9</v>
      </c>
      <c r="E264" s="410"/>
      <c r="F264" s="410"/>
      <c r="G264" s="403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369</v>
      </c>
    </row>
    <row r="267" spans="1:7">
      <c r="B267" s="134">
        <v>4021.94</v>
      </c>
      <c r="C267" s="16" t="s">
        <v>418</v>
      </c>
      <c r="D267" s="137"/>
      <c r="E267" s="138"/>
      <c r="F267" s="138">
        <v>15</v>
      </c>
      <c r="G267" s="16" t="s">
        <v>424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53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10" t="s">
        <v>9</v>
      </c>
      <c r="E284" s="410"/>
      <c r="F284" s="410"/>
      <c r="G284" s="40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10" t="s">
        <v>9</v>
      </c>
      <c r="E304" s="410"/>
      <c r="F304" s="410"/>
      <c r="G304" s="40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45.36</v>
      </c>
      <c r="E306" s="138"/>
      <c r="F306" s="138"/>
      <c r="G306" s="16" t="s">
        <v>381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396</v>
      </c>
    </row>
    <row r="308" spans="2:7">
      <c r="B308" s="134">
        <f>L55</f>
        <v>9.44</v>
      </c>
      <c r="C308" s="27" t="s">
        <v>407</v>
      </c>
      <c r="D308" s="137">
        <v>8.27</v>
      </c>
      <c r="E308" s="138"/>
      <c r="F308" s="138"/>
      <c r="G308" s="16" t="s">
        <v>397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417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419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53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53</v>
      </c>
    </row>
    <row r="321" spans="2:7" ht="15.75" thickBot="1"/>
    <row r="322" spans="2:7" ht="14.45" customHeight="1">
      <c r="B322" s="404" t="str">
        <f>AÑO!A36</f>
        <v>Nenas</v>
      </c>
      <c r="C322" s="411"/>
      <c r="D322" s="411"/>
      <c r="E322" s="411"/>
      <c r="F322" s="411"/>
      <c r="G322" s="412"/>
    </row>
    <row r="323" spans="2:7" ht="15" customHeight="1" thickBot="1">
      <c r="B323" s="413"/>
      <c r="C323" s="414"/>
      <c r="D323" s="414"/>
      <c r="E323" s="414"/>
      <c r="F323" s="414"/>
      <c r="G323" s="415"/>
    </row>
    <row r="324" spans="2:7">
      <c r="B324" s="402" t="s">
        <v>8</v>
      </c>
      <c r="C324" s="403"/>
      <c r="D324" s="410" t="s">
        <v>9</v>
      </c>
      <c r="E324" s="410"/>
      <c r="F324" s="410"/>
      <c r="G324" s="40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392</v>
      </c>
    </row>
    <row r="327" spans="2:7">
      <c r="B327" s="134">
        <v>100</v>
      </c>
      <c r="C327" s="16" t="s">
        <v>380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53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4" t="str">
        <f>AÑO!A37</f>
        <v>Impuestos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10" t="s">
        <v>9</v>
      </c>
      <c r="E344" s="410"/>
      <c r="F344" s="410"/>
      <c r="G344" s="40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16</v>
      </c>
      <c r="E346" s="138"/>
      <c r="F346" s="138"/>
      <c r="G346" s="16" t="s">
        <v>370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371</v>
      </c>
    </row>
    <row r="348" spans="2:7">
      <c r="B348" s="134"/>
      <c r="C348" s="16"/>
      <c r="D348" s="137">
        <v>16</v>
      </c>
      <c r="E348" s="138"/>
      <c r="F348" s="138"/>
      <c r="G348" s="16" t="s">
        <v>384</v>
      </c>
    </row>
    <row r="349" spans="2:7">
      <c r="B349" s="134"/>
      <c r="C349" s="16"/>
      <c r="D349" s="137">
        <v>10</v>
      </c>
      <c r="E349" s="138"/>
      <c r="F349" s="138"/>
      <c r="G349" s="16" t="s">
        <v>385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53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10" t="s">
        <v>9</v>
      </c>
      <c r="E364" s="410"/>
      <c r="F364" s="410"/>
      <c r="G364" s="40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3.5+4.45+8.3+3.4+4.45+4+4.5</f>
        <v>32.599999999999994</v>
      </c>
      <c r="G366" s="31" t="s">
        <v>67</v>
      </c>
    </row>
    <row r="367" spans="2:7">
      <c r="B367" s="134"/>
      <c r="C367" s="16"/>
      <c r="D367" s="137"/>
      <c r="E367" s="138"/>
      <c r="F367" s="138">
        <v>12</v>
      </c>
      <c r="G367" s="31" t="s">
        <v>398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11"/>
      <c r="D382" s="411"/>
      <c r="E382" s="411"/>
      <c r="F382" s="411"/>
      <c r="G382" s="412"/>
    </row>
    <row r="383" spans="2:7" ht="15" customHeight="1" thickBot="1">
      <c r="B383" s="413"/>
      <c r="C383" s="414"/>
      <c r="D383" s="414"/>
      <c r="E383" s="414"/>
      <c r="F383" s="414"/>
      <c r="G383" s="415"/>
    </row>
    <row r="384" spans="2:7">
      <c r="B384" s="402" t="s">
        <v>8</v>
      </c>
      <c r="C384" s="403"/>
      <c r="D384" s="410" t="s">
        <v>9</v>
      </c>
      <c r="E384" s="410"/>
      <c r="F384" s="410"/>
      <c r="G384" s="40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413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10" t="s">
        <v>9</v>
      </c>
      <c r="E404" s="410"/>
      <c r="F404" s="410"/>
      <c r="G404" s="40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273</v>
      </c>
    </row>
    <row r="407" spans="2:7">
      <c r="B407" s="134">
        <v>-984.2</v>
      </c>
      <c r="C407" s="16" t="s">
        <v>413</v>
      </c>
      <c r="D407" s="137">
        <v>44.93</v>
      </c>
      <c r="E407" s="138"/>
      <c r="F407" s="138"/>
      <c r="G407" s="16" t="s">
        <v>412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53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10" t="s">
        <v>9</v>
      </c>
      <c r="E424" s="410"/>
      <c r="F424" s="410"/>
      <c r="G424" s="403"/>
    </row>
    <row r="425" spans="1:7">
      <c r="A425" s="113">
        <f>AÑO!K17</f>
        <v>8724.6099999999988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-119.16000000000167</v>
      </c>
      <c r="C426" s="19" t="s">
        <v>234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4084.2</v>
      </c>
      <c r="C446" s="19" t="s">
        <v>416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Cartama Finanazas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9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75">
      <c r="A466" s="112">
        <f>'02'!A466+(B466-SUM(D466:F466))</f>
        <v>50</v>
      </c>
      <c r="B466" s="134">
        <v>-500</v>
      </c>
      <c r="C466" s="16" t="s">
        <v>414</v>
      </c>
      <c r="D466" s="137"/>
      <c r="E466" s="138"/>
      <c r="F466" s="138"/>
      <c r="G466" s="16"/>
    </row>
    <row r="467" spans="1:9" ht="15.75">
      <c r="A467" s="112">
        <f>'02'!A467+(B467-SUM(D467:F467))</f>
        <v>225.22999999999996</v>
      </c>
      <c r="B467" s="134">
        <f>35+40</f>
        <v>75</v>
      </c>
      <c r="C467" s="16" t="s">
        <v>185</v>
      </c>
      <c r="D467" s="137"/>
      <c r="E467" s="138"/>
      <c r="F467" s="138"/>
      <c r="G467" s="16"/>
    </row>
    <row r="468" spans="1:9" ht="15.75">
      <c r="A468" s="112">
        <f>'02'!A468+(B468-SUM(D468:F468))</f>
        <v>70.210000000000008</v>
      </c>
      <c r="B468" s="134">
        <f>15+5</f>
        <v>20</v>
      </c>
      <c r="C468" s="16" t="s">
        <v>186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345.43999999999994</v>
      </c>
      <c r="B480" s="135">
        <f>SUM(B466:B479)</f>
        <v>-405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10" t="s">
        <v>9</v>
      </c>
      <c r="E504" s="410"/>
      <c r="F504" s="410"/>
      <c r="G504" s="40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25.94</v>
      </c>
      <c r="E506" s="138"/>
      <c r="F506" s="138"/>
      <c r="G506" s="16" t="s">
        <v>420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EABE2DCC-E2F1-43F7-BC65-8F815CB059BB}"/>
    <hyperlink ref="I22:L23" location="AÑO!K7:N17" display="INGRESOS" xr:uid="{74C44AA2-B6BA-4D49-BB04-D2BF65407F45}"/>
    <hyperlink ref="I2" location="Trimestre!C39:F40" display="TELÉFONO" xr:uid="{424A3431-9008-455F-8C6D-E0C81BE6A1EF}"/>
    <hyperlink ref="I2:L3" location="AÑO!K4:N5" display="SALDO REAL" xr:uid="{ECFF7ECA-4A99-4E6D-B449-E32ABB36F81E}"/>
    <hyperlink ref="B2" location="Trimestre!C25:F26" display="HIPOTECA" xr:uid="{4A3641F9-FB83-4830-9C58-AA3CD1AD13DF}"/>
    <hyperlink ref="B2:G3" location="AÑO!K20:N20" display="AÑO!K20:N20" xr:uid="{E841178C-348A-4C6C-9869-F22FE9310975}"/>
    <hyperlink ref="B22" location="Trimestre!C25:F26" display="HIPOTECA" xr:uid="{8FF52417-1838-480F-A846-6936CBCF2D61}"/>
    <hyperlink ref="B22:G23" location="AÑO!K21:N21" display="AÑO!K21:N21" xr:uid="{C909550A-187B-49CB-B71F-58BC4FCAA0F9}"/>
    <hyperlink ref="B42" location="Trimestre!C25:F26" display="HIPOTECA" xr:uid="{EE3B60B1-D943-43AF-9360-C8B29E6451FD}"/>
    <hyperlink ref="B42:G43" location="AÑO!K22:N22" display="AÑO!K22:N22" xr:uid="{2199382F-8674-45E1-A920-F01FB00A92AB}"/>
    <hyperlink ref="B62" location="Trimestre!C25:F26" display="HIPOTECA" xr:uid="{9B69418A-BEE6-483A-841F-6A157FF38F87}"/>
    <hyperlink ref="B62:G63" location="AÑO!K23:N23" display="AÑO!K23:N23" xr:uid="{7CE99F91-BC0A-42D7-976C-29AE322363CD}"/>
    <hyperlink ref="B82" location="Trimestre!C25:F26" display="HIPOTECA" xr:uid="{96FB49A3-EA5A-4C42-9E58-0E631D550217}"/>
    <hyperlink ref="B82:G83" location="AÑO!K24:N24" display="AÑO!K24:N24" xr:uid="{B8F38972-F3E0-43FD-B59B-A20F07FBE8F4}"/>
    <hyperlink ref="B102" location="Trimestre!C25:F26" display="HIPOTECA" xr:uid="{F6F79270-7416-408D-BE76-62C8CADC5085}"/>
    <hyperlink ref="B102:G103" location="AÑO!K25:N25" display="AÑO!K25:N25" xr:uid="{E660A30B-7DF6-471C-A9BA-F934883A7DE2}"/>
    <hyperlink ref="B122" location="Trimestre!C25:F26" display="HIPOTECA" xr:uid="{B841AAC3-AB8C-421F-AF13-DF38C3F03D04}"/>
    <hyperlink ref="B122:G123" location="AÑO!K26:N26" display="AÑO!K26:N26" xr:uid="{21B01937-298B-42EC-A955-F636286BBB79}"/>
    <hyperlink ref="B142" location="Trimestre!C25:F26" display="HIPOTECA" xr:uid="{29F685AA-F7FB-49B2-81DA-BAE5891B72FF}"/>
    <hyperlink ref="B142:G143" location="AÑO!K27:N27" display="AÑO!K27:N27" xr:uid="{B5277ADB-3638-44F6-AF79-E223DC164C0E}"/>
    <hyperlink ref="B162" location="Trimestre!C25:F26" display="HIPOTECA" xr:uid="{7B12CC86-1C15-4D58-A4AB-21475EA6E0B7}"/>
    <hyperlink ref="B162:G163" location="AÑO!K28:N28" display="AÑO!K28:N28" xr:uid="{FC151930-79EA-4149-8939-D925F9A28698}"/>
    <hyperlink ref="B182" location="Trimestre!C25:F26" display="HIPOTECA" xr:uid="{A79677C3-3B9D-4D2F-B57A-2683A0A1492A}"/>
    <hyperlink ref="B182:G183" location="AÑO!K29:N29" display="AÑO!K29:N29" xr:uid="{70AAD637-8558-47ED-833B-D82D47FCEF14}"/>
    <hyperlink ref="B202" location="Trimestre!C25:F26" display="HIPOTECA" xr:uid="{994CB6A8-772C-4FED-AA32-2C5EFE09E21D}"/>
    <hyperlink ref="B202:G203" location="AÑO!K30:N30" display="AÑO!K30:N30" xr:uid="{BAF2905B-D4FF-4A2B-B8D4-CAA03A8E82D3}"/>
    <hyperlink ref="B222" location="Trimestre!C25:F26" display="HIPOTECA" xr:uid="{3EDF586D-C57C-4226-A6E1-96ADECF937F5}"/>
    <hyperlink ref="B222:G223" location="AÑO!K31:N31" display="AÑO!K31:N31" xr:uid="{5A9A2655-A6DF-4F41-9039-7C3EBAC9DA57}"/>
    <hyperlink ref="B242" location="Trimestre!C25:F26" display="HIPOTECA" xr:uid="{CD4A64C9-166B-4795-9760-F6DC6A2F92A8}"/>
    <hyperlink ref="B242:G243" location="AÑO!K32:N32" display="AÑO!K32:N32" xr:uid="{2A9BE07D-F312-450A-9C33-CAF050022603}"/>
    <hyperlink ref="B262" location="Trimestre!C25:F26" display="HIPOTECA" xr:uid="{C92609DE-EA95-4918-9AAA-2B13AF435A27}"/>
    <hyperlink ref="B262:G263" location="AÑO!K33:N33" display="AÑO!K33:N33" xr:uid="{04B44820-A2D3-4B26-AC70-11DF14A38E52}"/>
    <hyperlink ref="B282" location="Trimestre!C25:F26" display="HIPOTECA" xr:uid="{D93D516D-5EAC-456A-80F8-9166ADD2B7EF}"/>
    <hyperlink ref="B282:G283" location="AÑO!K34:N34" display="AÑO!K34:N34" xr:uid="{D7C59004-01CE-4D07-ABEA-17640BDB720B}"/>
    <hyperlink ref="B302" location="Trimestre!C25:F26" display="HIPOTECA" xr:uid="{359A2BD0-BADB-4DB4-B551-6D1DF591F948}"/>
    <hyperlink ref="B302:G303" location="AÑO!K35:N35" display="AÑO!K35:N35" xr:uid="{7708C53E-3D2D-471E-B299-0D1D0C8E3659}"/>
    <hyperlink ref="B322" location="Trimestre!C25:F26" display="HIPOTECA" xr:uid="{0B04B61F-7D64-4CF1-8AA8-DA8AE54AC1FE}"/>
    <hyperlink ref="B322:G323" location="AÑO!K36:N36" display="AÑO!K36:N36" xr:uid="{3A9A3CD4-D52B-4746-839D-EF7B39B32BB7}"/>
    <hyperlink ref="B342" location="Trimestre!C25:F26" display="HIPOTECA" xr:uid="{1CFC4968-35A9-4111-948A-22F8E01DA5C5}"/>
    <hyperlink ref="B342:G343" location="AÑO!K37:N37" display="AÑO!K37:N37" xr:uid="{6BA86398-0624-4959-B8D7-3555B1907C8B}"/>
    <hyperlink ref="B362" location="Trimestre!C25:F26" display="HIPOTECA" xr:uid="{E36B4A57-47D3-4F06-ACBA-0C02DFF58151}"/>
    <hyperlink ref="B362:G363" location="AÑO!K38:N38" display="AÑO!K38:N38" xr:uid="{EDD1F2DF-888C-457E-8656-1DC1670D20F8}"/>
    <hyperlink ref="B382" location="Trimestre!C25:F26" display="HIPOTECA" xr:uid="{3799C61A-940B-4010-95D0-C6810FE21791}"/>
    <hyperlink ref="B382:G383" location="AÑO!K39:N39" display="AÑO!K39:N39" xr:uid="{B399D106-83AA-4493-91F5-F6D682B84A7B}"/>
    <hyperlink ref="B402" location="Trimestre!C25:F26" display="HIPOTECA" xr:uid="{B272F724-5E37-429C-A931-F2C5E66E2EF5}"/>
    <hyperlink ref="B402:G403" location="AÑO!K40:N40" display="AÑO!K40:N40" xr:uid="{26E9E2F9-8C44-4601-AA09-D6672152E2FB}"/>
    <hyperlink ref="B422" location="Trimestre!C25:F26" display="HIPOTECA" xr:uid="{5EF7E4FB-7BF4-4161-B609-2250B9136AB1}"/>
    <hyperlink ref="B422:G423" location="AÑO!K41:N41" display="AÑO!K41:N41" xr:uid="{C95E3E1C-D8FE-44BF-A1D7-A9642CFCF9FF}"/>
    <hyperlink ref="B442" location="Trimestre!C25:F26" display="HIPOTECA" xr:uid="{9D6DAB7B-06E6-4D42-901F-10767FE43F37}"/>
    <hyperlink ref="B442:G443" location="AÑO!K42:N42" display="AÑO!K42:N42" xr:uid="{7911EB05-41DA-4C33-8B9F-597C3202FB40}"/>
    <hyperlink ref="B462" location="Trimestre!C25:F26" display="HIPOTECA" xr:uid="{DB30C216-B0E7-488C-9DC4-60B8B39975D3}"/>
    <hyperlink ref="B462:G463" location="AÑO!K43:N43" display="AÑO!K43:N43" xr:uid="{63DC0EF6-3DE8-4FE8-B451-57C8DE34D824}"/>
    <hyperlink ref="B482" location="Trimestre!C25:F26" display="HIPOTECA" xr:uid="{2C177AF1-40E4-40A9-AA01-17AD1D5CE9BD}"/>
    <hyperlink ref="B482:G483" location="AÑO!K44:N44" display="AÑO!K44:N44" xr:uid="{F2B0BC4F-9F96-4D1A-B723-7CC149921AC7}"/>
    <hyperlink ref="B502" location="Trimestre!C25:F26" display="HIPOTECA" xr:uid="{2C706A84-148F-4615-AE93-A293B3C41D48}"/>
    <hyperlink ref="B502:G503" location="AÑO!K45:N45" display="AÑO!K45:N45" xr:uid="{7C59D6C4-58B2-4CAE-8CD0-4247E781B93F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36" workbookViewId="0">
      <selection activeCell="B42" sqref="B42:G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 Gastos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02" t="s">
        <v>9</v>
      </c>
      <c r="E4" s="410"/>
      <c r="F4" s="410"/>
      <c r="G4" s="403"/>
      <c r="H4" s="222"/>
      <c r="I4" s="40" t="s">
        <v>57</v>
      </c>
      <c r="J4" s="105" t="s">
        <v>58</v>
      </c>
      <c r="K4" s="430" t="s">
        <v>59</v>
      </c>
      <c r="L4" s="43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2">
        <v>861.84</v>
      </c>
      <c r="L5" s="433"/>
      <c r="M5" s="1"/>
      <c r="N5" s="1"/>
      <c r="R5" s="3"/>
    </row>
    <row r="6" spans="1:22" ht="15.75">
      <c r="A6" s="112">
        <f>'03'!A6+(B6-SUM(D6:F6))</f>
        <v>6</v>
      </c>
      <c r="B6" s="133">
        <v>403.08</v>
      </c>
      <c r="C6" s="19" t="s">
        <v>377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6">
        <v>620.08000000000004</v>
      </c>
      <c r="L6" s="417"/>
      <c r="M6" s="1" t="s">
        <v>165</v>
      </c>
      <c r="N6" s="1"/>
      <c r="R6" s="3"/>
    </row>
    <row r="7" spans="1:22" ht="15.75">
      <c r="A7" s="112">
        <f>'03'!A7+(B7-SUM(D7:F7))</f>
        <v>-31.520000000000039</v>
      </c>
      <c r="B7" s="134">
        <v>67.19</v>
      </c>
      <c r="C7" s="16" t="s">
        <v>401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6">
        <v>10075.709999999999</v>
      </c>
      <c r="L7" s="417"/>
      <c r="M7" s="1"/>
      <c r="N7" s="1"/>
      <c r="R7" s="3"/>
    </row>
    <row r="8" spans="1:22" ht="15.75">
      <c r="A8" s="112">
        <f>'03'!A8+(B8-SUM(D8:F8))</f>
        <v>-102.44</v>
      </c>
      <c r="B8" s="134">
        <v>0</v>
      </c>
      <c r="C8" s="16" t="s">
        <v>35</v>
      </c>
      <c r="D8" s="137"/>
      <c r="E8" s="113">
        <v>102.44</v>
      </c>
      <c r="F8" s="138"/>
      <c r="G8" s="16" t="s">
        <v>35</v>
      </c>
      <c r="H8" s="1"/>
      <c r="I8" s="108" t="s">
        <v>63</v>
      </c>
      <c r="J8" s="107" t="s">
        <v>65</v>
      </c>
      <c r="K8" s="416">
        <v>3501.87</v>
      </c>
      <c r="L8" s="417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6">
        <v>35.96</v>
      </c>
      <c r="L9" s="417"/>
      <c r="M9" s="1"/>
      <c r="N9" s="1"/>
      <c r="R9" s="3"/>
    </row>
    <row r="10" spans="1:22" ht="15.75">
      <c r="A10" s="112">
        <f>'03'!A10+(B10-SUM(D10:F10))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6">
        <v>1802.02</v>
      </c>
      <c r="L10" s="417"/>
      <c r="M10" s="1" t="s">
        <v>156</v>
      </c>
      <c r="N10" s="1"/>
      <c r="R10" s="3"/>
    </row>
    <row r="11" spans="1:22" ht="15.75">
      <c r="A11" s="112">
        <f>'03'!A11+(B11-SUM(D11:F11))</f>
        <v>-1.9999999999996021E-2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6">
        <v>370</v>
      </c>
      <c r="L11" s="417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6">
        <f>5092.08+4084.2</f>
        <v>9176.2799999999988</v>
      </c>
      <c r="L12" s="417"/>
      <c r="M12" s="92"/>
      <c r="N12" s="1"/>
      <c r="R12" s="3"/>
    </row>
    <row r="13" spans="1:22" ht="15.75">
      <c r="A13" s="112">
        <f>'03'!A13+(B13-SUM(D13:F13))</f>
        <v>11.5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1">
        <f>SUM(K5:K18)</f>
        <v>26443.759999999998</v>
      </c>
      <c r="L19" s="442"/>
      <c r="M19" s="1"/>
      <c r="N19" s="1"/>
      <c r="R19" s="3"/>
    </row>
    <row r="20" spans="1:18" ht="16.5" thickBot="1">
      <c r="A20" s="112">
        <f>SUM(A6:A15)</f>
        <v>33.559999999999988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02" t="s">
        <v>9</v>
      </c>
      <c r="E24" s="410"/>
      <c r="F24" s="410"/>
      <c r="G24" s="403"/>
      <c r="H24" s="1"/>
      <c r="I24" s="40" t="s">
        <v>31</v>
      </c>
      <c r="J24" s="435" t="s">
        <v>87</v>
      </c>
      <c r="K24" s="436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1" t="str">
        <f>AÑO!A8</f>
        <v>Manolo Salario</v>
      </c>
      <c r="J25" s="424" t="s">
        <v>402</v>
      </c>
      <c r="K25" s="425"/>
      <c r="L25" s="231">
        <v>2570.56</v>
      </c>
      <c r="M25" s="1">
        <f>16*1.09</f>
        <v>17.440000000000001</v>
      </c>
      <c r="R25" s="3"/>
    </row>
    <row r="26" spans="1:18" ht="15.75">
      <c r="A26" s="112">
        <f>'03'!A26+(B26-SUM(D26:F26))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2"/>
      <c r="J26" s="426"/>
      <c r="K26" s="427"/>
      <c r="L26" s="229"/>
      <c r="M26" s="1"/>
      <c r="R26" s="3"/>
    </row>
    <row r="27" spans="1:18" ht="15.75">
      <c r="A27" s="112">
        <f>'03'!A27+(B27-SUM(D27:F27))</f>
        <v>22.009999999999991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2"/>
      <c r="J27" s="426"/>
      <c r="K27" s="427"/>
      <c r="L27" s="22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2"/>
      <c r="J28" s="426"/>
      <c r="K28" s="427"/>
      <c r="L28" s="229"/>
      <c r="M28" s="1"/>
      <c r="R28" s="3"/>
    </row>
    <row r="29" spans="1:18" ht="15.75">
      <c r="A29" s="112">
        <f>'03'!A29+(B29-SUM(D29:F29))</f>
        <v>1.3800000000000026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3"/>
      <c r="J29" s="428"/>
      <c r="K29" s="429"/>
      <c r="L29" s="230"/>
      <c r="M29" s="1"/>
      <c r="R29" s="3"/>
    </row>
    <row r="30" spans="1:18" ht="15.75" customHeight="1">
      <c r="A30" s="112">
        <f>'03'!A30+(B30-SUM(D30:F30))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363</v>
      </c>
      <c r="K30" s="425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 t="s">
        <v>431</v>
      </c>
      <c r="K31" s="427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 t="s">
        <v>328</v>
      </c>
      <c r="K32" s="427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218</v>
      </c>
      <c r="J35" s="424"/>
      <c r="K35" s="425"/>
      <c r="L35" s="231">
        <v>204.23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30"/>
      <c r="M39" s="1"/>
      <c r="R39" s="3"/>
    </row>
    <row r="40" spans="1:18" ht="16.5" thickBot="1">
      <c r="A40" s="112">
        <f>SUM(A26:A35)</f>
        <v>415.78999999999996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1" t="str">
        <f>AÑO!A11</f>
        <v>Finanazas</v>
      </c>
      <c r="J40" s="424" t="s">
        <v>425</v>
      </c>
      <c r="K40" s="425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 t="s">
        <v>445</v>
      </c>
      <c r="K41" s="427"/>
      <c r="L41" s="229">
        <v>352.82</v>
      </c>
      <c r="M41" s="1"/>
      <c r="R41" s="3"/>
    </row>
    <row r="42" spans="1:18" ht="15.6" customHeight="1">
      <c r="A42" s="1"/>
      <c r="B42" s="404" t="str">
        <f>AÑO!A22</f>
        <v>Comida+Limpieza</v>
      </c>
      <c r="C42" s="411"/>
      <c r="D42" s="411"/>
      <c r="E42" s="411"/>
      <c r="F42" s="411"/>
      <c r="G42" s="412"/>
      <c r="H42" s="1"/>
      <c r="I42" s="422"/>
      <c r="J42" s="426" t="s">
        <v>60</v>
      </c>
      <c r="K42" s="427"/>
      <c r="L42" s="229">
        <v>0.02</v>
      </c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229"/>
      <c r="M43" s="1"/>
      <c r="R43" s="3"/>
    </row>
    <row r="44" spans="1:18" ht="15.75">
      <c r="A44" s="1"/>
      <c r="B44" s="402" t="s">
        <v>8</v>
      </c>
      <c r="C44" s="403"/>
      <c r="D44" s="402" t="s">
        <v>9</v>
      </c>
      <c r="E44" s="410"/>
      <c r="F44" s="410"/>
      <c r="G44" s="403"/>
      <c r="H44" s="1"/>
      <c r="I44" s="423"/>
      <c r="J44" s="428"/>
      <c r="K44" s="429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1" t="str">
        <f>AÑO!A12</f>
        <v>Regalos</v>
      </c>
      <c r="J45" s="424"/>
      <c r="K45" s="425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446</v>
      </c>
      <c r="H46" s="1"/>
      <c r="I46" s="422"/>
      <c r="J46" s="426"/>
      <c r="K46" s="427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12.4</v>
      </c>
      <c r="E47" s="138"/>
      <c r="F47" s="138"/>
      <c r="G47" s="16" t="s">
        <v>452</v>
      </c>
      <c r="H47" s="1"/>
      <c r="I47" s="422"/>
      <c r="J47" s="426"/>
      <c r="K47" s="427"/>
      <c r="L47" s="229"/>
      <c r="M47" s="1"/>
      <c r="R47" s="3"/>
    </row>
    <row r="48" spans="1:18" ht="15.75">
      <c r="A48" s="1"/>
      <c r="B48" s="134">
        <v>40</v>
      </c>
      <c r="C48" s="16" t="s">
        <v>430</v>
      </c>
      <c r="D48" s="137">
        <v>5.35</v>
      </c>
      <c r="E48" s="138"/>
      <c r="F48" s="138"/>
      <c r="G48" s="16" t="s">
        <v>457</v>
      </c>
      <c r="H48" s="1"/>
      <c r="I48" s="422"/>
      <c r="J48" s="426"/>
      <c r="K48" s="427"/>
      <c r="L48" s="229"/>
      <c r="M48" s="1"/>
      <c r="R48" s="3"/>
    </row>
    <row r="49" spans="1:18" ht="15.75">
      <c r="A49" s="1"/>
      <c r="B49" s="134"/>
      <c r="C49" s="16" t="s">
        <v>462</v>
      </c>
      <c r="D49" s="137"/>
      <c r="E49" s="138"/>
      <c r="F49" s="138"/>
      <c r="G49" s="16"/>
      <c r="H49" s="1"/>
      <c r="I49" s="423"/>
      <c r="J49" s="428"/>
      <c r="K49" s="429"/>
      <c r="L49" s="230"/>
      <c r="M49" s="1"/>
      <c r="R49" s="3"/>
    </row>
    <row r="50" spans="1:18" ht="15.75" customHeight="1">
      <c r="A50" s="1"/>
      <c r="B50" s="134">
        <v>-146</v>
      </c>
      <c r="C50" s="16" t="s">
        <v>465</v>
      </c>
      <c r="D50" s="137"/>
      <c r="E50" s="138"/>
      <c r="F50" s="138"/>
      <c r="G50" s="16"/>
      <c r="H50" s="1"/>
      <c r="I50" s="421" t="str">
        <f>AÑO!A13</f>
        <v>Gubernamental</v>
      </c>
      <c r="J50" s="424" t="s">
        <v>434</v>
      </c>
      <c r="K50" s="425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2"/>
      <c r="J51" s="426"/>
      <c r="K51" s="427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2"/>
      <c r="J52" s="426"/>
      <c r="K52" s="427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2"/>
      <c r="J53" s="426"/>
      <c r="K53" s="42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40" t="str">
        <f>'03'!G307</f>
        <v>22/03 Chirec</v>
      </c>
      <c r="K55" s="425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43" t="str">
        <f>'03'!G309</f>
        <v>26/03 Ginecologa</v>
      </c>
      <c r="K56" s="427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 t="s">
        <v>449</v>
      </c>
      <c r="K57" s="427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53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1" t="str">
        <f>AÑO!A15</f>
        <v>Alquiler Cartama</v>
      </c>
      <c r="J60" s="424"/>
      <c r="K60" s="425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229"/>
      <c r="M63" s="1"/>
      <c r="R63" s="3"/>
    </row>
    <row r="64" spans="1:18" ht="15.75">
      <c r="A64" s="1"/>
      <c r="B64" s="402" t="s">
        <v>8</v>
      </c>
      <c r="C64" s="403"/>
      <c r="D64" s="402" t="s">
        <v>9</v>
      </c>
      <c r="E64" s="410"/>
      <c r="F64" s="410"/>
      <c r="G64" s="403"/>
      <c r="H64" s="1"/>
      <c r="I64" s="423"/>
      <c r="J64" s="428"/>
      <c r="K64" s="429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1" t="str">
        <f>AÑO!A16</f>
        <v>Otros</v>
      </c>
      <c r="J65" s="424"/>
      <c r="K65" s="425"/>
      <c r="L65" s="231"/>
      <c r="M65" s="1"/>
      <c r="R65" s="3"/>
    </row>
    <row r="66" spans="1:18" ht="15.75">
      <c r="A66" s="112">
        <f>'03'!A66+(B66+B67-SUM(D66:F78))</f>
        <v>62.180000000000014</v>
      </c>
      <c r="B66" s="133">
        <v>160</v>
      </c>
      <c r="C66" s="19" t="s">
        <v>33</v>
      </c>
      <c r="D66" s="137"/>
      <c r="E66" s="138"/>
      <c r="F66" s="138">
        <v>10</v>
      </c>
      <c r="G66" s="19" t="s">
        <v>453</v>
      </c>
      <c r="H66" s="1"/>
      <c r="I66" s="422"/>
      <c r="J66" s="426"/>
      <c r="K66" s="427"/>
      <c r="L66" s="229"/>
      <c r="M66" s="1"/>
      <c r="R66" s="3"/>
    </row>
    <row r="67" spans="1:18" ht="15.75">
      <c r="A67" s="1"/>
      <c r="B67" s="134">
        <v>-50</v>
      </c>
      <c r="C67" s="16" t="s">
        <v>465</v>
      </c>
      <c r="D67" s="137">
        <v>41</v>
      </c>
      <c r="E67" s="138"/>
      <c r="F67" s="138"/>
      <c r="G67" s="31" t="s">
        <v>459</v>
      </c>
      <c r="H67" s="1"/>
      <c r="I67" s="422"/>
      <c r="J67" s="426"/>
      <c r="K67" s="427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2"/>
      <c r="J68" s="426"/>
      <c r="K68" s="427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7"/>
      <c r="J69" s="438"/>
      <c r="K69" s="439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60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122.18</v>
      </c>
      <c r="B80" s="233">
        <f>SUM(B66:B79)</f>
        <v>120</v>
      </c>
      <c r="C80" s="17" t="s">
        <v>53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02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57.56</v>
      </c>
      <c r="E86" s="138"/>
      <c r="F86" s="138"/>
      <c r="G86" s="16" t="s">
        <v>443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460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466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02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1.7500000000000284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'03'!A108+(B108-SUM(D108:F109))</f>
        <v>333.09999999999991</v>
      </c>
      <c r="B108" s="134">
        <v>50</v>
      </c>
      <c r="C108" s="18" t="s">
        <v>187</v>
      </c>
      <c r="D108" s="137">
        <v>50</v>
      </c>
      <c r="E108" s="138"/>
      <c r="F108" s="138"/>
      <c r="G108" s="34" t="s">
        <v>455</v>
      </c>
      <c r="H108" s="1"/>
      <c r="M108" s="1"/>
      <c r="R108" s="3"/>
    </row>
    <row r="109" spans="1:18" ht="15.75">
      <c r="A109" s="112">
        <f>'03'!A109+(B109+B110+B111-SUM(D110:F119))</f>
        <v>3332.5300000000007</v>
      </c>
      <c r="B109" s="134">
        <v>67.53</v>
      </c>
      <c r="C109" s="18" t="s">
        <v>456</v>
      </c>
      <c r="D109" s="137">
        <v>11</v>
      </c>
      <c r="E109" s="138"/>
      <c r="F109" s="138">
        <v>3</v>
      </c>
      <c r="G109" s="31" t="s">
        <v>461</v>
      </c>
      <c r="H109" s="1"/>
      <c r="M109" s="1"/>
      <c r="R109" s="3"/>
    </row>
    <row r="110" spans="1:18" ht="15.75">
      <c r="B110" s="134">
        <v>1370</v>
      </c>
      <c r="C110" s="18" t="s">
        <v>444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445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334.84999999999991</v>
      </c>
      <c r="B120" s="135">
        <f>SUM(B106:B119)</f>
        <v>1933.35</v>
      </c>
      <c r="C120" s="17" t="s">
        <v>53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02" t="s">
        <v>9</v>
      </c>
      <c r="E124" s="410"/>
      <c r="F124" s="410"/>
      <c r="G124" s="403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'03'!A126+(B126-SUM(D126:F126))</f>
        <v>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'03'!A127+(B127-SUM(D127:F128))</f>
        <v>-2.5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02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16.579999999999998</v>
      </c>
      <c r="E146" s="138"/>
      <c r="F146" s="138"/>
      <c r="G146" s="16" t="s">
        <v>427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02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87.3</v>
      </c>
      <c r="E166" s="138"/>
      <c r="F166" s="138"/>
      <c r="G166" s="16" t="s">
        <v>435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438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440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441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447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451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464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53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02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f>25.99</f>
        <v>25.99</v>
      </c>
      <c r="E186" s="138"/>
      <c r="F186" s="138"/>
      <c r="G186" s="16" t="s">
        <v>437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429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53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02" t="s">
        <v>9</v>
      </c>
      <c r="E204" s="410"/>
      <c r="F204" s="410"/>
      <c r="G204" s="40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436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02" t="s">
        <v>9</v>
      </c>
      <c r="E224" s="410"/>
      <c r="F224" s="410"/>
      <c r="G224" s="40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7" ht="15" customHeight="1" thickBot="1">
      <c r="B243" s="413"/>
      <c r="C243" s="414"/>
      <c r="D243" s="414"/>
      <c r="E243" s="414"/>
      <c r="F243" s="414"/>
      <c r="G243" s="415"/>
    </row>
    <row r="244" spans="1:7" ht="15" customHeight="1">
      <c r="B244" s="402" t="s">
        <v>8</v>
      </c>
      <c r="C244" s="403"/>
      <c r="D244" s="402" t="s">
        <v>9</v>
      </c>
      <c r="E244" s="410"/>
      <c r="F244" s="410"/>
      <c r="G244" s="403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403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410</v>
      </c>
      <c r="D256" s="137"/>
      <c r="E256" s="138"/>
      <c r="F256" s="138"/>
      <c r="G256" s="16"/>
    </row>
    <row r="257" spans="1:7" ht="15.75">
      <c r="A257" s="112">
        <f>'03'!A257+(B257-SUM(D257:F257))</f>
        <v>269.13</v>
      </c>
      <c r="B257" s="134">
        <f>40+169.13</f>
        <v>209.13</v>
      </c>
      <c r="C257" s="16" t="s">
        <v>432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404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405</v>
      </c>
      <c r="D259" s="135"/>
      <c r="E259" s="139"/>
      <c r="F259" s="139"/>
      <c r="G259" s="17"/>
    </row>
    <row r="260" spans="1:7" ht="16.5" thickBot="1">
      <c r="A260" s="112">
        <f>SUM(A246:A259)</f>
        <v>413.85</v>
      </c>
      <c r="B260" s="135">
        <f>SUM(B246:B259)</f>
        <v>269.13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7" ht="15" customHeight="1" thickBot="1">
      <c r="B263" s="413"/>
      <c r="C263" s="414"/>
      <c r="D263" s="414"/>
      <c r="E263" s="414"/>
      <c r="F263" s="414"/>
      <c r="G263" s="415"/>
    </row>
    <row r="264" spans="1:7">
      <c r="B264" s="402" t="s">
        <v>8</v>
      </c>
      <c r="C264" s="403"/>
      <c r="D264" s="402" t="s">
        <v>9</v>
      </c>
      <c r="E264" s="410"/>
      <c r="F264" s="410"/>
      <c r="G264" s="403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428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02" t="s">
        <v>9</v>
      </c>
      <c r="E284" s="410"/>
      <c r="F284" s="410"/>
      <c r="G284" s="40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9.9</v>
      </c>
      <c r="E286" s="138"/>
      <c r="F286" s="138"/>
      <c r="G286" s="16" t="s">
        <v>433</v>
      </c>
    </row>
    <row r="287" spans="2:8">
      <c r="B287" s="134"/>
      <c r="C287" s="16"/>
      <c r="D287" s="137">
        <v>9.65</v>
      </c>
      <c r="E287" s="138"/>
      <c r="F287" s="138"/>
      <c r="G287" s="16" t="s">
        <v>439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448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02" t="s">
        <v>9</v>
      </c>
      <c r="E304" s="410"/>
      <c r="F304" s="410"/>
      <c r="G304" s="40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463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442</v>
      </c>
    </row>
    <row r="308" spans="2:7">
      <c r="B308" s="134">
        <f>L55+L56+L57</f>
        <v>37.980000000000004</v>
      </c>
      <c r="C308" s="27" t="s">
        <v>467</v>
      </c>
      <c r="D308" s="137"/>
      <c r="E308" s="138"/>
      <c r="F308" s="138">
        <v>50</v>
      </c>
      <c r="G308" s="16" t="s">
        <v>449</v>
      </c>
    </row>
    <row r="309" spans="2:7">
      <c r="B309" s="134"/>
      <c r="C309" s="16"/>
      <c r="D309" s="137">
        <v>63.9</v>
      </c>
      <c r="E309" s="138"/>
      <c r="F309" s="138"/>
      <c r="G309" s="16" t="s">
        <v>469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167.98000000000002</v>
      </c>
      <c r="C320" s="17" t="s">
        <v>53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04" t="str">
        <f>AÑO!A36</f>
        <v>Nenas</v>
      </c>
      <c r="C322" s="405"/>
      <c r="D322" s="405"/>
      <c r="E322" s="405"/>
      <c r="F322" s="405"/>
      <c r="G322" s="406"/>
    </row>
    <row r="323" spans="2:7" ht="15" customHeight="1" thickBot="1">
      <c r="B323" s="407"/>
      <c r="C323" s="408"/>
      <c r="D323" s="408"/>
      <c r="E323" s="408"/>
      <c r="F323" s="408"/>
      <c r="G323" s="409"/>
    </row>
    <row r="324" spans="2:7">
      <c r="B324" s="402" t="s">
        <v>8</v>
      </c>
      <c r="C324" s="403"/>
      <c r="D324" s="402" t="s">
        <v>9</v>
      </c>
      <c r="E324" s="410"/>
      <c r="F324" s="410"/>
      <c r="G324" s="40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60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4" t="str">
        <f>AÑO!A37</f>
        <v>Impuestos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02" t="s">
        <v>9</v>
      </c>
      <c r="E344" s="410"/>
      <c r="F344" s="410"/>
      <c r="G344" s="40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02" t="s">
        <v>9</v>
      </c>
      <c r="E364" s="410"/>
      <c r="F364" s="410"/>
      <c r="G364" s="40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3.4+4.45+4.7+2.8+4.45+4.5</f>
        <v>24.3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05"/>
      <c r="D382" s="405"/>
      <c r="E382" s="405"/>
      <c r="F382" s="405"/>
      <c r="G382" s="406"/>
    </row>
    <row r="383" spans="2:7" ht="15" customHeight="1" thickBot="1">
      <c r="B383" s="407"/>
      <c r="C383" s="408"/>
      <c r="D383" s="408"/>
      <c r="E383" s="408"/>
      <c r="F383" s="408"/>
      <c r="G383" s="409"/>
    </row>
    <row r="384" spans="2:7">
      <c r="B384" s="402" t="s">
        <v>8</v>
      </c>
      <c r="C384" s="403"/>
      <c r="D384" s="402" t="s">
        <v>9</v>
      </c>
      <c r="E384" s="410"/>
      <c r="F384" s="410"/>
      <c r="G384" s="40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444</v>
      </c>
      <c r="D387" s="137"/>
      <c r="E387" s="138"/>
      <c r="F387" s="138"/>
      <c r="G387" s="16"/>
    </row>
    <row r="388" spans="2:7">
      <c r="B388" s="134">
        <v>106.26</v>
      </c>
      <c r="C388" s="27" t="s">
        <v>445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02" t="s">
        <v>9</v>
      </c>
      <c r="E404" s="410"/>
      <c r="F404" s="410"/>
      <c r="G404" s="40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426</v>
      </c>
    </row>
    <row r="407" spans="2:7">
      <c r="B407" s="134">
        <v>3.75</v>
      </c>
      <c r="C407" s="16" t="s">
        <v>425</v>
      </c>
      <c r="D407" s="137"/>
      <c r="E407" s="138">
        <f>10+10</f>
        <v>20</v>
      </c>
      <c r="F407" s="138"/>
      <c r="G407" s="16" t="s">
        <v>450</v>
      </c>
    </row>
    <row r="408" spans="2:7">
      <c r="B408" s="134">
        <v>984.2</v>
      </c>
      <c r="C408" s="18" t="s">
        <v>444</v>
      </c>
      <c r="D408" s="137"/>
      <c r="E408" s="138"/>
      <c r="F408" s="138"/>
      <c r="G408" s="16"/>
    </row>
    <row r="409" spans="2:7">
      <c r="B409" s="134">
        <v>85.02</v>
      </c>
      <c r="C409" s="27" t="s">
        <v>445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53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02" t="s">
        <v>9</v>
      </c>
      <c r="E424" s="410"/>
      <c r="F424" s="410"/>
      <c r="G424" s="403"/>
    </row>
    <row r="425" spans="1:7">
      <c r="A425" s="113">
        <f>AÑO!O17</f>
        <v>4322.7000000000007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-176.09999999999854</v>
      </c>
      <c r="C426" s="19" t="s">
        <v>234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468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1.4495071809506044E-12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-4084.2</v>
      </c>
      <c r="C446" s="19" t="s">
        <v>444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Cartama Finanazas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'03'!A466+(B466+B469-SUM(D466:F466))</f>
        <v>550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'03'!A467+(B467-SUM(D467:F467))</f>
        <v>275.22999999999996</v>
      </c>
      <c r="B467" s="134">
        <v>50</v>
      </c>
      <c r="C467" s="16" t="s">
        <v>454</v>
      </c>
      <c r="D467" s="137"/>
      <c r="E467" s="138"/>
      <c r="F467" s="138"/>
      <c r="G467" s="16"/>
    </row>
    <row r="468" spans="1:7" ht="15.75">
      <c r="A468" s="112">
        <f>'03'!A468+(B468+B470-SUM(D468:F468))</f>
        <v>143.4</v>
      </c>
      <c r="B468" s="134">
        <f>15+15</f>
        <v>30</v>
      </c>
      <c r="C468" s="16" t="s">
        <v>186</v>
      </c>
      <c r="D468" s="137"/>
      <c r="E468" s="138"/>
      <c r="F468" s="138"/>
      <c r="G468" s="16"/>
    </row>
    <row r="469" spans="1:7">
      <c r="B469" s="134">
        <v>500</v>
      </c>
      <c r="C469" s="18" t="s">
        <v>444</v>
      </c>
      <c r="D469" s="137"/>
      <c r="E469" s="138"/>
      <c r="F469" s="138"/>
      <c r="G469" s="16"/>
    </row>
    <row r="470" spans="1:7">
      <c r="B470" s="134">
        <v>43.19</v>
      </c>
      <c r="C470" s="27" t="s">
        <v>445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968.63</v>
      </c>
      <c r="B480" s="135">
        <f>SUM(B466:B479)</f>
        <v>623.19000000000005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02" t="s">
        <v>9</v>
      </c>
      <c r="E504" s="410"/>
      <c r="F504" s="410"/>
      <c r="G504" s="40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44B0EF4E-CDA6-4072-B19D-0D0D50A79FA8}"/>
    <hyperlink ref="I2:L3" location="AÑO!O4:R5" display="SALDO REAL" xr:uid="{FDEBDC15-9A85-4C35-9E51-153769F630A4}"/>
    <hyperlink ref="B2" location="Trimestre!C25:F26" display="HIPOTECA" xr:uid="{D5F80744-3D87-4F3C-8A03-0B734ED81551}"/>
    <hyperlink ref="B2:G3" location="AÑO!O20:R20" display="AÑO!O20:R20" xr:uid="{59D7F244-5CCA-4427-8651-0A1B275F694E}"/>
    <hyperlink ref="I22" location="Trimestre!C39:F40" display="TELÉFONO" xr:uid="{53FAA395-FDDD-4B48-859B-2863C0B4377F}"/>
    <hyperlink ref="I22:L23" location="AÑO!O7:R17" display="INGRESOS" xr:uid="{429CFE6D-6AB3-494E-85F1-33F7BD628F71}"/>
    <hyperlink ref="B22" location="Trimestre!C25:F26" display="HIPOTECA" xr:uid="{5633A202-D7F2-46B7-A489-B7E67F370F58}"/>
    <hyperlink ref="B22:G23" location="AÑO!O21:R21" display="AÑO!O21:R21" xr:uid="{C6C30D59-3DB8-440D-927D-6970D684DF2A}"/>
    <hyperlink ref="B42" location="Trimestre!C25:F26" display="HIPOTECA" xr:uid="{BF3802A4-7C7B-434C-9AB0-4C1188079EA9}"/>
    <hyperlink ref="B42:G43" location="AÑO!O22:R22" display="AÑO!O22:R22" xr:uid="{E90CA672-6360-49C5-86B0-F81B0DA5F4C0}"/>
    <hyperlink ref="B62" location="Trimestre!C25:F26" display="HIPOTECA" xr:uid="{89346B30-B033-448D-BE9D-E76C27541125}"/>
    <hyperlink ref="B62:G63" location="AÑO!O23:R23" display="AÑO!O23:R23" xr:uid="{C871088A-FC6E-4857-97EC-5CD070BEB988}"/>
    <hyperlink ref="B82" location="Trimestre!C25:F26" display="HIPOTECA" xr:uid="{A62F0B3C-65A9-45F0-8509-703AB2A2DECF}"/>
    <hyperlink ref="B82:G83" location="AÑO!O24:R24" display="AÑO!O24:R24" xr:uid="{D0901DC4-4F48-4977-AB13-81C49B227206}"/>
    <hyperlink ref="B102" location="Trimestre!C25:F26" display="HIPOTECA" xr:uid="{EFAC83BF-4F05-4156-919B-B8D5BAEE9DCC}"/>
    <hyperlink ref="B102:G103" location="AÑO!O25:R25" display="AÑO!O25:R25" xr:uid="{37FB124F-B7DB-4F33-9888-A19E144019BF}"/>
    <hyperlink ref="B122" location="Trimestre!C25:F26" display="HIPOTECA" xr:uid="{52CF60A6-A5EF-48B9-A897-7EC51A59F09B}"/>
    <hyperlink ref="B122:G123" location="AÑO!O26:R26" display="AÑO!O26:R26" xr:uid="{000792E3-2BB0-4513-AB03-B04505D00B10}"/>
    <hyperlink ref="B142" location="Trimestre!C25:F26" display="HIPOTECA" xr:uid="{EE14B5AC-71DF-4FDA-A379-27A75A7B810E}"/>
    <hyperlink ref="B142:G143" location="AÑO!O27:R27" display="AÑO!O27:R27" xr:uid="{AF3ED0C3-B136-4C03-94B7-99C4E4341C3D}"/>
    <hyperlink ref="B162" location="Trimestre!C25:F26" display="HIPOTECA" xr:uid="{78A47A88-562B-40EE-9527-3221B700E94F}"/>
    <hyperlink ref="B162:G163" location="AÑO!O28:R28" display="AÑO!O28:R28" xr:uid="{2916D287-5990-4D96-BDF4-D981B95F8DD5}"/>
    <hyperlink ref="B182" location="Trimestre!C25:F26" display="HIPOTECA" xr:uid="{DAE1186B-8E2E-4231-AABF-FF850E554AFF}"/>
    <hyperlink ref="B182:G183" location="AÑO!O29:R29" display="AÑO!O29:R29" xr:uid="{5A7B46C1-27E0-40FA-990E-666E8286DA59}"/>
    <hyperlink ref="B202" location="Trimestre!C25:F26" display="HIPOTECA" xr:uid="{A2611894-DEFE-40BA-BCD1-75564B4BABFF}"/>
    <hyperlink ref="B202:G203" location="AÑO!O30:R30" display="AÑO!O30:R30" xr:uid="{754454E5-B507-4431-893C-4810509E7092}"/>
    <hyperlink ref="B222" location="Trimestre!C25:F26" display="HIPOTECA" xr:uid="{857A253E-2F9E-47E6-95BC-85CDAB223DD4}"/>
    <hyperlink ref="B222:G223" location="AÑO!O31:R31" display="AÑO!O31:R31" xr:uid="{8EBD7753-731F-4EDD-AA22-130B8EBAEBD3}"/>
    <hyperlink ref="B242" location="Trimestre!C25:F26" display="HIPOTECA" xr:uid="{E95226DC-B8FA-4FC5-83A5-366E0353B240}"/>
    <hyperlink ref="B242:G243" location="AÑO!O32:R32" display="AÑO!O32:R32" xr:uid="{FC91C480-4AA8-4FDA-8E46-647118B40834}"/>
    <hyperlink ref="B262" location="Trimestre!C25:F26" display="HIPOTECA" xr:uid="{F27C4A5B-4DBD-48B2-B661-E92B7750F1F3}"/>
    <hyperlink ref="B262:G263" location="AÑO!O33:R33" display="AÑO!O33:R33" xr:uid="{C90D6F52-C45D-4670-8ACD-1298EA741B5A}"/>
    <hyperlink ref="B282" location="Trimestre!C25:F26" display="HIPOTECA" xr:uid="{E6485DD3-805A-4123-A9D9-B44B23612A49}"/>
    <hyperlink ref="B282:G283" location="AÑO!O34:R34" display="AÑO!O34:R34" xr:uid="{3ACC60EA-3C6F-4B5B-822F-A88EBA74AA0A}"/>
    <hyperlink ref="B302" location="Trimestre!C25:F26" display="HIPOTECA" xr:uid="{993262DE-7874-40FB-B7F8-FB370217818E}"/>
    <hyperlink ref="B302:G303" location="AÑO!O35:R35" display="AÑO!O35:R35" xr:uid="{972C0BFB-EF59-4B29-BCBC-7CAB9C48A629}"/>
    <hyperlink ref="B322" location="Trimestre!C25:F26" display="HIPOTECA" xr:uid="{19097D5F-F82A-4256-B7D9-C7B659A49769}"/>
    <hyperlink ref="B322:G323" location="AÑO!O36:R36" display="AÑO!O36:R36" xr:uid="{6CD31B9B-DE52-4694-B662-0B3701AD146C}"/>
    <hyperlink ref="B342" location="Trimestre!C25:F26" display="HIPOTECA" xr:uid="{92C2B37B-6935-4D4A-A43C-BA06AAFB6641}"/>
    <hyperlink ref="B342:G343" location="AÑO!O37:R37" display="AÑO!O37:R37" xr:uid="{EAC8DD4B-8083-4118-B835-A2C90EB33208}"/>
    <hyperlink ref="B362" location="Trimestre!C25:F26" display="HIPOTECA" xr:uid="{B71CD5E6-4518-4622-97D3-F8A92814B046}"/>
    <hyperlink ref="B362:G363" location="AÑO!O38:R38" display="AÑO!O38:R38" xr:uid="{61EC5322-7F64-45F5-978D-732DB1F83943}"/>
    <hyperlink ref="B382" location="Trimestre!C25:F26" display="HIPOTECA" xr:uid="{1056737B-6061-46B1-A2D1-F5CECF51EAF8}"/>
    <hyperlink ref="B382:G383" location="AÑO!O39:R39" display="AÑO!O39:R39" xr:uid="{35522922-BCAA-4597-8299-A4841F9CC5E4}"/>
    <hyperlink ref="B402" location="Trimestre!C25:F26" display="HIPOTECA" xr:uid="{EE0677DB-5491-49C4-B97E-CC206E73A013}"/>
    <hyperlink ref="B402:G403" location="AÑO!O40:R40" display="AÑO!O40:R40" xr:uid="{F93EC8BC-59D2-4B2C-88B8-A748790BA545}"/>
    <hyperlink ref="B422" location="Trimestre!C25:F26" display="HIPOTECA" xr:uid="{6FC0283C-2EC6-4BA0-8C86-74F7322E0238}"/>
    <hyperlink ref="B422:G423" location="AÑO!O41:R41" display="AÑO!O41:R41" xr:uid="{687E759A-B34D-4B5A-B709-96F1BBF032C8}"/>
    <hyperlink ref="B442" location="Trimestre!C25:F26" display="HIPOTECA" xr:uid="{B7CC8684-2024-4A71-A683-48C63410212E}"/>
    <hyperlink ref="B442:G443" location="AÑO!O42:R42" display="AÑO!O42:R42" xr:uid="{91F5E2E1-C1CB-4063-A23E-E5E6FBE0FA9C}"/>
    <hyperlink ref="B462" location="Trimestre!C25:F26" display="HIPOTECA" xr:uid="{8BC14257-4E93-4266-8A6F-9C9AD94A268B}"/>
    <hyperlink ref="B462:G463" location="AÑO!O43:R43" display="AÑO!O43:R43" xr:uid="{9A9F106A-F1F5-499D-BB1E-05038086B253}"/>
    <hyperlink ref="B482" location="Trimestre!C25:F26" display="HIPOTECA" xr:uid="{0238B1D4-DF20-4009-92C3-B93E035B865C}"/>
    <hyperlink ref="B482:G483" location="AÑO!O44:R44" display="AÑO!O44:R44" xr:uid="{87A30D55-8252-4329-9F9F-0CFAA3B8E831}"/>
    <hyperlink ref="B502" location="Trimestre!C25:F26" display="HIPOTECA" xr:uid="{2311723A-4B09-40AE-85DC-A7780DA35239}"/>
    <hyperlink ref="B502:G503" location="AÑO!O45:R45" display="AÑO!O45:R45" xr:uid="{22B382B5-862E-4BCC-B47D-ADD75900A821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35" workbookViewId="0">
      <selection activeCell="B42" sqref="B42:G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 Gastos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02" t="s">
        <v>9</v>
      </c>
      <c r="E4" s="410"/>
      <c r="F4" s="410"/>
      <c r="G4" s="403"/>
      <c r="H4" s="222"/>
      <c r="I4" s="40" t="s">
        <v>57</v>
      </c>
      <c r="J4" s="105" t="s">
        <v>58</v>
      </c>
      <c r="K4" s="430" t="s">
        <v>59</v>
      </c>
      <c r="L4" s="43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2">
        <v>1773.93</v>
      </c>
      <c r="L5" s="433"/>
      <c r="M5" s="1"/>
      <c r="N5" s="1"/>
      <c r="R5" s="3"/>
    </row>
    <row r="6" spans="1:22" ht="15.75">
      <c r="A6" s="112">
        <f>'04'!A6+(B6-SUM(D6:F6))</f>
        <v>409.08</v>
      </c>
      <c r="B6" s="133">
        <v>403.08</v>
      </c>
      <c r="C6" s="19" t="s">
        <v>377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6">
        <v>620.1</v>
      </c>
      <c r="L6" s="417"/>
      <c r="M6" s="1" t="s">
        <v>165</v>
      </c>
      <c r="N6" s="1"/>
      <c r="R6" s="3"/>
    </row>
    <row r="7" spans="1:22" ht="15.75">
      <c r="A7" s="112">
        <f>'04'!A7+(B7-SUM(D7:F7))</f>
        <v>35.669999999999959</v>
      </c>
      <c r="B7" s="134">
        <v>67.19</v>
      </c>
      <c r="C7" s="16" t="s">
        <v>401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6">
        <v>7144.52</v>
      </c>
      <c r="L7" s="417"/>
      <c r="M7" s="1"/>
      <c r="N7" s="1"/>
      <c r="R7" s="3"/>
    </row>
    <row r="8" spans="1:22" ht="15.75">
      <c r="A8" s="112">
        <f>'04'!A8+(B8-SUM(D8:F8))</f>
        <v>0</v>
      </c>
      <c r="B8" s="134">
        <v>102.44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6">
        <v>10005.620000000001</v>
      </c>
      <c r="L8" s="417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6">
        <v>514.82000000000005</v>
      </c>
      <c r="L9" s="417"/>
      <c r="M9" s="1"/>
      <c r="N9" s="1"/>
      <c r="R9" s="3"/>
    </row>
    <row r="10" spans="1:22" ht="15.75">
      <c r="A10" s="112">
        <f>'04'!A10+(B10-SUM(D10:F10))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6">
        <v>1802.02</v>
      </c>
      <c r="L10" s="417"/>
      <c r="M10" s="1" t="s">
        <v>156</v>
      </c>
      <c r="N10" s="1"/>
      <c r="R10" s="3"/>
    </row>
    <row r="11" spans="1:22" ht="15.75">
      <c r="A11" s="112">
        <f>'04'!A11+(B11-SUM(D11:F11))</f>
        <v>-2.9999999999994031E-2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6">
        <f>210</f>
        <v>210</v>
      </c>
      <c r="L11" s="417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6">
        <v>5092.08</v>
      </c>
      <c r="L12" s="417"/>
      <c r="M12" s="92"/>
      <c r="N12" s="1"/>
      <c r="R12" s="3"/>
    </row>
    <row r="13" spans="1:22" ht="15.75">
      <c r="A13" s="112">
        <f>'04'!A13+(B13-SUM(D13:F13))</f>
        <v>18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1">
        <f>SUM(K5:K18)</f>
        <v>27163.090000000004</v>
      </c>
      <c r="L19" s="442"/>
      <c r="M19" s="1"/>
      <c r="N19" s="1"/>
      <c r="R19" s="3"/>
    </row>
    <row r="20" spans="1:18" ht="16.5" thickBot="1">
      <c r="A20" s="112">
        <f>SUM(A6:A15)</f>
        <v>637.76</v>
      </c>
      <c r="B20" s="135">
        <f>SUM(B6:B19)</f>
        <v>646.44000000000005</v>
      </c>
      <c r="C20" s="17" t="s">
        <v>53</v>
      </c>
      <c r="D20" s="135">
        <f>SUM(D6:D19)</f>
        <v>0</v>
      </c>
      <c r="E20" s="135">
        <f>SUM(E6:E19)</f>
        <v>42.239999999999995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02" t="s">
        <v>9</v>
      </c>
      <c r="E24" s="410"/>
      <c r="F24" s="410"/>
      <c r="G24" s="403"/>
      <c r="H24" s="1"/>
      <c r="I24" s="40" t="s">
        <v>31</v>
      </c>
      <c r="J24" s="435" t="s">
        <v>87</v>
      </c>
      <c r="K24" s="436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1" t="str">
        <f>AÑO!A8</f>
        <v>Manolo Salario</v>
      </c>
      <c r="J25" s="424" t="s">
        <v>402</v>
      </c>
      <c r="K25" s="425"/>
      <c r="L25" s="231">
        <v>4448.8500000000004</v>
      </c>
      <c r="M25" s="1"/>
      <c r="R25" s="3"/>
    </row>
    <row r="26" spans="1:18" ht="15.75">
      <c r="A26" s="112">
        <f>'04'!A26+(B26-SUM(D26:F26))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2"/>
      <c r="J26" s="426"/>
      <c r="K26" s="427"/>
      <c r="L26" s="229"/>
      <c r="M26" s="1"/>
      <c r="R26" s="3"/>
    </row>
    <row r="27" spans="1:18" ht="15.75">
      <c r="A27" s="112">
        <f>'04'!A27+(B27-SUM(D27:F27))</f>
        <v>26.019999999999982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2"/>
      <c r="J27" s="426"/>
      <c r="K27" s="427"/>
      <c r="L27" s="229"/>
      <c r="M27" s="1"/>
      <c r="R27" s="3"/>
    </row>
    <row r="28" spans="1:18" ht="15.75">
      <c r="A28" s="112">
        <f>'04'!A28+(B28-SUM(D28:F28))</f>
        <v>78.300000000000011</v>
      </c>
      <c r="B28" s="134">
        <v>40</v>
      </c>
      <c r="C28" s="27" t="s">
        <v>41</v>
      </c>
      <c r="D28" s="137">
        <v>167.82</v>
      </c>
      <c r="E28" s="138"/>
      <c r="F28" s="138"/>
      <c r="G28" s="16" t="s">
        <v>41</v>
      </c>
      <c r="H28" s="1"/>
      <c r="I28" s="422"/>
      <c r="J28" s="426"/>
      <c r="K28" s="427"/>
      <c r="L28" s="229"/>
      <c r="M28" s="1"/>
      <c r="R28" s="3"/>
    </row>
    <row r="29" spans="1:18" ht="15.75">
      <c r="A29" s="112">
        <f>'04'!A29+(B29-SUM(D29:F29))</f>
        <v>1.4300000000000033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3"/>
      <c r="J29" s="428"/>
      <c r="K29" s="429"/>
      <c r="L29" s="230"/>
      <c r="M29" s="1"/>
      <c r="R29" s="3"/>
    </row>
    <row r="30" spans="1:18" ht="15.75" customHeight="1">
      <c r="A30" s="112">
        <f>'04'!A30+(B30-SUM(D30:F30))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431</v>
      </c>
      <c r="K30" s="425"/>
      <c r="L30" s="231">
        <v>358.14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 t="s">
        <v>363</v>
      </c>
      <c r="K31" s="427"/>
      <c r="L31" s="229">
        <v>40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 t="s">
        <v>328</v>
      </c>
      <c r="K32" s="427"/>
      <c r="L32" s="229">
        <v>180.03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218</v>
      </c>
      <c r="J35" s="424"/>
      <c r="K35" s="425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30"/>
      <c r="M39" s="1"/>
      <c r="R39" s="3"/>
    </row>
    <row r="40" spans="1:18" ht="16.5" thickBot="1">
      <c r="A40" s="112">
        <f>SUM(A26:A35)</f>
        <v>292.02999999999997</v>
      </c>
      <c r="B40" s="135">
        <f>SUM(B26:B39)</f>
        <v>1148</v>
      </c>
      <c r="C40" s="17" t="s">
        <v>53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1" t="str">
        <f>AÑO!A11</f>
        <v>Finanazas</v>
      </c>
      <c r="J40" s="424" t="s">
        <v>474</v>
      </c>
      <c r="K40" s="425"/>
      <c r="L40" s="231">
        <v>45.86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229"/>
      <c r="M41" s="1"/>
      <c r="R41" s="3"/>
    </row>
    <row r="42" spans="1:18" ht="15.6" customHeight="1">
      <c r="A42" s="1"/>
      <c r="B42" s="404" t="str">
        <f>AÑO!A22</f>
        <v>Comida+Limpieza</v>
      </c>
      <c r="C42" s="411"/>
      <c r="D42" s="411"/>
      <c r="E42" s="411"/>
      <c r="F42" s="411"/>
      <c r="G42" s="412"/>
      <c r="H42" s="1"/>
      <c r="I42" s="422"/>
      <c r="J42" s="426"/>
      <c r="K42" s="427"/>
      <c r="L42" s="22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229"/>
      <c r="M43" s="1"/>
      <c r="R43" s="3"/>
    </row>
    <row r="44" spans="1:18" ht="15.75">
      <c r="A44" s="1"/>
      <c r="B44" s="402" t="s">
        <v>8</v>
      </c>
      <c r="C44" s="403"/>
      <c r="D44" s="402" t="s">
        <v>9</v>
      </c>
      <c r="E44" s="410"/>
      <c r="F44" s="410"/>
      <c r="G44" s="403"/>
      <c r="H44" s="1"/>
      <c r="I44" s="423"/>
      <c r="J44" s="428"/>
      <c r="K44" s="429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1" t="str">
        <f>AÑO!A12</f>
        <v>Regalos</v>
      </c>
      <c r="J45" s="424"/>
      <c r="K45" s="425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473</v>
      </c>
      <c r="H46" s="1"/>
      <c r="I46" s="422"/>
      <c r="J46" s="426"/>
      <c r="K46" s="427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f>70.78-D146</f>
        <v>11.780000000000001</v>
      </c>
      <c r="E47" s="138"/>
      <c r="F47" s="138"/>
      <c r="G47" s="16" t="s">
        <v>476</v>
      </c>
      <c r="H47" s="1"/>
      <c r="I47" s="422"/>
      <c r="J47" s="426"/>
      <c r="K47" s="427"/>
      <c r="L47" s="229"/>
      <c r="M47" s="1"/>
      <c r="R47" s="3"/>
    </row>
    <row r="48" spans="1:18" ht="15.75">
      <c r="A48" s="1"/>
      <c r="B48" s="134"/>
      <c r="C48" s="16" t="s">
        <v>458</v>
      </c>
      <c r="D48" s="137">
        <v>27.34</v>
      </c>
      <c r="E48" s="138"/>
      <c r="F48" s="138"/>
      <c r="G48" s="16" t="s">
        <v>483</v>
      </c>
      <c r="H48" s="1"/>
      <c r="I48" s="422"/>
      <c r="J48" s="426"/>
      <c r="K48" s="427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484</v>
      </c>
      <c r="H49" s="1"/>
      <c r="I49" s="423"/>
      <c r="J49" s="428"/>
      <c r="K49" s="429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492</v>
      </c>
      <c r="H50" s="1"/>
      <c r="I50" s="421" t="str">
        <f>AÑO!A13</f>
        <v>Gubernamental</v>
      </c>
      <c r="J50" s="424" t="s">
        <v>485</v>
      </c>
      <c r="K50" s="425"/>
      <c r="L50" s="231">
        <v>95.8</v>
      </c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493</v>
      </c>
      <c r="H51" s="1"/>
      <c r="I51" s="422"/>
      <c r="J51" s="426"/>
      <c r="K51" s="427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497</v>
      </c>
      <c r="H52" s="1"/>
      <c r="I52" s="422"/>
      <c r="J52" s="426"/>
      <c r="K52" s="427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500</v>
      </c>
      <c r="H53" s="1"/>
      <c r="I53" s="422"/>
      <c r="J53" s="426"/>
      <c r="K53" s="427"/>
      <c r="L53" s="229"/>
      <c r="M53" s="1"/>
      <c r="R53" s="3"/>
    </row>
    <row r="54" spans="1:18" ht="15.75">
      <c r="A54" s="1"/>
      <c r="B54" s="134"/>
      <c r="C54" s="16"/>
      <c r="D54" s="137">
        <v>57.23</v>
      </c>
      <c r="E54" s="138"/>
      <c r="F54" s="138"/>
      <c r="G54" s="16" t="s">
        <v>610</v>
      </c>
      <c r="H54" s="1"/>
      <c r="I54" s="423"/>
      <c r="J54" s="428"/>
      <c r="K54" s="429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611</v>
      </c>
      <c r="H55" s="1"/>
      <c r="I55" s="421" t="str">
        <f>AÑO!A14</f>
        <v>Mutualite/DKV</v>
      </c>
      <c r="J55" s="424" t="s">
        <v>479</v>
      </c>
      <c r="K55" s="425"/>
      <c r="L55" s="231">
        <v>17.350000000000001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1" t="str">
        <f>AÑO!A15</f>
        <v>Alquiler Cartama</v>
      </c>
      <c r="J60" s="424"/>
      <c r="K60" s="425"/>
      <c r="L60" s="231">
        <v>652.44000000000005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229"/>
      <c r="M63" s="1"/>
      <c r="R63" s="3"/>
    </row>
    <row r="64" spans="1:18" ht="15.75">
      <c r="A64" s="1"/>
      <c r="B64" s="402" t="s">
        <v>8</v>
      </c>
      <c r="C64" s="403"/>
      <c r="D64" s="402" t="s">
        <v>9</v>
      </c>
      <c r="E64" s="410"/>
      <c r="F64" s="410"/>
      <c r="G64" s="403"/>
      <c r="H64" s="1"/>
      <c r="I64" s="423"/>
      <c r="J64" s="428"/>
      <c r="K64" s="429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1" t="str">
        <f>AÑO!A16</f>
        <v>Otros</v>
      </c>
      <c r="J65" s="424"/>
      <c r="K65" s="425"/>
      <c r="L65" s="231"/>
      <c r="M65" s="1"/>
      <c r="R65" s="3"/>
    </row>
    <row r="66" spans="1:18" ht="15.75">
      <c r="A66" s="112">
        <f>'04'!A66+(B66-SUM(D66:F78))</f>
        <v>9.3300000000000196</v>
      </c>
      <c r="B66" s="133">
        <v>160</v>
      </c>
      <c r="C66" s="19" t="s">
        <v>33</v>
      </c>
      <c r="D66" s="137">
        <v>32.799999999999997</v>
      </c>
      <c r="E66" s="138"/>
      <c r="F66" s="138"/>
      <c r="G66" s="19" t="s">
        <v>472</v>
      </c>
      <c r="H66" s="1"/>
      <c r="I66" s="422"/>
      <c r="J66" s="426"/>
      <c r="K66" s="427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481</v>
      </c>
      <c r="H67" s="1"/>
      <c r="I67" s="422"/>
      <c r="J67" s="426"/>
      <c r="K67" s="427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482</v>
      </c>
      <c r="H68" s="1"/>
      <c r="I68" s="422"/>
      <c r="J68" s="426"/>
      <c r="K68" s="427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490</v>
      </c>
      <c r="H69" s="1"/>
      <c r="I69" s="437"/>
      <c r="J69" s="438"/>
      <c r="K69" s="439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491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498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>
        <v>22</v>
      </c>
      <c r="G72" s="16" t="s">
        <v>612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70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79.330000000000013</v>
      </c>
      <c r="B80" s="233">
        <f>SUM(B66:B79)</f>
        <v>170</v>
      </c>
      <c r="C80" s="17" t="s">
        <v>53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02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55.61</v>
      </c>
      <c r="E86" s="138"/>
      <c r="F86" s="138"/>
      <c r="G86" s="16" t="s">
        <v>477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494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503</v>
      </c>
      <c r="H88" s="1"/>
      <c r="M88" s="1"/>
      <c r="R88" s="3"/>
    </row>
    <row r="89" spans="1:18" ht="15.75">
      <c r="A89" s="1"/>
      <c r="B89" s="134"/>
      <c r="C89" s="16"/>
      <c r="D89" s="137">
        <v>58.63</v>
      </c>
      <c r="E89" s="138"/>
      <c r="F89" s="138"/>
      <c r="G89" s="16" t="s">
        <v>613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02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1.8400000000000318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383.09999999999991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2450.0600000000004</v>
      </c>
      <c r="B109" s="134">
        <f>67.53+100</f>
        <v>167.53</v>
      </c>
      <c r="C109" s="18" t="s">
        <v>571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413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384.93999999999994</v>
      </c>
      <c r="B120" s="135">
        <f>SUM(B106:B119)</f>
        <v>-505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02" t="s">
        <v>9</v>
      </c>
      <c r="E124" s="410"/>
      <c r="F124" s="410"/>
      <c r="G124" s="403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'04'!A126+(B126-SUM(D126:F126))</f>
        <v>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'04'!A127+(B127-SUM(D127:F128))</f>
        <v>12.5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'04'!A129+(B129-SUM(D129:F129))</f>
        <v>1.9999999999999574E-2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17.5</v>
      </c>
      <c r="B140" s="135">
        <f>SUM(B126:B139)</f>
        <v>53</v>
      </c>
      <c r="C140" s="17" t="s">
        <v>53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02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59</f>
        <v>59</v>
      </c>
      <c r="E146" s="138"/>
      <c r="F146" s="138"/>
      <c r="G146" s="16" t="s">
        <v>476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496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02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500</v>
      </c>
      <c r="C167" s="16" t="s">
        <v>570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700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02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47.63</v>
      </c>
      <c r="E186" s="138"/>
      <c r="F186" s="138"/>
      <c r="G186" s="16" t="s">
        <v>499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02" t="s">
        <v>9</v>
      </c>
      <c r="E204" s="410"/>
      <c r="F204" s="410"/>
      <c r="G204" s="40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495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02" t="s">
        <v>9</v>
      </c>
      <c r="E224" s="410"/>
      <c r="F224" s="410"/>
      <c r="G224" s="40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7" ht="15" customHeight="1" thickBot="1">
      <c r="B243" s="413"/>
      <c r="C243" s="414"/>
      <c r="D243" s="414"/>
      <c r="E243" s="414"/>
      <c r="F243" s="414"/>
      <c r="G243" s="415"/>
    </row>
    <row r="244" spans="1:7" ht="15" customHeight="1">
      <c r="B244" s="402" t="s">
        <v>8</v>
      </c>
      <c r="C244" s="403"/>
      <c r="D244" s="402" t="s">
        <v>9</v>
      </c>
      <c r="E244" s="410"/>
      <c r="F244" s="410"/>
      <c r="G244" s="403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403</v>
      </c>
      <c r="D246" s="137">
        <v>15</v>
      </c>
      <c r="E246" s="138"/>
      <c r="F246" s="138"/>
      <c r="G246" s="16" t="s">
        <v>493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501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20</v>
      </c>
      <c r="B256" s="134">
        <v>5</v>
      </c>
      <c r="C256" s="16" t="s">
        <v>410</v>
      </c>
      <c r="D256" s="137"/>
      <c r="E256" s="138"/>
      <c r="F256" s="138"/>
      <c r="G256" s="16"/>
    </row>
    <row r="257" spans="1:8" ht="15.75">
      <c r="A257" s="112">
        <f>'04'!A257+(B257-SUM(D257:F257))</f>
        <v>808.13</v>
      </c>
      <c r="B257" s="134">
        <f>40+499</f>
        <v>539</v>
      </c>
      <c r="C257" s="16" t="s">
        <v>432</v>
      </c>
      <c r="D257" s="137"/>
      <c r="E257" s="138"/>
      <c r="F257" s="138"/>
      <c r="G257" s="16"/>
    </row>
    <row r="258" spans="1:8" ht="15.75">
      <c r="A258" s="112">
        <f>'04'!A258+(B258-SUM(D258:F258))</f>
        <v>75</v>
      </c>
      <c r="B258" s="134">
        <v>50</v>
      </c>
      <c r="C258" s="16" t="s">
        <v>404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20</v>
      </c>
      <c r="B259" s="135">
        <v>5</v>
      </c>
      <c r="C259" s="17" t="s">
        <v>405</v>
      </c>
      <c r="D259" s="135"/>
      <c r="E259" s="139"/>
      <c r="F259" s="139"/>
      <c r="G259" s="17"/>
    </row>
    <row r="260" spans="1:8" ht="16.5" thickBot="1">
      <c r="A260" s="112">
        <f>SUM(A246:A255)</f>
        <v>76.150000000000006</v>
      </c>
      <c r="B260" s="135">
        <f>SUM(B246:B259)</f>
        <v>644</v>
      </c>
      <c r="C260" s="17" t="s">
        <v>53</v>
      </c>
      <c r="D260" s="135">
        <f>SUM(D246:D259)</f>
        <v>58.57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8" ht="15" customHeight="1" thickBot="1">
      <c r="B263" s="413"/>
      <c r="C263" s="414"/>
      <c r="D263" s="414"/>
      <c r="E263" s="414"/>
      <c r="F263" s="414"/>
      <c r="G263" s="415"/>
    </row>
    <row r="264" spans="1:8">
      <c r="B264" s="402" t="s">
        <v>8</v>
      </c>
      <c r="C264" s="403"/>
      <c r="D264" s="402" t="s">
        <v>9</v>
      </c>
      <c r="E264" s="410"/>
      <c r="F264" s="410"/>
      <c r="G264" s="403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480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02" t="s">
        <v>9</v>
      </c>
      <c r="E284" s="410"/>
      <c r="F284" s="410"/>
      <c r="G284" s="40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>
        <v>137.85</v>
      </c>
      <c r="F286" s="138"/>
      <c r="G286" s="16" t="s">
        <v>488</v>
      </c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137.85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02" t="s">
        <v>9</v>
      </c>
      <c r="E304" s="410"/>
      <c r="F304" s="410"/>
      <c r="G304" s="40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v>4.4000000000000004</v>
      </c>
      <c r="E306" s="138"/>
      <c r="F306" s="138"/>
      <c r="G306" s="16" t="s">
        <v>471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479</v>
      </c>
    </row>
    <row r="308" spans="2:7">
      <c r="B308" s="134">
        <v>17.45</v>
      </c>
      <c r="C308" s="27" t="s">
        <v>489</v>
      </c>
      <c r="D308" s="137">
        <f>51.89+44.67</f>
        <v>96.56</v>
      </c>
      <c r="E308" s="138"/>
      <c r="F308" s="138"/>
      <c r="G308" s="16" t="s">
        <v>609</v>
      </c>
    </row>
    <row r="309" spans="2:7">
      <c r="B309" s="134">
        <v>120</v>
      </c>
      <c r="C309" s="16" t="s">
        <v>570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267.45</v>
      </c>
      <c r="C320" s="17" t="s">
        <v>53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53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404" t="str">
        <f>AÑO!A36</f>
        <v>Nenas</v>
      </c>
      <c r="C322" s="405"/>
      <c r="D322" s="405"/>
      <c r="E322" s="405"/>
      <c r="F322" s="405"/>
      <c r="G322" s="406"/>
    </row>
    <row r="323" spans="2:7" ht="15" customHeight="1" thickBot="1">
      <c r="B323" s="407"/>
      <c r="C323" s="408"/>
      <c r="D323" s="408"/>
      <c r="E323" s="408"/>
      <c r="F323" s="408"/>
      <c r="G323" s="409"/>
    </row>
    <row r="324" spans="2:7">
      <c r="B324" s="402" t="s">
        <v>8</v>
      </c>
      <c r="C324" s="403"/>
      <c r="D324" s="402" t="s">
        <v>9</v>
      </c>
      <c r="E324" s="410"/>
      <c r="F324" s="410"/>
      <c r="G324" s="40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486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404" t="str">
        <f>AÑO!A37</f>
        <v>Impuestos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02" t="s">
        <v>9</v>
      </c>
      <c r="E344" s="410"/>
      <c r="F344" s="410"/>
      <c r="G344" s="40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02" t="s">
        <v>9</v>
      </c>
      <c r="E364" s="410"/>
      <c r="F364" s="410"/>
      <c r="G364" s="40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>
        <f>4.45+4.6</f>
        <v>9.0500000000000007</v>
      </c>
      <c r="F366" s="138">
        <f>3.4+4.45+3.4+4.45+3.4+3.5+3.5</f>
        <v>26.099999999999998</v>
      </c>
      <c r="G366" s="31" t="s">
        <v>67</v>
      </c>
    </row>
    <row r="367" spans="2:7">
      <c r="B367" s="134"/>
      <c r="C367" s="16"/>
      <c r="D367" s="137">
        <v>39.29</v>
      </c>
      <c r="E367" s="138"/>
      <c r="F367" s="138"/>
      <c r="G367" s="31" t="s">
        <v>614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39.29</v>
      </c>
      <c r="E380" s="135">
        <f>SUM(E366:E379)</f>
        <v>9.0500000000000007</v>
      </c>
      <c r="F380" s="135">
        <f>SUM(F366:F379)</f>
        <v>26.099999999999998</v>
      </c>
      <c r="G380" s="17" t="s">
        <v>53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404" t="str">
        <f>AÑO!A39</f>
        <v>Dreamed Holidays</v>
      </c>
      <c r="C382" s="405"/>
      <c r="D382" s="405"/>
      <c r="E382" s="405"/>
      <c r="F382" s="405"/>
      <c r="G382" s="406"/>
    </row>
    <row r="383" spans="2:7" ht="15" customHeight="1" thickBot="1">
      <c r="B383" s="407"/>
      <c r="C383" s="408"/>
      <c r="D383" s="408"/>
      <c r="E383" s="408"/>
      <c r="F383" s="408"/>
      <c r="G383" s="409"/>
    </row>
    <row r="384" spans="2:7">
      <c r="B384" s="402" t="s">
        <v>8</v>
      </c>
      <c r="C384" s="403"/>
      <c r="D384" s="402" t="s">
        <v>9</v>
      </c>
      <c r="E384" s="410"/>
      <c r="F384" s="410"/>
      <c r="G384" s="40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413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02" t="s">
        <v>9</v>
      </c>
      <c r="E404" s="410"/>
      <c r="F404" s="410"/>
      <c r="G404" s="40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475</v>
      </c>
    </row>
    <row r="407" spans="2:7">
      <c r="B407" s="134">
        <v>45.86</v>
      </c>
      <c r="C407" s="16" t="s">
        <v>474</v>
      </c>
      <c r="D407" s="137"/>
      <c r="E407" s="138"/>
      <c r="F407" s="138"/>
      <c r="G407" s="16"/>
    </row>
    <row r="408" spans="2:7">
      <c r="B408" s="134">
        <v>-1094.26</v>
      </c>
      <c r="C408" s="16" t="s">
        <v>413</v>
      </c>
      <c r="D408" s="137">
        <v>44.48</v>
      </c>
      <c r="E408" s="138"/>
      <c r="F408" s="138"/>
      <c r="G408" s="16" t="s">
        <v>502</v>
      </c>
    </row>
    <row r="409" spans="2:7">
      <c r="B409" s="134">
        <v>29.29</v>
      </c>
      <c r="C409" s="16" t="s">
        <v>570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-969.11</v>
      </c>
      <c r="C420" s="17" t="s">
        <v>53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8" ht="15" customHeight="1" thickBot="1">
      <c r="B423" s="407"/>
      <c r="C423" s="408"/>
      <c r="D423" s="408"/>
      <c r="E423" s="408"/>
      <c r="F423" s="408"/>
      <c r="G423" s="409"/>
    </row>
    <row r="424" spans="1:8">
      <c r="B424" s="402" t="s">
        <v>8</v>
      </c>
      <c r="C424" s="403"/>
      <c r="D424" s="402" t="s">
        <v>9</v>
      </c>
      <c r="E424" s="410"/>
      <c r="F424" s="410"/>
      <c r="G424" s="403"/>
    </row>
    <row r="425" spans="1:8">
      <c r="A425" s="113">
        <f>AÑO!S17</f>
        <v>5838.4700000000012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8" ht="15.75">
      <c r="A426" s="112">
        <f>3900</f>
        <v>3900</v>
      </c>
      <c r="B426" s="134">
        <f>A425-SUM(A426:A439)</f>
        <v>394.4300000000012</v>
      </c>
      <c r="C426" s="19" t="s">
        <v>234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</f>
        <v>1378.29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B431" s="134"/>
      <c r="C431" s="16"/>
      <c r="D431" s="137"/>
      <c r="E431" s="138"/>
      <c r="F431" s="138"/>
      <c r="G431" s="16"/>
      <c r="H431" s="113">
        <f>H430-A430</f>
        <v>500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394.4300000000012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4044.26</v>
      </c>
      <c r="C446" s="19" t="s">
        <v>413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Cartama Finanazas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0</v>
      </c>
      <c r="B466" s="134">
        <v>-550</v>
      </c>
      <c r="C466" s="16" t="s">
        <v>414</v>
      </c>
      <c r="D466" s="137"/>
      <c r="E466" s="138"/>
      <c r="F466" s="138"/>
      <c r="G466" s="16"/>
    </row>
    <row r="467" spans="1:7" ht="15.75">
      <c r="A467" s="112">
        <f>'04'!A467+(B467-SUM(D467:F467))</f>
        <v>375.22999999999996</v>
      </c>
      <c r="B467" s="134">
        <f>50+50</f>
        <v>100</v>
      </c>
      <c r="C467" s="16" t="s">
        <v>454</v>
      </c>
      <c r="D467" s="137"/>
      <c r="E467" s="138"/>
      <c r="F467" s="138"/>
      <c r="G467" s="16"/>
    </row>
    <row r="468" spans="1:7" ht="15.75">
      <c r="A468" s="112">
        <f>'04'!A468+(B468-SUM(D468:F468))</f>
        <v>193.4</v>
      </c>
      <c r="B468" s="134">
        <f>15+35</f>
        <v>50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568.63</v>
      </c>
      <c r="B480" s="135">
        <f>SUM(B466:B479)</f>
        <v>-400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02" t="s">
        <v>9</v>
      </c>
      <c r="E504" s="410"/>
      <c r="F504" s="410"/>
      <c r="G504" s="40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A5A9C1AE-FA77-4B03-91A5-3C7C451F6652}"/>
    <hyperlink ref="I2:L3" location="AÑO!S4:V5" display="SALDO REAL" xr:uid="{AF4E0249-6339-4D4B-8989-BFCE1D12F767}"/>
    <hyperlink ref="B2" location="Trimestre!C25:F26" display="HIPOTECA" xr:uid="{21638881-E10A-4387-A1D8-39673B44B6F8}"/>
    <hyperlink ref="B2:G3" location="AÑO!S20:V20" display="AÑO!S20:V20" xr:uid="{CC3F70BE-85F3-4F80-85B1-27F5FC8EAF0B}"/>
    <hyperlink ref="I22" location="Trimestre!C39:F40" display="TELÉFONO" xr:uid="{BB12CCB8-1173-44E4-9278-BC9E97480635}"/>
    <hyperlink ref="I22:L23" location="AÑO!S7:V17" display="INGRESOS" xr:uid="{EF8D674F-8E35-46E1-A1BA-C27AEA8D5852}"/>
    <hyperlink ref="B22" location="Trimestre!C25:F26" display="HIPOTECA" xr:uid="{F9F0C922-CD6C-4013-9F37-1984F7ECBD50}"/>
    <hyperlink ref="B22:G23" location="AÑO!S21:V21" display="AÑO!S21:V21" xr:uid="{CED09A46-DABF-45D0-8F83-FFECCAF72C6F}"/>
    <hyperlink ref="B42" location="Trimestre!C25:F26" display="HIPOTECA" xr:uid="{244BAA62-94B3-444B-8315-5B4D8C151BAC}"/>
    <hyperlink ref="B42:G43" location="AÑO!S22:V22" display="AÑO!S22:V22" xr:uid="{0F1AC34E-0E6B-45C0-ADCE-8AB3CCD88AC0}"/>
    <hyperlink ref="B62" location="Trimestre!C25:F26" display="HIPOTECA" xr:uid="{BE1A4C25-0506-4426-93B4-E8C4FD492466}"/>
    <hyperlink ref="B62:G63" location="AÑO!S23:V23" display="AÑO!S23:V23" xr:uid="{503CEBA6-5FB5-49AE-9A84-76C4DDD54FBD}"/>
    <hyperlink ref="B82" location="Trimestre!C25:F26" display="HIPOTECA" xr:uid="{1BCCA366-8CA9-4F11-961E-4A50E65BF955}"/>
    <hyperlink ref="B82:G83" location="AÑO!S24:V24" display="AÑO!S24:V24" xr:uid="{D8032147-A151-4625-B0D2-43196EC08A6A}"/>
    <hyperlink ref="B102" location="Trimestre!C25:F26" display="HIPOTECA" xr:uid="{3D4FB3E3-04AC-40BA-84C4-ED18C0140A33}"/>
    <hyperlink ref="B102:G103" location="AÑO!S25:V25" display="AÑO!S25:V25" xr:uid="{6B403437-19A2-4F2C-B6E5-9F44D2697B83}"/>
    <hyperlink ref="B122" location="Trimestre!C25:F26" display="HIPOTECA" xr:uid="{43CFFD85-3F55-44AF-B621-6D46EFD1C07F}"/>
    <hyperlink ref="B122:G123" location="AÑO!S26:V26" display="AÑO!S26:V26" xr:uid="{B31A78CD-DAF7-4E75-9C06-AD6D09638C1A}"/>
    <hyperlink ref="B142" location="Trimestre!C25:F26" display="HIPOTECA" xr:uid="{16D220B4-D51F-4546-BD38-D1CA6EBF2ACD}"/>
    <hyperlink ref="B142:G143" location="AÑO!S27:V27" display="AÑO!S27:V27" xr:uid="{CDA19D48-32FF-49FA-93C5-6A81F017AE1D}"/>
    <hyperlink ref="B162" location="Trimestre!C25:F26" display="HIPOTECA" xr:uid="{31FD3CDE-1AF8-4B42-9620-7D80D5C85D03}"/>
    <hyperlink ref="B162:G163" location="AÑO!S28:V28" display="AÑO!S28:V28" xr:uid="{CD4D19A6-987A-45B5-862B-9A4496A35650}"/>
    <hyperlink ref="B182" location="Trimestre!C25:F26" display="HIPOTECA" xr:uid="{90CCF46A-3E8F-48EA-8C21-6B88DDDD8338}"/>
    <hyperlink ref="B182:G183" location="AÑO!S29:V29" display="AÑO!S29:V29" xr:uid="{DF52C654-1C4D-4CAB-9A6F-62DBB8D557F1}"/>
    <hyperlink ref="B202" location="Trimestre!C25:F26" display="HIPOTECA" xr:uid="{A70E27AA-572D-43E5-81CF-C4B5A9D6E517}"/>
    <hyperlink ref="B202:G203" location="AÑO!S30:V30" display="AÑO!S30:V30" xr:uid="{C530BF0A-C67E-4F55-8DF1-89A7C3D3C403}"/>
    <hyperlink ref="B222" location="Trimestre!C25:F26" display="HIPOTECA" xr:uid="{918A5996-F3C2-4FE1-AC99-1D5CB52BB22F}"/>
    <hyperlink ref="B222:G223" location="AÑO!S31:V31" display="AÑO!S31:V31" xr:uid="{86FD4112-F38D-42C6-BFDE-E3A28BC76EA5}"/>
    <hyperlink ref="B242" location="Trimestre!C25:F26" display="HIPOTECA" xr:uid="{AD0B23F0-7EAB-455F-BF4C-910708D153AA}"/>
    <hyperlink ref="B242:G243" location="AÑO!S32:V32" display="AÑO!S32:V32" xr:uid="{994CB92F-921B-407C-B404-DC2858AC5922}"/>
    <hyperlink ref="B262" location="Trimestre!C25:F26" display="HIPOTECA" xr:uid="{EAB46DC5-CB4D-4835-9A84-8F7377E0CE0C}"/>
    <hyperlink ref="B262:G263" location="AÑO!S33:V33" display="AÑO!S33:V33" xr:uid="{75880A30-1E80-4916-8DB4-4C7B6D817431}"/>
    <hyperlink ref="B282" location="Trimestre!C25:F26" display="HIPOTECA" xr:uid="{924BE1C9-0303-445F-A3CA-0E5B57DFAED8}"/>
    <hyperlink ref="B282:G283" location="AÑO!S34:V34" display="AÑO!S34:V34" xr:uid="{18F535D3-FAA9-457D-8E5B-9C6A6CD4FF26}"/>
    <hyperlink ref="B302" location="Trimestre!C25:F26" display="HIPOTECA" xr:uid="{B23BCDBF-D615-409E-B358-847C80316071}"/>
    <hyperlink ref="B302:G303" location="AÑO!S35:V35" display="AÑO!S35:V35" xr:uid="{922C42CD-488F-49B9-93E1-4EC225657F19}"/>
    <hyperlink ref="B322" location="Trimestre!C25:F26" display="HIPOTECA" xr:uid="{E22C9BC9-94AF-4DF3-A22D-1192AA9CA52F}"/>
    <hyperlink ref="B322:G323" location="AÑO!S36:V36" display="AÑO!S36:V36" xr:uid="{D4719D72-CFA2-4C2D-B8B4-95BFB826C4EA}"/>
    <hyperlink ref="B342" location="Trimestre!C25:F26" display="HIPOTECA" xr:uid="{C84D498D-59C6-4343-8205-5831F34CF71C}"/>
    <hyperlink ref="B342:G343" location="AÑO!S37:V37" display="AÑO!S37:V37" xr:uid="{BB2A541B-A350-4290-BD68-8CD973680099}"/>
    <hyperlink ref="B362" location="Trimestre!C25:F26" display="HIPOTECA" xr:uid="{C58001FA-E4CA-46E5-8B38-58C407EBB712}"/>
    <hyperlink ref="B362:G363" location="AÑO!S38:V38" display="AÑO!S38:V38" xr:uid="{706084C7-D781-4A88-AE4B-F342BB82D627}"/>
    <hyperlink ref="B382" location="Trimestre!C25:F26" display="HIPOTECA" xr:uid="{9A75DF25-0C2C-4862-9766-495B88D439F2}"/>
    <hyperlink ref="B382:G383" location="AÑO!S39:V39" display="AÑO!S39:V39" xr:uid="{5CFC7EA4-5FD7-4F00-9B53-AA498336E25D}"/>
    <hyperlink ref="B402" location="Trimestre!C25:F26" display="HIPOTECA" xr:uid="{6F4C86F2-59B9-4A28-9ED0-E7AAB16F2819}"/>
    <hyperlink ref="B402:G403" location="AÑO!S40:V40" display="AÑO!S40:V40" xr:uid="{7CD7E4FA-39C4-45E7-B27E-049D821CBEB4}"/>
    <hyperlink ref="B422" location="Trimestre!C25:F26" display="HIPOTECA" xr:uid="{FF38462F-CD21-4504-B396-FB49D2F688D8}"/>
    <hyperlink ref="B422:G423" location="AÑO!S41:V41" display="AÑO!S41:V41" xr:uid="{614CD5D7-7102-4960-91B1-A0EBD0E9FA8C}"/>
    <hyperlink ref="B442" location="Trimestre!C25:F26" display="HIPOTECA" xr:uid="{78475C08-6BD3-4DD5-9911-962E1DFE2F8E}"/>
    <hyperlink ref="B442:G443" location="AÑO!S42:V42" display="AÑO!S42:V42" xr:uid="{3321C4F9-47BF-4D0A-93FE-AFC59F09A6E4}"/>
    <hyperlink ref="B462" location="Trimestre!C25:F26" display="HIPOTECA" xr:uid="{70D7E32A-FC07-4F1A-98CE-96E69323DA35}"/>
    <hyperlink ref="B462:G463" location="AÑO!S43:V43" display="AÑO!S43:V43" xr:uid="{28E4C79B-EB20-4F17-9FF5-D9EBCC32F648}"/>
    <hyperlink ref="B482" location="Trimestre!C25:F26" display="HIPOTECA" xr:uid="{DAC6EBDB-7181-4FEA-8A75-0DF4DF2CD73C}"/>
    <hyperlink ref="B482:G483" location="AÑO!S44:V44" display="AÑO!S44:V44" xr:uid="{F880265A-B96C-4F6B-B84A-724D6021839E}"/>
    <hyperlink ref="B502" location="Trimestre!C25:F26" display="HIPOTECA" xr:uid="{E83DA720-F94F-43F9-9B75-BE982F4E3707}"/>
    <hyperlink ref="B502:G503" location="AÑO!S45:V45" display="AÑO!S45:V45" xr:uid="{E8D8B980-E6F5-4F6E-8DC0-C97CF6E93A7B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35" workbookViewId="0">
      <selection activeCell="B2" sqref="B2:G2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 Gastos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02" t="s">
        <v>9</v>
      </c>
      <c r="E4" s="410"/>
      <c r="F4" s="410"/>
      <c r="G4" s="403"/>
      <c r="H4" s="222"/>
      <c r="I4" s="40" t="s">
        <v>57</v>
      </c>
      <c r="J4" s="105" t="s">
        <v>58</v>
      </c>
      <c r="K4" s="430" t="s">
        <v>59</v>
      </c>
      <c r="L4" s="43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2"/>
      <c r="L5" s="433"/>
      <c r="M5" s="1"/>
      <c r="N5" s="1"/>
      <c r="R5" s="3"/>
    </row>
    <row r="6" spans="1:22" ht="15.75">
      <c r="A6" s="112">
        <f>'05'!A6+(B6-SUM(D6:F6))</f>
        <v>812.16</v>
      </c>
      <c r="B6" s="133">
        <v>403.08</v>
      </c>
      <c r="C6" s="19" t="s">
        <v>377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6">
        <v>620.1</v>
      </c>
      <c r="L6" s="417"/>
      <c r="M6" s="1" t="s">
        <v>165</v>
      </c>
      <c r="N6" s="1"/>
      <c r="R6" s="3"/>
    </row>
    <row r="7" spans="1:22" ht="15.75">
      <c r="A7" s="112">
        <f>'05'!A7+(B7-SUM(D7:F7))</f>
        <v>102.84999999999997</v>
      </c>
      <c r="B7" s="134">
        <v>67.180000000000007</v>
      </c>
      <c r="C7" s="16" t="s">
        <v>401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6"/>
      <c r="L7" s="417"/>
      <c r="M7" s="1"/>
      <c r="N7" s="1"/>
      <c r="R7" s="3"/>
    </row>
    <row r="8" spans="1:22" ht="15.75">
      <c r="A8" s="112">
        <f>'05'!A8+(B8-SUM(D8:F8))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6">
        <v>10005.620000000001</v>
      </c>
      <c r="L8" s="417"/>
      <c r="M8" s="1"/>
      <c r="N8" s="1"/>
      <c r="R8" s="3"/>
    </row>
    <row r="9" spans="1:22" ht="15.75">
      <c r="A9" s="112">
        <f>'05'!A9+(B9-SUM(D9:F9))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6">
        <v>514.82000000000005</v>
      </c>
      <c r="L9" s="417"/>
      <c r="M9" s="1"/>
      <c r="N9" s="1"/>
      <c r="R9" s="3"/>
    </row>
    <row r="10" spans="1:22" ht="15.75">
      <c r="A10" s="112">
        <f>'05'!A10+(B10-SUM(D10:F10))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6">
        <v>1802.02</v>
      </c>
      <c r="L10" s="417"/>
      <c r="M10" s="1" t="s">
        <v>156</v>
      </c>
      <c r="N10" s="1"/>
      <c r="R10" s="3"/>
    </row>
    <row r="11" spans="1:22" ht="15.75">
      <c r="A11" s="112">
        <f>'05'!A11+(B11-SUM(D11:F11))</f>
        <v>30.210000000000004</v>
      </c>
      <c r="B11" s="134">
        <v>30.24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6"/>
      <c r="L11" s="417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6">
        <v>5092.08</v>
      </c>
      <c r="L12" s="417"/>
      <c r="M12" s="92"/>
      <c r="N12" s="1"/>
      <c r="R12" s="3"/>
    </row>
    <row r="13" spans="1:22" ht="15.75">
      <c r="A13" s="112">
        <f>'05'!A13+(B13-SUM(D13:F13))</f>
        <v>24.5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1">
        <f>SUM(K5:K18)</f>
        <v>18034.64</v>
      </c>
      <c r="L19" s="442"/>
      <c r="M19" s="1"/>
      <c r="N19" s="1"/>
      <c r="R19" s="3"/>
    </row>
    <row r="20" spans="1:18" ht="16.5" thickBot="1">
      <c r="A20" s="112">
        <f>SUM(A6:A15)</f>
        <v>1181.76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11140.539999999999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02" t="s">
        <v>9</v>
      </c>
      <c r="E24" s="410"/>
      <c r="F24" s="410"/>
      <c r="G24" s="403"/>
      <c r="H24" s="1"/>
      <c r="I24" s="40" t="s">
        <v>31</v>
      </c>
      <c r="J24" s="435" t="s">
        <v>87</v>
      </c>
      <c r="K24" s="436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1" t="str">
        <f>AÑO!A8</f>
        <v>Manolo Salario</v>
      </c>
      <c r="J25" s="424"/>
      <c r="K25" s="425"/>
      <c r="L25" s="231"/>
      <c r="M25" s="1"/>
      <c r="R25" s="3"/>
    </row>
    <row r="26" spans="1:18" ht="15.75">
      <c r="A26" s="112">
        <f>'05'!A26+(B26-SUM(D26:F26))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2"/>
      <c r="J26" s="426"/>
      <c r="K26" s="427"/>
      <c r="L26" s="229"/>
      <c r="M26" s="1"/>
      <c r="R26" s="3"/>
    </row>
    <row r="27" spans="1:18" ht="15.75">
      <c r="A27" s="112">
        <f>'05'!A27+(B27-SUM(D27:F27))</f>
        <v>216.01999999999998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22"/>
      <c r="J27" s="426"/>
      <c r="K27" s="427"/>
      <c r="L27" s="229"/>
      <c r="M27" s="1"/>
      <c r="R27" s="3"/>
    </row>
    <row r="28" spans="1:18" ht="15.75">
      <c r="A28" s="112">
        <f>'05'!A28+(B28-SUM(D28:F28))</f>
        <v>118.30000000000001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2"/>
      <c r="J28" s="426"/>
      <c r="K28" s="427"/>
      <c r="L28" s="229"/>
      <c r="M28" s="1"/>
      <c r="R28" s="3"/>
    </row>
    <row r="29" spans="1:18" ht="15.75">
      <c r="A29" s="112">
        <f>'05'!A29+(B29-SUM(D29:F29))</f>
        <v>19.430000000000003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3"/>
      <c r="J29" s="428"/>
      <c r="K29" s="429"/>
      <c r="L29" s="230"/>
      <c r="M29" s="1"/>
      <c r="R29" s="3"/>
    </row>
    <row r="30" spans="1:18" ht="15.75" customHeight="1">
      <c r="A30" s="112">
        <f>'05'!A30+(B30-SUM(D30:F30))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1" t="str">
        <f>AÑO!A9</f>
        <v>Rocío Salario</v>
      </c>
      <c r="J30" s="424"/>
      <c r="K30" s="425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/>
      <c r="K31" s="427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/>
      <c r="K32" s="427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218</v>
      </c>
      <c r="J35" s="424"/>
      <c r="K35" s="425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30"/>
      <c r="M39" s="1"/>
      <c r="R39" s="3"/>
    </row>
    <row r="40" spans="1:18" ht="16.5" thickBot="1">
      <c r="A40" s="112">
        <f>SUM(A26:A35)</f>
        <v>1440.03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1" t="str">
        <f>AÑO!A11</f>
        <v>Finanazas</v>
      </c>
      <c r="J40" s="424"/>
      <c r="K40" s="425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229"/>
      <c r="M41" s="1"/>
      <c r="R41" s="3"/>
    </row>
    <row r="42" spans="1:18" ht="15.6" customHeight="1">
      <c r="A42" s="1"/>
      <c r="B42" s="404" t="str">
        <f>AÑO!A22</f>
        <v>Comida+Limpieza</v>
      </c>
      <c r="C42" s="411"/>
      <c r="D42" s="411"/>
      <c r="E42" s="411"/>
      <c r="F42" s="411"/>
      <c r="G42" s="412"/>
      <c r="H42" s="1"/>
      <c r="I42" s="422"/>
      <c r="J42" s="426"/>
      <c r="K42" s="427"/>
      <c r="L42" s="22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229"/>
      <c r="M43" s="1"/>
      <c r="R43" s="3"/>
    </row>
    <row r="44" spans="1:18" ht="15.75">
      <c r="A44" s="1"/>
      <c r="B44" s="402" t="s">
        <v>8</v>
      </c>
      <c r="C44" s="403"/>
      <c r="D44" s="402" t="s">
        <v>9</v>
      </c>
      <c r="E44" s="410"/>
      <c r="F44" s="410"/>
      <c r="G44" s="403"/>
      <c r="H44" s="1"/>
      <c r="I44" s="423"/>
      <c r="J44" s="428"/>
      <c r="K44" s="429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1" t="str">
        <f>AÑO!A12</f>
        <v>Regalos</v>
      </c>
      <c r="J45" s="424"/>
      <c r="K45" s="425"/>
      <c r="L45" s="231"/>
      <c r="M45" s="1"/>
      <c r="R45" s="3"/>
    </row>
    <row r="46" spans="1:18" ht="15.75">
      <c r="A46" s="1"/>
      <c r="B46" s="133">
        <f>239.2+54</f>
        <v>293.2</v>
      </c>
      <c r="C46" s="19"/>
      <c r="D46" s="137"/>
      <c r="E46" s="138"/>
      <c r="F46" s="138"/>
      <c r="G46" s="30"/>
      <c r="H46" s="1"/>
      <c r="I46" s="422"/>
      <c r="J46" s="426"/>
      <c r="K46" s="427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/>
      <c r="E47" s="138"/>
      <c r="F47" s="138"/>
      <c r="G47" s="16"/>
      <c r="H47" s="1"/>
      <c r="I47" s="422"/>
      <c r="J47" s="426"/>
      <c r="K47" s="427"/>
      <c r="L47" s="229"/>
      <c r="M47" s="1"/>
      <c r="R47" s="3"/>
    </row>
    <row r="48" spans="1:18" ht="15.75">
      <c r="A48" s="1"/>
      <c r="B48" s="134"/>
      <c r="C48" s="16" t="s">
        <v>487</v>
      </c>
      <c r="D48" s="137"/>
      <c r="E48" s="138"/>
      <c r="F48" s="138"/>
      <c r="G48" s="16"/>
      <c r="H48" s="1"/>
      <c r="I48" s="422"/>
      <c r="J48" s="426"/>
      <c r="K48" s="427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3"/>
      <c r="J49" s="428"/>
      <c r="K49" s="429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1" t="str">
        <f>AÑO!A13</f>
        <v>Gubernamental</v>
      </c>
      <c r="J50" s="424"/>
      <c r="K50" s="425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2"/>
      <c r="J51" s="426"/>
      <c r="K51" s="427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2"/>
      <c r="J52" s="426"/>
      <c r="K52" s="427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2"/>
      <c r="J53" s="426"/>
      <c r="K53" s="42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24"/>
      <c r="K55" s="425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1" t="str">
        <f>AÑO!A15</f>
        <v>Alquiler Cartama</v>
      </c>
      <c r="J60" s="424"/>
      <c r="K60" s="425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229"/>
      <c r="M63" s="1"/>
      <c r="R63" s="3"/>
    </row>
    <row r="64" spans="1:18" ht="15.75">
      <c r="A64" s="1"/>
      <c r="B64" s="402" t="s">
        <v>8</v>
      </c>
      <c r="C64" s="403"/>
      <c r="D64" s="402" t="s">
        <v>9</v>
      </c>
      <c r="E64" s="410"/>
      <c r="F64" s="410"/>
      <c r="G64" s="403"/>
      <c r="H64" s="1"/>
      <c r="I64" s="423"/>
      <c r="J64" s="428"/>
      <c r="K64" s="429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1" t="str">
        <f>AÑO!A16</f>
        <v>Otros</v>
      </c>
      <c r="J65" s="424"/>
      <c r="K65" s="425"/>
      <c r="L65" s="231"/>
      <c r="M65" s="1"/>
      <c r="R65" s="3"/>
    </row>
    <row r="66" spans="1:18" ht="15.75">
      <c r="A66" s="112">
        <f>'05'!A66+(B66-SUM(D66:F78))</f>
        <v>169.33</v>
      </c>
      <c r="B66" s="133">
        <v>160</v>
      </c>
      <c r="C66" s="19" t="s">
        <v>33</v>
      </c>
      <c r="D66" s="137"/>
      <c r="E66" s="138"/>
      <c r="F66" s="138"/>
      <c r="G66" s="19"/>
      <c r="H66" s="1"/>
      <c r="I66" s="422"/>
      <c r="J66" s="426"/>
      <c r="K66" s="427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2"/>
      <c r="J67" s="426"/>
      <c r="K67" s="427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2"/>
      <c r="J68" s="426"/>
      <c r="K68" s="427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7"/>
      <c r="J69" s="438"/>
      <c r="K69" s="439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80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249.33</v>
      </c>
      <c r="B80" s="233">
        <f>SUM(B66:B79)</f>
        <v>170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02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02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70.840000000000032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2517.5900000000006</v>
      </c>
      <c r="B109" s="134">
        <v>67.53</v>
      </c>
      <c r="C109" s="18" t="s">
        <v>456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762.41</v>
      </c>
      <c r="B120" s="135">
        <f>SUM(B106:B119)</f>
        <v>445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02" t="s">
        <v>9</v>
      </c>
      <c r="E124" s="410"/>
      <c r="F124" s="410"/>
      <c r="G124" s="403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'05'!A126+(B126-SUM(D126:F126))</f>
        <v>35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'05'!A127+(B127-SUM(D127:F128))</f>
        <v>27.5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'05'!A129+(B129-SUM(D129:F129))</f>
        <v>8.02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62.5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02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02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02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02" t="s">
        <v>9</v>
      </c>
      <c r="E204" s="410"/>
      <c r="F204" s="410"/>
      <c r="G204" s="40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02" t="s">
        <v>9</v>
      </c>
      <c r="E224" s="410"/>
      <c r="F224" s="410"/>
      <c r="G224" s="40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7" ht="15" customHeight="1" thickBot="1">
      <c r="B243" s="413"/>
      <c r="C243" s="414"/>
      <c r="D243" s="414"/>
      <c r="E243" s="414"/>
      <c r="F243" s="414"/>
      <c r="G243" s="415"/>
    </row>
    <row r="244" spans="1:7" ht="15" customHeight="1">
      <c r="B244" s="402" t="s">
        <v>8</v>
      </c>
      <c r="C244" s="403"/>
      <c r="D244" s="402" t="s">
        <v>9</v>
      </c>
      <c r="E244" s="410"/>
      <c r="F244" s="410"/>
      <c r="G244" s="403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'05'!A246+(B246-SUM(D246:F255))</f>
        <v>121.15</v>
      </c>
      <c r="B246" s="134">
        <v>45</v>
      </c>
      <c r="C246" s="27" t="s">
        <v>403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'05'!A256+(B256-SUM(D256:F265))</f>
        <v>25</v>
      </c>
      <c r="B256" s="134">
        <v>5</v>
      </c>
      <c r="C256" s="16" t="s">
        <v>410</v>
      </c>
      <c r="D256" s="137"/>
      <c r="E256" s="138"/>
      <c r="F256" s="138"/>
      <c r="G256" s="16"/>
    </row>
    <row r="257" spans="1:7" ht="15.75">
      <c r="A257" s="112">
        <f>'05'!A257+(B257-SUM(D257:F266))</f>
        <v>828.13</v>
      </c>
      <c r="B257" s="134">
        <v>20</v>
      </c>
      <c r="C257" s="16" t="s">
        <v>432</v>
      </c>
      <c r="D257" s="137"/>
      <c r="E257" s="138"/>
      <c r="F257" s="138"/>
      <c r="G257" s="16"/>
    </row>
    <row r="258" spans="1:7" ht="15.75">
      <c r="A258" s="112">
        <f>'05'!A258+(B258-SUM(D258:F267))</f>
        <v>100</v>
      </c>
      <c r="B258" s="134">
        <v>25</v>
      </c>
      <c r="C258" s="16" t="s">
        <v>404</v>
      </c>
      <c r="D258" s="137"/>
      <c r="E258" s="138"/>
      <c r="F258" s="138"/>
      <c r="G258" s="16"/>
    </row>
    <row r="259" spans="1:7" ht="16.5" thickBot="1">
      <c r="A259" s="112">
        <f>'05'!A259+(B259-SUM(D259:F268))</f>
        <v>25</v>
      </c>
      <c r="B259" s="135">
        <v>5</v>
      </c>
      <c r="C259" s="17" t="s">
        <v>405</v>
      </c>
      <c r="D259" s="135"/>
      <c r="E259" s="139"/>
      <c r="F259" s="139"/>
      <c r="G259" s="17"/>
    </row>
    <row r="260" spans="1:7" ht="16.5" thickBot="1">
      <c r="A260" s="112">
        <f>SUM(A246:A255)</f>
        <v>121.15</v>
      </c>
      <c r="B260" s="135">
        <f>SUM(B246:B259)</f>
        <v>100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7" ht="15" customHeight="1" thickBot="1">
      <c r="B263" s="413"/>
      <c r="C263" s="414"/>
      <c r="D263" s="414"/>
      <c r="E263" s="414"/>
      <c r="F263" s="414"/>
      <c r="G263" s="415"/>
    </row>
    <row r="264" spans="1:7">
      <c r="B264" s="402" t="s">
        <v>8</v>
      </c>
      <c r="C264" s="403"/>
      <c r="D264" s="402" t="s">
        <v>9</v>
      </c>
      <c r="E264" s="410"/>
      <c r="F264" s="410"/>
      <c r="G264" s="403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/>
      <c r="E266" s="138"/>
      <c r="F266" s="138"/>
      <c r="G266" s="16"/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02" t="s">
        <v>9</v>
      </c>
      <c r="E284" s="410"/>
      <c r="F284" s="410"/>
      <c r="G284" s="40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02" t="s">
        <v>9</v>
      </c>
      <c r="E304" s="410"/>
      <c r="F304" s="410"/>
      <c r="G304" s="40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4" t="str">
        <f>AÑO!A36</f>
        <v>Nenas</v>
      </c>
      <c r="C322" s="405"/>
      <c r="D322" s="405"/>
      <c r="E322" s="405"/>
      <c r="F322" s="405"/>
      <c r="G322" s="406"/>
    </row>
    <row r="323" spans="2:7" ht="15" customHeight="1" thickBot="1">
      <c r="B323" s="407"/>
      <c r="C323" s="408"/>
      <c r="D323" s="408"/>
      <c r="E323" s="408"/>
      <c r="F323" s="408"/>
      <c r="G323" s="409"/>
    </row>
    <row r="324" spans="2:7">
      <c r="B324" s="402" t="s">
        <v>8</v>
      </c>
      <c r="C324" s="403"/>
      <c r="D324" s="402" t="s">
        <v>9</v>
      </c>
      <c r="E324" s="410"/>
      <c r="F324" s="410"/>
      <c r="G324" s="40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4" t="str">
        <f>AÑO!A37</f>
        <v>Impuestos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02" t="s">
        <v>9</v>
      </c>
      <c r="E344" s="410"/>
      <c r="F344" s="410"/>
      <c r="G344" s="40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02" t="s">
        <v>9</v>
      </c>
      <c r="E364" s="410"/>
      <c r="F364" s="410"/>
      <c r="G364" s="40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05"/>
      <c r="D382" s="405"/>
      <c r="E382" s="405"/>
      <c r="F382" s="405"/>
      <c r="G382" s="406"/>
    </row>
    <row r="383" spans="2:7" ht="15" customHeight="1" thickBot="1">
      <c r="B383" s="407"/>
      <c r="C383" s="408"/>
      <c r="D383" s="408"/>
      <c r="E383" s="408"/>
      <c r="F383" s="408"/>
      <c r="G383" s="409"/>
    </row>
    <row r="384" spans="2:7">
      <c r="B384" s="402" t="s">
        <v>8</v>
      </c>
      <c r="C384" s="403"/>
      <c r="D384" s="402" t="s">
        <v>9</v>
      </c>
      <c r="E384" s="410"/>
      <c r="F384" s="410"/>
      <c r="G384" s="40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02" t="s">
        <v>9</v>
      </c>
      <c r="E404" s="410"/>
      <c r="F404" s="410"/>
      <c r="G404" s="40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02" t="s">
        <v>9</v>
      </c>
      <c r="E424" s="410"/>
      <c r="F424" s="410"/>
      <c r="G424" s="403"/>
    </row>
    <row r="425" spans="1:7">
      <c r="A425" s="113">
        <f>AÑO!W17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-3900</v>
      </c>
      <c r="C426" s="19" t="s">
        <v>234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Cartama Finanazas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'05'!A467+(B467-SUM(D467:F467))</f>
        <v>425.22999999999996</v>
      </c>
      <c r="B467" s="134">
        <v>50</v>
      </c>
      <c r="C467" s="16" t="s">
        <v>454</v>
      </c>
      <c r="D467" s="137"/>
      <c r="E467" s="138"/>
      <c r="F467" s="138"/>
      <c r="G467" s="16"/>
    </row>
    <row r="468" spans="1:7" ht="15.75">
      <c r="A468" s="112">
        <f>'05'!A468+(B468-SUM(D468:F468))</f>
        <v>208.4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633.63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02" t="s">
        <v>9</v>
      </c>
      <c r="E504" s="410"/>
      <c r="F504" s="410"/>
      <c r="G504" s="40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C712BEFF-058D-483E-A328-9530E395AF8E}"/>
    <hyperlink ref="I2:L3" location="AÑO!W4:Z5" display="SALDO REAL" xr:uid="{83A7CBDF-7BAE-4ACF-BB60-362D3DFA6DB5}"/>
    <hyperlink ref="B2" location="Trimestre!C25:F26" display="HIPOTECA" xr:uid="{7BEE5A7A-2695-4DA7-A231-832C5178BEC1}"/>
    <hyperlink ref="B2:G3" location="AÑO!W20:Z20" display="AÑO!W20:Z20" xr:uid="{01FC6BD1-5956-4F00-B223-0C8E893D3C28}"/>
    <hyperlink ref="I22" location="Trimestre!C39:F40" display="TELÉFONO" xr:uid="{654C5CF2-30EC-4AD5-A1EB-74496773D9CB}"/>
    <hyperlink ref="I22:L23" location="AÑO!W7:Z17" display="INGRESOS" xr:uid="{821ADD62-E467-4C75-82DA-8270E43CC849}"/>
    <hyperlink ref="B22" location="Trimestre!C25:F26" display="HIPOTECA" xr:uid="{7113D5FD-7161-4761-A2C1-D0757C5E1BF4}"/>
    <hyperlink ref="B22:G23" location="AÑO!W21:Z21" display="AÑO!W21:Z21" xr:uid="{C970DD7C-6B6B-4623-86F9-67FE2986FC1B}"/>
    <hyperlink ref="B42" location="Trimestre!C25:F26" display="HIPOTECA" xr:uid="{CCD608B7-652A-424C-8450-8D21A6CAB32E}"/>
    <hyperlink ref="B42:G43" location="AÑO!W22:Z22" display="AÑO!W22:Z22" xr:uid="{5DAC9651-92CB-4B35-A7E7-5B937AAA1CDC}"/>
    <hyperlink ref="B62" location="Trimestre!C25:F26" display="HIPOTECA" xr:uid="{85376C4C-D3D9-4A89-9A53-FC980DA1B72D}"/>
    <hyperlink ref="B62:G63" location="AÑO!W23:Z23" display="AÑO!W23:Z23" xr:uid="{0E402A44-7D95-47CA-ACFC-F020562EEE9C}"/>
    <hyperlink ref="B82" location="Trimestre!C25:F26" display="HIPOTECA" xr:uid="{3FE09476-1DDE-4CAF-B2EC-21CCD3C2C328}"/>
    <hyperlink ref="B82:G83" location="AÑO!W24:Z24" display="AÑO!W24:Z24" xr:uid="{DB737FED-966E-415D-8C26-E437B7981E2F}"/>
    <hyperlink ref="B102" location="Trimestre!C25:F26" display="HIPOTECA" xr:uid="{00DC005D-247A-4D21-9061-866AE19681E9}"/>
    <hyperlink ref="B102:G103" location="AÑO!W25:Z25" display="AÑO!W25:Z25" xr:uid="{45082976-83C9-4CBF-B824-AB20B5E878BF}"/>
    <hyperlink ref="B122" location="Trimestre!C25:F26" display="HIPOTECA" xr:uid="{809A540D-9B15-442F-ABF4-E13063969D3E}"/>
    <hyperlink ref="B122:G123" location="AÑO!W26:Z26" display="AÑO!W26:Z26" xr:uid="{2D9C2949-2780-4310-BB08-8CD4C828FDB2}"/>
    <hyperlink ref="B142" location="Trimestre!C25:F26" display="HIPOTECA" xr:uid="{FC0831B9-AC1B-4953-B67A-43ACF9F36AFE}"/>
    <hyperlink ref="B142:G143" location="AÑO!W27:Z27" display="AÑO!W27:Z27" xr:uid="{1759BAC5-1B77-4325-86FE-75AFAAE070A1}"/>
    <hyperlink ref="B162" location="Trimestre!C25:F26" display="HIPOTECA" xr:uid="{E6D41C3D-713F-454C-8558-542C07EDE443}"/>
    <hyperlink ref="B162:G163" location="AÑO!W28:Z28" display="AÑO!W28:Z28" xr:uid="{B0A872C0-2891-4136-B00C-C496A1900AD5}"/>
    <hyperlink ref="B182" location="Trimestre!C25:F26" display="HIPOTECA" xr:uid="{B4B69845-9743-4992-8FAB-5756A8695DA3}"/>
    <hyperlink ref="B182:G183" location="AÑO!W29:Z29" display="AÑO!W29:Z29" xr:uid="{6E7DD210-E74D-4F40-8724-5EEE41D7DE5F}"/>
    <hyperlink ref="B202" location="Trimestre!C25:F26" display="HIPOTECA" xr:uid="{57DD9A53-8885-4936-B3AC-90A89FBE503C}"/>
    <hyperlink ref="B202:G203" location="AÑO!W30:Z30" display="AÑO!W30:Z30" xr:uid="{AD6A6C05-B994-4464-BADE-0A1EC792F45A}"/>
    <hyperlink ref="B222" location="Trimestre!C25:F26" display="HIPOTECA" xr:uid="{569ABEBF-CADC-4219-9F59-8E5F8A0DC5C1}"/>
    <hyperlink ref="B222:G223" location="AÑO!W31:Z31" display="AÑO!W31:Z31" xr:uid="{C2123514-2FBE-4B7E-9A27-FA2677AF659C}"/>
    <hyperlink ref="B242" location="Trimestre!C25:F26" display="HIPOTECA" xr:uid="{F960F257-9A31-4EA0-9C35-17BE03BF784F}"/>
    <hyperlink ref="B242:G243" location="AÑO!W32:Z32" display="AÑO!W32:Z32" xr:uid="{E8282D48-23D8-4ADF-93AD-D69651254A9C}"/>
    <hyperlink ref="B262" location="Trimestre!C25:F26" display="HIPOTECA" xr:uid="{ECF73BA6-20B2-4C63-A6D6-54240B32F4B1}"/>
    <hyperlink ref="B262:G263" location="AÑO!W33:Z33" display="AÑO!W33:Z33" xr:uid="{4A4EA5B9-9B9E-4434-B2AF-5F1F2954FD9C}"/>
    <hyperlink ref="B282" location="Trimestre!C25:F26" display="HIPOTECA" xr:uid="{72B1D4EE-306A-47AE-9D2E-35AC0C5F007C}"/>
    <hyperlink ref="B282:G283" location="AÑO!W34:Z34" display="AÑO!W34:Z34" xr:uid="{955679F8-C326-49B1-AEFD-ED6ACE44D8D1}"/>
    <hyperlink ref="B302" location="Trimestre!C25:F26" display="HIPOTECA" xr:uid="{0D3CB661-04D3-49A7-B08D-F1391433FB04}"/>
    <hyperlink ref="B302:G303" location="AÑO!W35:Z35" display="AÑO!W35:Z35" xr:uid="{3F49CD76-506D-4763-982B-B02227D65106}"/>
    <hyperlink ref="B322" location="Trimestre!C25:F26" display="HIPOTECA" xr:uid="{9D10FB17-6F1D-4F88-A3ED-5DD57BD8D0DE}"/>
    <hyperlink ref="B322:G323" location="AÑO!W36:Z36" display="AÑO!W36:Z36" xr:uid="{8644B60D-DD50-426B-858A-C94DD04F76DF}"/>
    <hyperlink ref="B342" location="Trimestre!C25:F26" display="HIPOTECA" xr:uid="{9218D1A0-BC4E-487A-9A38-2C4C7663C8B1}"/>
    <hyperlink ref="B342:G343" location="AÑO!W37:Z37" display="AÑO!W37:Z37" xr:uid="{A4D22A1A-AD19-442F-9D94-9B9D0F2048B0}"/>
    <hyperlink ref="B362" location="Trimestre!C25:F26" display="HIPOTECA" xr:uid="{9ED8BB8F-F32C-402A-B4F6-908DA76EA86D}"/>
    <hyperlink ref="B362:G363" location="AÑO!W38:Z38" display="AÑO!W38:Z38" xr:uid="{A5CD3ECA-0FCC-4E28-9E36-A188F7710686}"/>
    <hyperlink ref="B382" location="Trimestre!C25:F26" display="HIPOTECA" xr:uid="{B8668375-2FE4-477B-BE37-C33AFA8579A9}"/>
    <hyperlink ref="B382:G383" location="AÑO!W39:Z39" display="AÑO!W39:Z39" xr:uid="{317EDCAE-F153-444A-8C5B-BF5F1346012D}"/>
    <hyperlink ref="B402" location="Trimestre!C25:F26" display="HIPOTECA" xr:uid="{848E53AC-4FA4-485F-9786-CFBDC41CDCA6}"/>
    <hyperlink ref="B402:G403" location="AÑO!W40:Z40" display="AÑO!W40:Z40" xr:uid="{0407D3B1-89E8-4DA8-B417-A0D8D9DB6101}"/>
    <hyperlink ref="B422" location="Trimestre!C25:F26" display="HIPOTECA" xr:uid="{B323137B-9FEC-4589-9805-31276D7D178B}"/>
    <hyperlink ref="B422:G423" location="AÑO!W41:Z41" display="AÑO!W41:Z41" xr:uid="{17EAB0DC-C684-4FF4-B35A-DC054656CE62}"/>
    <hyperlink ref="B442" location="Trimestre!C25:F26" display="HIPOTECA" xr:uid="{17D2B360-577D-4D90-A0F2-19C70E498CDA}"/>
    <hyperlink ref="B442:G443" location="AÑO!W42:Z42" display="AÑO!W42:Z42" xr:uid="{7626C6B4-0DC5-4717-BAAC-22EC8A1567E6}"/>
    <hyperlink ref="B462" location="Trimestre!C25:F26" display="HIPOTECA" xr:uid="{0C07E8E6-F16E-41EF-8CEF-D3B172C71492}"/>
    <hyperlink ref="B462:G463" location="AÑO!W43:Z43" display="AÑO!W43:Z43" xr:uid="{49B14C1F-E19B-4E66-A339-BB6B1D7EB6B9}"/>
    <hyperlink ref="B482" location="Trimestre!C25:F26" display="HIPOTECA" xr:uid="{B1749E88-0C12-4EF3-98FF-E9B4169AB33A}"/>
    <hyperlink ref="B482:G483" location="AÑO!W44:Z44" display="AÑO!W44:Z44" xr:uid="{ACAF3C81-C442-4A76-969D-49B6EB1C885F}"/>
    <hyperlink ref="B502" location="Trimestre!C25:F26" display="HIPOTECA" xr:uid="{050C5B32-2449-4B2F-9583-532EE23527D7}"/>
    <hyperlink ref="B502:G503" location="AÑO!W45:Z45" display="AÑO!W45:Z45" xr:uid="{D01A944C-AC54-4D06-8173-53A2A9728944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A70" workbookViewId="0">
      <selection activeCell="F15" sqref="F15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 Gastos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10" t="s">
        <v>9</v>
      </c>
      <c r="E4" s="410"/>
      <c r="F4" s="410"/>
      <c r="G4" s="403"/>
      <c r="H4" s="222"/>
      <c r="I4" s="40" t="s">
        <v>57</v>
      </c>
      <c r="J4" s="105" t="s">
        <v>58</v>
      </c>
      <c r="K4" s="430" t="s">
        <v>59</v>
      </c>
      <c r="L4" s="43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2"/>
      <c r="L5" s="433"/>
      <c r="M5" s="1"/>
      <c r="N5" s="1"/>
      <c r="R5" s="3"/>
    </row>
    <row r="6" spans="1:22" ht="15.75">
      <c r="A6" s="112">
        <f>'06'!A6+(B6-SUM(D6:F6))</f>
        <v>1211.75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6">
        <v>550</v>
      </c>
      <c r="L6" s="417"/>
      <c r="M6" s="1" t="s">
        <v>165</v>
      </c>
      <c r="N6" s="1"/>
      <c r="R6" s="3"/>
    </row>
    <row r="7" spans="1:22" ht="15.75">
      <c r="A7" s="112">
        <f>'06'!A7+(B7-SUM(D7:F7))</f>
        <v>173.02999999999997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6"/>
      <c r="L7" s="417"/>
      <c r="M7" s="1"/>
      <c r="N7" s="1"/>
      <c r="R7" s="3"/>
    </row>
    <row r="8" spans="1:22" ht="15.75">
      <c r="A8" s="112">
        <f>'06'!A8+(B8-SUM(D8:F8))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6">
        <v>7000</v>
      </c>
      <c r="L8" s="417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6">
        <v>659.77</v>
      </c>
      <c r="L9" s="417"/>
      <c r="M9" s="1"/>
      <c r="N9" s="1"/>
      <c r="R9" s="3"/>
    </row>
    <row r="10" spans="1:22" ht="15.75">
      <c r="A10" s="112">
        <f>'06'!A10+(B10-SUM(D10:F10))</f>
        <v>36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6">
        <v>1800.04</v>
      </c>
      <c r="L10" s="417"/>
      <c r="M10" s="1" t="s">
        <v>156</v>
      </c>
      <c r="N10" s="1"/>
      <c r="R10" s="3"/>
    </row>
    <row r="11" spans="1:22" ht="15.75">
      <c r="A11" s="112">
        <f>'06'!A11+(B11-SUM(D11:F11))</f>
        <v>60.440000000000005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6"/>
      <c r="L11" s="417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6">
        <v>5092.08</v>
      </c>
      <c r="L12" s="417"/>
      <c r="M12" s="92"/>
      <c r="N12" s="1"/>
      <c r="R12" s="3"/>
    </row>
    <row r="13" spans="1:22" ht="15.75">
      <c r="A13" s="112">
        <f>'06'!A13+(B13-SUM(D13:F13))</f>
        <v>31.5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8">
        <f>SUM(K5:K18)</f>
        <v>15101.890000000001</v>
      </c>
      <c r="L19" s="419"/>
      <c r="M19" s="1"/>
      <c r="N19" s="1"/>
      <c r="R19" s="3"/>
    </row>
    <row r="20" spans="1:18" ht="16.5" thickBot="1">
      <c r="A20" s="112">
        <f>SUM(A6:A15)</f>
        <v>1725.76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10" t="s">
        <v>9</v>
      </c>
      <c r="E24" s="410"/>
      <c r="F24" s="410"/>
      <c r="G24" s="403"/>
      <c r="H24" s="1"/>
      <c r="I24" s="40" t="s">
        <v>31</v>
      </c>
      <c r="J24" s="435" t="s">
        <v>87</v>
      </c>
      <c r="K24" s="436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1" t="str">
        <f>AÑO!A8</f>
        <v>Manolo Salario</v>
      </c>
      <c r="J25" s="424"/>
      <c r="K25" s="425"/>
      <c r="L25" s="198"/>
      <c r="M25" s="1"/>
      <c r="R25" s="3"/>
    </row>
    <row r="26" spans="1:18" ht="15.75">
      <c r="A26" s="112">
        <f>'06'!A26+(B26-SUM(D26:F26))</f>
        <v>1800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2"/>
      <c r="J26" s="426"/>
      <c r="K26" s="427"/>
      <c r="L26" s="199"/>
      <c r="M26" s="1"/>
      <c r="R26" s="3"/>
    </row>
    <row r="27" spans="1:18" ht="15.75">
      <c r="A27" s="112">
        <f>'06'!A27+(B27-SUM(D27:F27))</f>
        <v>386.02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22"/>
      <c r="J27" s="426"/>
      <c r="K27" s="427"/>
      <c r="L27" s="199"/>
      <c r="M27" s="1"/>
      <c r="R27" s="3"/>
    </row>
    <row r="28" spans="1:18" ht="15.75">
      <c r="A28" s="112">
        <f>'06'!A28+(B28-SUM(D28:F28))</f>
        <v>158.30000000000001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2"/>
      <c r="J28" s="426"/>
      <c r="K28" s="427"/>
      <c r="L28" s="199"/>
      <c r="M28" s="1"/>
      <c r="R28" s="3"/>
    </row>
    <row r="29" spans="1:18" ht="15.75">
      <c r="A29" s="112">
        <f>'06'!A29+(B29-SUM(D29:F29))</f>
        <v>37.430000000000007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3"/>
      <c r="J29" s="428"/>
      <c r="K29" s="429"/>
      <c r="L29" s="201"/>
      <c r="M29" s="1"/>
      <c r="R29" s="3"/>
    </row>
    <row r="30" spans="1:18" ht="15.75" customHeight="1">
      <c r="A30" s="112">
        <f>'06'!A30+(B30-SUM(D30:F30))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1" t="str">
        <f>AÑO!A9</f>
        <v>Rocío Salario</v>
      </c>
      <c r="J30" s="424"/>
      <c r="K30" s="425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/>
      <c r="K31" s="427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/>
      <c r="K32" s="427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218</v>
      </c>
      <c r="J35" s="424"/>
      <c r="K35" s="425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01"/>
      <c r="M39" s="1"/>
      <c r="R39" s="3"/>
    </row>
    <row r="40" spans="1:18" ht="16.5" thickBot="1">
      <c r="A40" s="112">
        <f>SUM(A26:A35)</f>
        <v>2568.0299999999997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1" t="str">
        <f>AÑO!A11</f>
        <v>Finanazas</v>
      </c>
      <c r="J40" s="424"/>
      <c r="K40" s="42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199"/>
      <c r="M41" s="1"/>
      <c r="R41" s="3"/>
    </row>
    <row r="42" spans="1:18" ht="15.6" customHeight="1">
      <c r="A42" s="1"/>
      <c r="B42" s="404" t="str">
        <f>AÑO!A22</f>
        <v>Comida+Limpieza</v>
      </c>
      <c r="C42" s="411"/>
      <c r="D42" s="411"/>
      <c r="E42" s="411"/>
      <c r="F42" s="411"/>
      <c r="G42" s="412"/>
      <c r="H42" s="1"/>
      <c r="I42" s="422"/>
      <c r="J42" s="426"/>
      <c r="K42" s="427"/>
      <c r="L42" s="19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199"/>
      <c r="M43" s="1"/>
      <c r="R43" s="3"/>
    </row>
    <row r="44" spans="1:18" ht="15.75">
      <c r="A44" s="1"/>
      <c r="B44" s="402" t="s">
        <v>8</v>
      </c>
      <c r="C44" s="403"/>
      <c r="D44" s="410" t="s">
        <v>9</v>
      </c>
      <c r="E44" s="410"/>
      <c r="F44" s="410"/>
      <c r="G44" s="403"/>
      <c r="H44" s="1"/>
      <c r="I44" s="423"/>
      <c r="J44" s="428"/>
      <c r="K44" s="429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1" t="str">
        <f>AÑO!A12</f>
        <v>Regalos</v>
      </c>
      <c r="J45" s="424"/>
      <c r="K45" s="425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22"/>
      <c r="J46" s="426"/>
      <c r="K46" s="427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22"/>
      <c r="J47" s="426"/>
      <c r="K47" s="427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2"/>
      <c r="J48" s="426"/>
      <c r="K48" s="427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3"/>
      <c r="J49" s="428"/>
      <c r="K49" s="429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1" t="str">
        <f>AÑO!A13</f>
        <v>Gubernamental</v>
      </c>
      <c r="J50" s="424"/>
      <c r="K50" s="425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2"/>
      <c r="J51" s="426"/>
      <c r="K51" s="427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2"/>
      <c r="J52" s="426"/>
      <c r="K52" s="427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2"/>
      <c r="J53" s="426"/>
      <c r="K53" s="427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24"/>
      <c r="K55" s="425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1" t="str">
        <f>AÑO!A15</f>
        <v>Alquiler Cartama</v>
      </c>
      <c r="J60" s="424"/>
      <c r="K60" s="425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19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19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199"/>
      <c r="M63" s="1"/>
      <c r="R63" s="3"/>
    </row>
    <row r="64" spans="1:18" ht="15.75">
      <c r="A64" s="1"/>
      <c r="B64" s="402" t="s">
        <v>8</v>
      </c>
      <c r="C64" s="403"/>
      <c r="D64" s="410" t="s">
        <v>9</v>
      </c>
      <c r="E64" s="410"/>
      <c r="F64" s="410"/>
      <c r="G64" s="403"/>
      <c r="H64" s="1"/>
      <c r="I64" s="423"/>
      <c r="J64" s="428"/>
      <c r="K64" s="429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1" t="str">
        <f>AÑO!A16</f>
        <v>Otros</v>
      </c>
      <c r="J65" s="424"/>
      <c r="K65" s="425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22"/>
      <c r="J66" s="426"/>
      <c r="K66" s="427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2"/>
      <c r="J67" s="426"/>
      <c r="K67" s="427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2"/>
      <c r="J68" s="426"/>
      <c r="K68" s="427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7"/>
      <c r="J69" s="438"/>
      <c r="K69" s="439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10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10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516.94000000000005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141.84000000000003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483.09999999999991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2543.1200000000008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1141.8800000000001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10" t="s">
        <v>9</v>
      </c>
      <c r="E124" s="410"/>
      <c r="F124" s="410"/>
      <c r="G124" s="40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10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10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10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10" t="s">
        <v>9</v>
      </c>
      <c r="E204" s="410"/>
      <c r="F204" s="410"/>
      <c r="G204" s="40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10" t="s">
        <v>9</v>
      </c>
      <c r="E224" s="410"/>
      <c r="F224" s="410"/>
      <c r="G224" s="40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2:7" ht="15" customHeight="1" thickBot="1">
      <c r="B243" s="413"/>
      <c r="C243" s="414"/>
      <c r="D243" s="414"/>
      <c r="E243" s="414"/>
      <c r="F243" s="414"/>
      <c r="G243" s="415"/>
    </row>
    <row r="244" spans="2:7" ht="15" customHeight="1">
      <c r="B244" s="402" t="s">
        <v>8</v>
      </c>
      <c r="C244" s="403"/>
      <c r="D244" s="410" t="s">
        <v>9</v>
      </c>
      <c r="E244" s="410"/>
      <c r="F244" s="410"/>
      <c r="G244" s="40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2:7" ht="15" customHeight="1" thickBot="1">
      <c r="B263" s="413"/>
      <c r="C263" s="414"/>
      <c r="D263" s="414"/>
      <c r="E263" s="414"/>
      <c r="F263" s="414"/>
      <c r="G263" s="415"/>
    </row>
    <row r="264" spans="2:7">
      <c r="B264" s="402" t="s">
        <v>8</v>
      </c>
      <c r="C264" s="403"/>
      <c r="D264" s="410" t="s">
        <v>9</v>
      </c>
      <c r="E264" s="410"/>
      <c r="F264" s="410"/>
      <c r="G264" s="40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10" t="s">
        <v>9</v>
      </c>
      <c r="E284" s="410"/>
      <c r="F284" s="410"/>
      <c r="G284" s="40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10" t="s">
        <v>9</v>
      </c>
      <c r="E304" s="410"/>
      <c r="F304" s="410"/>
      <c r="G304" s="40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4" t="str">
        <f>AÑO!A36</f>
        <v>Nenas</v>
      </c>
      <c r="C322" s="411"/>
      <c r="D322" s="411"/>
      <c r="E322" s="411"/>
      <c r="F322" s="411"/>
      <c r="G322" s="412"/>
    </row>
    <row r="323" spans="2:7" ht="15" customHeight="1" thickBot="1">
      <c r="B323" s="413"/>
      <c r="C323" s="414"/>
      <c r="D323" s="414"/>
      <c r="E323" s="414"/>
      <c r="F323" s="414"/>
      <c r="G323" s="415"/>
    </row>
    <row r="324" spans="2:7">
      <c r="B324" s="402" t="s">
        <v>8</v>
      </c>
      <c r="C324" s="403"/>
      <c r="D324" s="410" t="s">
        <v>9</v>
      </c>
      <c r="E324" s="410"/>
      <c r="F324" s="410"/>
      <c r="G324" s="40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4" t="str">
        <f>AÑO!A37</f>
        <v>Impuestos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10" t="s">
        <v>9</v>
      </c>
      <c r="E344" s="410"/>
      <c r="F344" s="410"/>
      <c r="G344" s="40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10" t="s">
        <v>9</v>
      </c>
      <c r="E364" s="410"/>
      <c r="F364" s="410"/>
      <c r="G364" s="40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11"/>
      <c r="D382" s="411"/>
      <c r="E382" s="411"/>
      <c r="F382" s="411"/>
      <c r="G382" s="412"/>
    </row>
    <row r="383" spans="2:7" ht="15" customHeight="1" thickBot="1">
      <c r="B383" s="413"/>
      <c r="C383" s="414"/>
      <c r="D383" s="414"/>
      <c r="E383" s="414"/>
      <c r="F383" s="414"/>
      <c r="G383" s="415"/>
    </row>
    <row r="384" spans="2:7">
      <c r="B384" s="402" t="s">
        <v>8</v>
      </c>
      <c r="C384" s="403"/>
      <c r="D384" s="410" t="s">
        <v>9</v>
      </c>
      <c r="E384" s="410"/>
      <c r="F384" s="410"/>
      <c r="G384" s="40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10" t="s">
        <v>9</v>
      </c>
      <c r="E404" s="410"/>
      <c r="F404" s="410"/>
      <c r="G404" s="40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10" t="s">
        <v>9</v>
      </c>
      <c r="E424" s="410"/>
      <c r="F424" s="410"/>
      <c r="G424" s="403"/>
    </row>
    <row r="425" spans="1:7">
      <c r="A425" s="113">
        <f>AÑO!AA17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Cartama Finanazas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25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'06'!A467+(B467-SUM(D467:F467))</f>
        <v>445.22999999999996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'06'!A468+(B468-SUM(D468:F468))</f>
        <v>213.4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683.63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10" t="s">
        <v>9</v>
      </c>
      <c r="E504" s="410"/>
      <c r="F504" s="410"/>
      <c r="G504" s="40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C4FAD153-9D80-4FDD-88E8-5F44C882AC55}"/>
    <hyperlink ref="I22:L23" location="AÑO!G7:J17" display="INGRESOS" xr:uid="{B4430DB1-2074-4805-A92B-5AA80292CE17}"/>
    <hyperlink ref="I2" location="Trimestre!C39:F40" display="TELÉFONO" xr:uid="{EF73BD2A-D772-443F-9C17-5DB77CF0B513}"/>
    <hyperlink ref="I2:L3" location="AÑO!G4:J5" display="SALDO REAL" xr:uid="{688EBF1B-17D2-4ECD-9CE1-FEB14C7C1CB0}"/>
    <hyperlink ref="B2" location="Trimestre!C25:F26" display="HIPOTECA" xr:uid="{AA96B9DE-37EF-4F6B-85A9-890390E2A59C}"/>
    <hyperlink ref="B2:G3" location="AÑO!G20:J20" display="AÑO!G20:J20" xr:uid="{A6522E1F-EA49-4841-92D5-8AAFD5EDA6EE}"/>
    <hyperlink ref="B22" location="Trimestre!C25:F26" display="HIPOTECA" xr:uid="{80E89E02-DC02-4879-9123-6E864B13A9B8}"/>
    <hyperlink ref="B22:G23" location="AÑO!G21:J21" display="AÑO!G21:J21" xr:uid="{8F318D17-A2A4-4461-A3A1-5458AEC5ADAC}"/>
    <hyperlink ref="B42" location="Trimestre!C25:F26" display="HIPOTECA" xr:uid="{2DEDCFCF-1151-4917-9BFE-56754F6CE7B7}"/>
    <hyperlink ref="B42:G43" location="AÑO!G22:J22" display="AÑO!G22:J22" xr:uid="{64AF1417-F675-4930-A0D3-C123C10736E9}"/>
    <hyperlink ref="B62" location="Trimestre!C25:F26" display="HIPOTECA" xr:uid="{07503445-43C2-4962-B90C-A42779A968C0}"/>
    <hyperlink ref="B62:G63" location="AÑO!G23:J23" display="AÑO!G23:J23" xr:uid="{9C50D6B5-EFDC-45AD-8E95-34AAA35F6AF5}"/>
    <hyperlink ref="B82" location="Trimestre!C25:F26" display="HIPOTECA" xr:uid="{7C0AD437-5C74-4EB3-8A62-64051D66873A}"/>
    <hyperlink ref="B82:G83" location="AÑO!G24:J24" display="AÑO!G24:J24" xr:uid="{EBB7C52F-5D79-462A-91FE-C3794E7C8C79}"/>
    <hyperlink ref="B102" location="Trimestre!C25:F26" display="HIPOTECA" xr:uid="{5B9211F8-CC2F-45D9-B4FC-419C8448A089}"/>
    <hyperlink ref="B102:G103" location="AÑO!G25:J25" display="AÑO!G25:J25" xr:uid="{74439E9C-6FCA-4890-8340-052F284362E7}"/>
    <hyperlink ref="B122" location="Trimestre!C25:F26" display="HIPOTECA" xr:uid="{082323B9-7C18-4AC2-9A7D-14415C32BFEB}"/>
    <hyperlink ref="B122:G123" location="AÑO!G26:J26" display="AÑO!G26:J26" xr:uid="{3B2EDF1E-9C2D-497F-8072-A81438A13CDC}"/>
    <hyperlink ref="B142" location="Trimestre!C25:F26" display="HIPOTECA" xr:uid="{72BC6314-8BDD-4ED4-B088-5B3595BA7FA4}"/>
    <hyperlink ref="B142:G143" location="AÑO!G27:J27" display="AÑO!G27:J27" xr:uid="{61072580-A3C6-4F20-9073-75097BD3300E}"/>
    <hyperlink ref="B162" location="Trimestre!C25:F26" display="HIPOTECA" xr:uid="{42BE6DDE-2E51-4EA9-BACB-15B8C15B46C5}"/>
    <hyperlink ref="B162:G163" location="AÑO!G28:J28" display="AÑO!G28:J28" xr:uid="{1B5AC02F-2F5E-4D80-A5D9-AD5EDC3F2EC2}"/>
    <hyperlink ref="B182" location="Trimestre!C25:F26" display="HIPOTECA" xr:uid="{5E69867C-CE78-4E76-AA01-2B1171C10B15}"/>
    <hyperlink ref="B182:G183" location="AÑO!G29:J29" display="AÑO!G29:J29" xr:uid="{18FB84D7-C033-4A6F-9C80-7379B480E20A}"/>
    <hyperlink ref="B202" location="Trimestre!C25:F26" display="HIPOTECA" xr:uid="{AB46D951-B130-4181-AC2E-14B17018B497}"/>
    <hyperlink ref="B202:G203" location="AÑO!G30:J30" display="AÑO!G30:J30" xr:uid="{0B041309-EB33-48E1-95A4-B8F03F00CE0F}"/>
    <hyperlink ref="B222" location="Trimestre!C25:F26" display="HIPOTECA" xr:uid="{C91FA9D1-F8F6-492F-9741-24FB89B8BBE4}"/>
    <hyperlink ref="B222:G223" location="AÑO!G31:J31" display="AÑO!G31:J31" xr:uid="{E43F3B43-EF07-4181-8472-EE967522EAC3}"/>
    <hyperlink ref="B242" location="Trimestre!C25:F26" display="HIPOTECA" xr:uid="{15420100-2A4F-4C86-BDE2-BB047260E7A5}"/>
    <hyperlink ref="B242:G243" location="AÑO!G32:J32" display="AÑO!G32:J32" xr:uid="{6E758209-9C62-409B-A2F1-BB509E11AF02}"/>
    <hyperlink ref="B262" location="Trimestre!C25:F26" display="HIPOTECA" xr:uid="{48BB9E21-7F12-4179-BB25-238BBDF06C54}"/>
    <hyperlink ref="B262:G263" location="AÑO!G33:J33" display="AÑO!G33:J33" xr:uid="{C3084964-68B9-4AB6-8912-0FE43B168FE7}"/>
    <hyperlink ref="B282" location="Trimestre!C25:F26" display="HIPOTECA" xr:uid="{FFADDBC2-AB25-4C53-8DA0-B8FC46BF3752}"/>
    <hyperlink ref="B282:G283" location="AÑO!G34:J34" display="AÑO!G34:J34" xr:uid="{382B2A60-A3C7-4C82-87A6-13AC00E7393F}"/>
    <hyperlink ref="B302" location="Trimestre!C25:F26" display="HIPOTECA" xr:uid="{2969AE9F-9511-43F9-A505-8C78B5801B17}"/>
    <hyperlink ref="B302:G303" location="AÑO!G35:J35" display="AÑO!G35:J35" xr:uid="{6724DC12-B636-4D75-911B-1AF12C5FAF68}"/>
    <hyperlink ref="B322" location="Trimestre!C25:F26" display="HIPOTECA" xr:uid="{62309EB7-ED45-46F5-89F7-A81F49B7360C}"/>
    <hyperlink ref="B322:G323" location="AÑO!G36:J36" display="AÑO!G36:J36" xr:uid="{269204F8-2060-4406-9ECD-42126D1A73ED}"/>
    <hyperlink ref="B342" location="Trimestre!C25:F26" display="HIPOTECA" xr:uid="{DDBE3E49-886D-42DE-B415-DDB8B2CAD1F7}"/>
    <hyperlink ref="B342:G343" location="AÑO!G37:J37" display="AÑO!G37:J37" xr:uid="{8849CAF5-98FC-4E56-A647-A0501BD11714}"/>
    <hyperlink ref="B362" location="Trimestre!C25:F26" display="HIPOTECA" xr:uid="{69FEC310-DCF2-4B95-B5D7-70F2966FFF97}"/>
    <hyperlink ref="B362:G363" location="AÑO!G38:J38" display="AÑO!G38:J38" xr:uid="{0C6746FE-992C-4B06-85C6-A5BD392B8923}"/>
    <hyperlink ref="B382" location="Trimestre!C25:F26" display="HIPOTECA" xr:uid="{120E8191-6F22-4C3C-81A3-660273C27F21}"/>
    <hyperlink ref="B382:G383" location="AÑO!G39:J39" display="AÑO!G39:J39" xr:uid="{8DB9E4C7-8069-406F-A580-EC033768E32C}"/>
    <hyperlink ref="B402" location="Trimestre!C25:F26" display="HIPOTECA" xr:uid="{2D8CD89F-A2DE-4E3A-91FC-CE5DCE6CDAB2}"/>
    <hyperlink ref="B402:G403" location="AÑO!G40:J40" display="AÑO!G40:J40" xr:uid="{0BE29D5E-FAD6-44F1-8F57-D64C799F81AC}"/>
    <hyperlink ref="B422" location="Trimestre!C25:F26" display="HIPOTECA" xr:uid="{CF74C97B-E5C1-4E5B-8E14-75FD8303BD65}"/>
    <hyperlink ref="B422:G423" location="AÑO!G41:J41" display="AÑO!G41:J41" xr:uid="{F4EB874D-AFDF-4490-AF90-30D4456BFB80}"/>
    <hyperlink ref="B442" location="Trimestre!C25:F26" display="HIPOTECA" xr:uid="{928B64CF-2C22-47E0-90DD-C71F8194634E}"/>
    <hyperlink ref="B442:G443" location="AÑO!G42:J42" display="AÑO!G42:J42" xr:uid="{C639C1E1-BC6D-4A77-B3F3-2F59369F3B07}"/>
    <hyperlink ref="B462" location="Trimestre!C25:F26" display="HIPOTECA" xr:uid="{34438581-007D-496C-9B19-7F2ECB430DB4}"/>
    <hyperlink ref="B462:G463" location="AÑO!G43:J43" display="AÑO!G43:J43" xr:uid="{80751D27-40A4-43E1-BA48-CDA75BFC42D6}"/>
    <hyperlink ref="B482" location="Trimestre!C25:F26" display="HIPOTECA" xr:uid="{D7B5E4C5-D8E2-4AC0-BCE1-093C59C71D4F}"/>
    <hyperlink ref="B482:G483" location="AÑO!G44:J44" display="AÑO!G44:J44" xr:uid="{21B02695-9B10-41B5-A0BA-FD494FA02B6B}"/>
    <hyperlink ref="B502" location="Trimestre!C25:F26" display="HIPOTECA" xr:uid="{0D902F4D-FB42-4896-928B-3210027AD2C3}"/>
    <hyperlink ref="B502:G503" location="AÑO!G45:J45" display="AÑO!G45:J45" xr:uid="{5DD3A650-71D6-4DB9-AFBF-CDC2C697140D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workbookViewId="0">
      <selection activeCell="B2" sqref="B2:G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 Gastos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10" t="s">
        <v>9</v>
      </c>
      <c r="E4" s="410"/>
      <c r="F4" s="410"/>
      <c r="G4" s="403"/>
      <c r="H4" s="222"/>
      <c r="I4" s="40" t="s">
        <v>57</v>
      </c>
      <c r="J4" s="105" t="s">
        <v>58</v>
      </c>
      <c r="K4" s="430" t="s">
        <v>59</v>
      </c>
      <c r="L4" s="43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2"/>
      <c r="L5" s="433"/>
      <c r="M5" s="1"/>
      <c r="N5" s="1"/>
      <c r="R5" s="3"/>
    </row>
    <row r="6" spans="1:22" ht="15.75">
      <c r="A6" s="112">
        <f>'07'!A6+(B6-SUM(D6:F6))</f>
        <v>1611.34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6">
        <v>550</v>
      </c>
      <c r="L6" s="417"/>
      <c r="M6" s="1" t="s">
        <v>165</v>
      </c>
      <c r="N6" s="1"/>
      <c r="R6" s="3"/>
    </row>
    <row r="7" spans="1:22" ht="15.75">
      <c r="A7" s="112">
        <f>'07'!A7+(B7-SUM(D7:F7))</f>
        <v>243.20999999999998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6"/>
      <c r="L7" s="417"/>
      <c r="M7" s="1"/>
      <c r="N7" s="1"/>
      <c r="R7" s="3"/>
    </row>
    <row r="8" spans="1:22" ht="15.75">
      <c r="A8" s="112">
        <f>'07'!A8+(B8-SUM(D8:F8))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6">
        <v>7000</v>
      </c>
      <c r="L8" s="417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6">
        <v>659.77</v>
      </c>
      <c r="L9" s="417"/>
      <c r="M9" s="1"/>
      <c r="N9" s="1"/>
      <c r="R9" s="3"/>
    </row>
    <row r="10" spans="1:22" ht="15.75">
      <c r="A10" s="112">
        <f>'07'!A10+(B10-SUM(D10:F10))</f>
        <v>48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6">
        <v>1800.04</v>
      </c>
      <c r="L10" s="417"/>
      <c r="M10" s="1" t="s">
        <v>156</v>
      </c>
      <c r="N10" s="1"/>
      <c r="R10" s="3"/>
    </row>
    <row r="11" spans="1:22" ht="15.75">
      <c r="A11" s="112">
        <f>'07'!A11+(B11-SUM(D11:F11))</f>
        <v>90.67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6"/>
      <c r="L11" s="417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6">
        <v>5092.08</v>
      </c>
      <c r="L12" s="417"/>
      <c r="M12" s="92"/>
      <c r="N12" s="1"/>
      <c r="R12" s="3"/>
    </row>
    <row r="13" spans="1:22" ht="15.75">
      <c r="A13" s="112">
        <f>'07'!A13+(B13-SUM(D13:F13))</f>
        <v>38.5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8">
        <f>SUM(K5:K18)</f>
        <v>15101.890000000001</v>
      </c>
      <c r="L19" s="419"/>
      <c r="M19" s="1"/>
      <c r="N19" s="1"/>
      <c r="R19" s="3"/>
    </row>
    <row r="20" spans="1:18" ht="16.5" thickBot="1">
      <c r="A20" s="112">
        <f>SUM(A6:A15)</f>
        <v>2269.7600000000002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10" t="s">
        <v>9</v>
      </c>
      <c r="E24" s="410"/>
      <c r="F24" s="410"/>
      <c r="G24" s="403"/>
      <c r="H24" s="1"/>
      <c r="I24" s="40" t="s">
        <v>31</v>
      </c>
      <c r="J24" s="435" t="s">
        <v>87</v>
      </c>
      <c r="K24" s="436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1" t="str">
        <f>AÑO!A8</f>
        <v>Manolo Salario</v>
      </c>
      <c r="J25" s="424"/>
      <c r="K25" s="425"/>
      <c r="L25" s="198"/>
      <c r="M25" s="1"/>
      <c r="R25" s="3"/>
    </row>
    <row r="26" spans="1:18" ht="15.75">
      <c r="A26" s="112">
        <f>'07'!A26+(B26-SUM(D26:F26))</f>
        <v>2700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2"/>
      <c r="J26" s="426"/>
      <c r="K26" s="427"/>
      <c r="L26" s="199"/>
      <c r="M26" s="1"/>
      <c r="R26" s="3"/>
    </row>
    <row r="27" spans="1:18" ht="15.75">
      <c r="A27" s="112">
        <f>'07'!A27+(B27-SUM(D27:F27))</f>
        <v>556.02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22"/>
      <c r="J27" s="426"/>
      <c r="K27" s="427"/>
      <c r="L27" s="199"/>
      <c r="M27" s="1"/>
      <c r="R27" s="3"/>
    </row>
    <row r="28" spans="1:18" ht="15.75">
      <c r="A28" s="112">
        <f>'07'!A28+(B28-SUM(D28:F28))</f>
        <v>198.3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2"/>
      <c r="J28" s="426"/>
      <c r="K28" s="427"/>
      <c r="L28" s="199"/>
      <c r="M28" s="1"/>
      <c r="R28" s="3"/>
    </row>
    <row r="29" spans="1:18" ht="15.75">
      <c r="A29" s="112">
        <f>'07'!A29+(B29-SUM(D29:F29))</f>
        <v>55.430000000000007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3"/>
      <c r="J29" s="428"/>
      <c r="K29" s="429"/>
      <c r="L29" s="201"/>
      <c r="M29" s="1"/>
      <c r="R29" s="3"/>
    </row>
    <row r="30" spans="1:18" ht="15.75" customHeight="1">
      <c r="A30" s="112">
        <f>'07'!A30+(B30-SUM(D30:F30))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1" t="str">
        <f>AÑO!A9</f>
        <v>Rocío Salario</v>
      </c>
      <c r="J30" s="424"/>
      <c r="K30" s="425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/>
      <c r="K31" s="427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/>
      <c r="K32" s="427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218</v>
      </c>
      <c r="J35" s="424"/>
      <c r="K35" s="425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01"/>
      <c r="M39" s="1"/>
      <c r="R39" s="3"/>
    </row>
    <row r="40" spans="1:18" ht="16.5" thickBot="1">
      <c r="A40" s="112">
        <f>SUM(A26:A35)</f>
        <v>3696.0299999999997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1" t="str">
        <f>AÑO!A11</f>
        <v>Finanazas</v>
      </c>
      <c r="J40" s="424"/>
      <c r="K40" s="42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199"/>
      <c r="M41" s="1"/>
      <c r="R41" s="3"/>
    </row>
    <row r="42" spans="1:18" ht="15.6" customHeight="1">
      <c r="A42" s="1"/>
      <c r="B42" s="404" t="str">
        <f>AÑO!A22</f>
        <v>Comida+Limpieza</v>
      </c>
      <c r="C42" s="411"/>
      <c r="D42" s="411"/>
      <c r="E42" s="411"/>
      <c r="F42" s="411"/>
      <c r="G42" s="412"/>
      <c r="H42" s="1"/>
      <c r="I42" s="422"/>
      <c r="J42" s="426"/>
      <c r="K42" s="427"/>
      <c r="L42" s="19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199"/>
      <c r="M43" s="1"/>
      <c r="R43" s="3"/>
    </row>
    <row r="44" spans="1:18" ht="15.75">
      <c r="A44" s="1"/>
      <c r="B44" s="402" t="s">
        <v>8</v>
      </c>
      <c r="C44" s="403"/>
      <c r="D44" s="410" t="s">
        <v>9</v>
      </c>
      <c r="E44" s="410"/>
      <c r="F44" s="410"/>
      <c r="G44" s="403"/>
      <c r="H44" s="1"/>
      <c r="I44" s="423"/>
      <c r="J44" s="428"/>
      <c r="K44" s="429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1" t="str">
        <f>AÑO!A12</f>
        <v>Regalos</v>
      </c>
      <c r="J45" s="424"/>
      <c r="K45" s="425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22"/>
      <c r="J46" s="426"/>
      <c r="K46" s="427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22"/>
      <c r="J47" s="426"/>
      <c r="K47" s="427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2"/>
      <c r="J48" s="426"/>
      <c r="K48" s="427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3"/>
      <c r="J49" s="428"/>
      <c r="K49" s="429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1" t="str">
        <f>AÑO!A13</f>
        <v>Gubernamental</v>
      </c>
      <c r="J50" s="424"/>
      <c r="K50" s="425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2"/>
      <c r="J51" s="426"/>
      <c r="K51" s="427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2"/>
      <c r="J52" s="426"/>
      <c r="K52" s="427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2"/>
      <c r="J53" s="426"/>
      <c r="K53" s="427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24"/>
      <c r="K55" s="425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1" t="str">
        <f>AÑO!A15</f>
        <v>Alquiler Cartama</v>
      </c>
      <c r="J60" s="424"/>
      <c r="K60" s="425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19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19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199"/>
      <c r="M63" s="1"/>
      <c r="R63" s="3"/>
    </row>
    <row r="64" spans="1:18" ht="15.75">
      <c r="A64" s="1"/>
      <c r="B64" s="402" t="s">
        <v>8</v>
      </c>
      <c r="C64" s="403"/>
      <c r="D64" s="410" t="s">
        <v>9</v>
      </c>
      <c r="E64" s="410"/>
      <c r="F64" s="410"/>
      <c r="G64" s="403"/>
      <c r="H64" s="1"/>
      <c r="I64" s="423"/>
      <c r="J64" s="428"/>
      <c r="K64" s="429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1" t="str">
        <f>AÑO!A16</f>
        <v>Otros</v>
      </c>
      <c r="J65" s="424"/>
      <c r="K65" s="425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22"/>
      <c r="J66" s="426"/>
      <c r="K66" s="427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2"/>
      <c r="J67" s="426"/>
      <c r="K67" s="427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2"/>
      <c r="J68" s="426"/>
      <c r="K68" s="427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7"/>
      <c r="J69" s="438"/>
      <c r="K69" s="439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10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10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775.41000000000008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212.84000000000003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</f>
        <v>2568.650000000001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1521.35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10" t="s">
        <v>9</v>
      </c>
      <c r="E124" s="410"/>
      <c r="F124" s="410"/>
      <c r="G124" s="40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10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10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10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10" t="s">
        <v>9</v>
      </c>
      <c r="E204" s="410"/>
      <c r="F204" s="410"/>
      <c r="G204" s="40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10" t="s">
        <v>9</v>
      </c>
      <c r="E224" s="410"/>
      <c r="F224" s="410"/>
      <c r="G224" s="40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2:7" ht="15" customHeight="1" thickBot="1">
      <c r="B243" s="413"/>
      <c r="C243" s="414"/>
      <c r="D243" s="414"/>
      <c r="E243" s="414"/>
      <c r="F243" s="414"/>
      <c r="G243" s="415"/>
    </row>
    <row r="244" spans="2:7" ht="15" customHeight="1">
      <c r="B244" s="402" t="s">
        <v>8</v>
      </c>
      <c r="C244" s="403"/>
      <c r="D244" s="410" t="s">
        <v>9</v>
      </c>
      <c r="E244" s="410"/>
      <c r="F244" s="410"/>
      <c r="G244" s="40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2:7" ht="15" customHeight="1" thickBot="1">
      <c r="B263" s="413"/>
      <c r="C263" s="414"/>
      <c r="D263" s="414"/>
      <c r="E263" s="414"/>
      <c r="F263" s="414"/>
      <c r="G263" s="415"/>
    </row>
    <row r="264" spans="2:7">
      <c r="B264" s="402" t="s">
        <v>8</v>
      </c>
      <c r="C264" s="403"/>
      <c r="D264" s="410" t="s">
        <v>9</v>
      </c>
      <c r="E264" s="410"/>
      <c r="F264" s="410"/>
      <c r="G264" s="40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10" t="s">
        <v>9</v>
      </c>
      <c r="E284" s="410"/>
      <c r="F284" s="410"/>
      <c r="G284" s="40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10" t="s">
        <v>9</v>
      </c>
      <c r="E304" s="410"/>
      <c r="F304" s="410"/>
      <c r="G304" s="40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4" t="str">
        <f>AÑO!A36</f>
        <v>Nenas</v>
      </c>
      <c r="C322" s="411"/>
      <c r="D322" s="411"/>
      <c r="E322" s="411"/>
      <c r="F322" s="411"/>
      <c r="G322" s="412"/>
    </row>
    <row r="323" spans="2:7" ht="15" customHeight="1" thickBot="1">
      <c r="B323" s="413"/>
      <c r="C323" s="414"/>
      <c r="D323" s="414"/>
      <c r="E323" s="414"/>
      <c r="F323" s="414"/>
      <c r="G323" s="415"/>
    </row>
    <row r="324" spans="2:7">
      <c r="B324" s="402" t="s">
        <v>8</v>
      </c>
      <c r="C324" s="403"/>
      <c r="D324" s="410" t="s">
        <v>9</v>
      </c>
      <c r="E324" s="410"/>
      <c r="F324" s="410"/>
      <c r="G324" s="40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4" t="str">
        <f>AÑO!A37</f>
        <v>Impuestos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10" t="s">
        <v>9</v>
      </c>
      <c r="E344" s="410"/>
      <c r="F344" s="410"/>
      <c r="G344" s="40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10" t="s">
        <v>9</v>
      </c>
      <c r="E364" s="410"/>
      <c r="F364" s="410"/>
      <c r="G364" s="40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11"/>
      <c r="D382" s="411"/>
      <c r="E382" s="411"/>
      <c r="F382" s="411"/>
      <c r="G382" s="412"/>
    </row>
    <row r="383" spans="2:7" ht="15" customHeight="1" thickBot="1">
      <c r="B383" s="413"/>
      <c r="C383" s="414"/>
      <c r="D383" s="414"/>
      <c r="E383" s="414"/>
      <c r="F383" s="414"/>
      <c r="G383" s="415"/>
    </row>
    <row r="384" spans="2:7">
      <c r="B384" s="402" t="s">
        <v>8</v>
      </c>
      <c r="C384" s="403"/>
      <c r="D384" s="410" t="s">
        <v>9</v>
      </c>
      <c r="E384" s="410"/>
      <c r="F384" s="410"/>
      <c r="G384" s="40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10" t="s">
        <v>9</v>
      </c>
      <c r="E404" s="410"/>
      <c r="F404" s="410"/>
      <c r="G404" s="40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10" t="s">
        <v>9</v>
      </c>
      <c r="E424" s="410"/>
      <c r="F424" s="410"/>
      <c r="G424" s="403"/>
    </row>
    <row r="425" spans="1:7">
      <c r="A425" s="113">
        <f>AÑO!AE17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Cartama Finanazas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50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'07'!A467+(B467-SUM(D467:F467))</f>
        <v>465.22999999999996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'07'!A468+(B468-SUM(D468:F468))</f>
        <v>218.4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733.63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10" t="s">
        <v>9</v>
      </c>
      <c r="E504" s="410"/>
      <c r="F504" s="410"/>
      <c r="G504" s="40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93F3DB3C-A973-4A85-ACD1-DD017C52B9CE}"/>
    <hyperlink ref="I22:L23" location="AÑO!G7:J17" display="INGRESOS" xr:uid="{D46CFA37-1B09-41EE-B8CD-85B505BDFC34}"/>
    <hyperlink ref="I2" location="Trimestre!C39:F40" display="TELÉFONO" xr:uid="{0B26EA72-A3C8-44F7-9DD8-49A0E7D1D6CE}"/>
    <hyperlink ref="I2:L3" location="AÑO!G4:J5" display="SALDO REAL" xr:uid="{FDAB739F-B576-44C0-B280-41F2D547D52F}"/>
    <hyperlink ref="B2" location="Trimestre!C25:F26" display="HIPOTECA" xr:uid="{CD5B92BA-EE58-4B76-9237-005A61C0B64E}"/>
    <hyperlink ref="B2:G3" location="AÑO!G20:J20" display="AÑO!G20:J20" xr:uid="{73693965-C635-44A8-8269-C3649F9FA992}"/>
    <hyperlink ref="B22" location="Trimestre!C25:F26" display="HIPOTECA" xr:uid="{1712F9F5-DCD9-411B-B446-9A272D72B695}"/>
    <hyperlink ref="B22:G23" location="AÑO!G21:J21" display="AÑO!G21:J21" xr:uid="{8F4D7C93-C008-4D90-A3B4-21B38ABA0D92}"/>
    <hyperlink ref="B42" location="Trimestre!C25:F26" display="HIPOTECA" xr:uid="{17A2C85C-352D-42BB-9F5B-3E51E4D607D4}"/>
    <hyperlink ref="B42:G43" location="AÑO!G22:J22" display="AÑO!G22:J22" xr:uid="{3138702B-ED86-4BB3-9068-0E9BF4C997BF}"/>
    <hyperlink ref="B62" location="Trimestre!C25:F26" display="HIPOTECA" xr:uid="{8381ED44-4CEC-4013-8EB7-5D6E8098501B}"/>
    <hyperlink ref="B62:G63" location="AÑO!G23:J23" display="AÑO!G23:J23" xr:uid="{44FB67C7-CE88-4E25-B8B0-E20564223B50}"/>
    <hyperlink ref="B82" location="Trimestre!C25:F26" display="HIPOTECA" xr:uid="{C06CE3B0-8133-4725-A8DA-6B48EE99EFB1}"/>
    <hyperlink ref="B82:G83" location="AÑO!G24:J24" display="AÑO!G24:J24" xr:uid="{B145D278-4045-42C3-BFE5-8A59A620AFBD}"/>
    <hyperlink ref="B102" location="Trimestre!C25:F26" display="HIPOTECA" xr:uid="{AB899E71-A161-4F0D-BFED-9D6232E314A8}"/>
    <hyperlink ref="B102:G103" location="AÑO!G25:J25" display="AÑO!G25:J25" xr:uid="{F24B5D08-52EF-46AB-AC67-016DA5E47979}"/>
    <hyperlink ref="B122" location="Trimestre!C25:F26" display="HIPOTECA" xr:uid="{1653D824-05BA-47DB-A5E9-3631F0904013}"/>
    <hyperlink ref="B122:G123" location="AÑO!G26:J26" display="AÑO!G26:J26" xr:uid="{838A785A-BA39-4593-A6DD-151C9EA69BF0}"/>
    <hyperlink ref="B142" location="Trimestre!C25:F26" display="HIPOTECA" xr:uid="{23C88B4F-29EC-4045-B8B3-A33F2A67AB0A}"/>
    <hyperlink ref="B142:G143" location="AÑO!G27:J27" display="AÑO!G27:J27" xr:uid="{AF35E281-B405-4DE6-8249-90DE89686715}"/>
    <hyperlink ref="B162" location="Trimestre!C25:F26" display="HIPOTECA" xr:uid="{213B4F73-A2EA-4AF0-8E1E-DEC550DC18D5}"/>
    <hyperlink ref="B162:G163" location="AÑO!G28:J28" display="AÑO!G28:J28" xr:uid="{9C6DE6E1-40DB-4370-A602-E2AB8C11B9A8}"/>
    <hyperlink ref="B182" location="Trimestre!C25:F26" display="HIPOTECA" xr:uid="{E06351F4-7136-48AB-A29C-23FA82C28687}"/>
    <hyperlink ref="B182:G183" location="AÑO!G29:J29" display="AÑO!G29:J29" xr:uid="{7A82A385-FA82-4A71-8912-9D86980AB356}"/>
    <hyperlink ref="B202" location="Trimestre!C25:F26" display="HIPOTECA" xr:uid="{A271DBB7-F4FE-4D12-9339-C6A70ABAB68F}"/>
    <hyperlink ref="B202:G203" location="AÑO!G30:J30" display="AÑO!G30:J30" xr:uid="{F509249A-733B-4049-94FB-72BC3EB96381}"/>
    <hyperlink ref="B222" location="Trimestre!C25:F26" display="HIPOTECA" xr:uid="{ACD60C91-1189-4353-AFA1-7470D5B34051}"/>
    <hyperlink ref="B222:G223" location="AÑO!G31:J31" display="AÑO!G31:J31" xr:uid="{0B345A66-0BE7-4993-8781-DB9BADA82C67}"/>
    <hyperlink ref="B242" location="Trimestre!C25:F26" display="HIPOTECA" xr:uid="{B695A5F3-14A2-47AA-A659-E317A1B47698}"/>
    <hyperlink ref="B242:G243" location="AÑO!G32:J32" display="AÑO!G32:J32" xr:uid="{CD001BCA-9782-466C-95CA-B5CAF468AD27}"/>
    <hyperlink ref="B262" location="Trimestre!C25:F26" display="HIPOTECA" xr:uid="{EAB38DEA-100B-4DE4-B043-4DB08E3DE842}"/>
    <hyperlink ref="B262:G263" location="AÑO!G33:J33" display="AÑO!G33:J33" xr:uid="{F04DFD03-AA93-44E3-B634-61C379994CC9}"/>
    <hyperlink ref="B282" location="Trimestre!C25:F26" display="HIPOTECA" xr:uid="{C264E35A-2295-4212-9C8A-7A82C5436A7B}"/>
    <hyperlink ref="B282:G283" location="AÑO!G34:J34" display="AÑO!G34:J34" xr:uid="{43AF6309-96B3-4125-B41D-2588C72DEC50}"/>
    <hyperlink ref="B302" location="Trimestre!C25:F26" display="HIPOTECA" xr:uid="{B7B1CA86-62C6-405C-8293-9CF5DBE9E222}"/>
    <hyperlink ref="B302:G303" location="AÑO!G35:J35" display="AÑO!G35:J35" xr:uid="{BE4E3A27-CB6A-4456-A9C6-CECC82A3AFDA}"/>
    <hyperlink ref="B322" location="Trimestre!C25:F26" display="HIPOTECA" xr:uid="{96966532-1E4C-4F44-B99A-46420D0DDEF6}"/>
    <hyperlink ref="B322:G323" location="AÑO!G36:J36" display="AÑO!G36:J36" xr:uid="{0F8ECD39-9D7A-4F9B-BF25-32DB2B41F9E4}"/>
    <hyperlink ref="B342" location="Trimestre!C25:F26" display="HIPOTECA" xr:uid="{A53DA7AA-CC9F-4CC2-B1B8-CB3F35DDCA12}"/>
    <hyperlink ref="B342:G343" location="AÑO!G37:J37" display="AÑO!G37:J37" xr:uid="{531F81E8-28B8-4A23-9574-BFEC6AFBEB68}"/>
    <hyperlink ref="B362" location="Trimestre!C25:F26" display="HIPOTECA" xr:uid="{8CD2867A-2B65-4FC6-9B96-13AFB17075C2}"/>
    <hyperlink ref="B362:G363" location="AÑO!G38:J38" display="AÑO!G38:J38" xr:uid="{CD693938-E6E0-4C52-B0D9-323F45DF10F2}"/>
    <hyperlink ref="B382" location="Trimestre!C25:F26" display="HIPOTECA" xr:uid="{E3E141CD-286F-442A-BE3A-E6AA804F0BD5}"/>
    <hyperlink ref="B382:G383" location="AÑO!G39:J39" display="AÑO!G39:J39" xr:uid="{853E325D-51D7-4F79-A73C-AF2EB8E63282}"/>
    <hyperlink ref="B402" location="Trimestre!C25:F26" display="HIPOTECA" xr:uid="{BB90412A-D64B-4EA1-9EE9-4456F90D19D2}"/>
    <hyperlink ref="B402:G403" location="AÑO!G40:J40" display="AÑO!G40:J40" xr:uid="{A6EA651D-A835-4177-A83C-A7CA8F0F1A76}"/>
    <hyperlink ref="B422" location="Trimestre!C25:F26" display="HIPOTECA" xr:uid="{8E5403E8-506E-49FB-A18E-3358E8B19CFE}"/>
    <hyperlink ref="B422:G423" location="AÑO!G41:J41" display="AÑO!G41:J41" xr:uid="{151F526A-2AB8-49C9-A4C6-6F12A6E8C290}"/>
    <hyperlink ref="B442" location="Trimestre!C25:F26" display="HIPOTECA" xr:uid="{1AAFA757-72C4-4495-AF7F-F433F3A72077}"/>
    <hyperlink ref="B442:G443" location="AÑO!G42:J42" display="AÑO!G42:J42" xr:uid="{C47139C8-5838-49C6-ABB0-3A53E9A1FF69}"/>
    <hyperlink ref="B462" location="Trimestre!C25:F26" display="HIPOTECA" xr:uid="{31D40F87-FA67-4FCF-AE2C-6A05A14B95F7}"/>
    <hyperlink ref="B462:G463" location="AÑO!G43:J43" display="AÑO!G43:J43" xr:uid="{A12C4ED2-BA74-415F-A325-C39E9598002A}"/>
    <hyperlink ref="B482" location="Trimestre!C25:F26" display="HIPOTECA" xr:uid="{78A1DF16-11B8-46C6-BA68-53EA82DD9A3D}"/>
    <hyperlink ref="B482:G483" location="AÑO!G44:J44" display="AÑO!G44:J44" xr:uid="{9386587F-37FA-458B-95FC-8419732AB57D}"/>
    <hyperlink ref="B502" location="Trimestre!C25:F26" display="HIPOTECA" xr:uid="{22532DD8-EC09-45D1-93B6-93D58ED6A5B3}"/>
    <hyperlink ref="B502:G503" location="AÑO!G45:J45" display="AÑO!G45:J45" xr:uid="{71283ED3-6430-40F7-BADA-097680B5CF59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2019-05-27T12:37:45Z</dcterms:modified>
</cp:coreProperties>
</file>