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24226"/>
  <bookViews>
    <workbookView xWindow="-120" yWindow="-120" windowWidth="27492" windowHeight="16440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8" i="12" l="1"/>
  <c r="L56" i="12"/>
  <c r="L55" i="11"/>
  <c r="A66" i="12"/>
  <c r="H310" i="12"/>
  <c r="H309" i="12"/>
  <c r="A431" i="12" l="1"/>
  <c r="A430" i="12"/>
  <c r="I127" i="13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68" i="13"/>
  <c r="B480" i="13" s="1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K11" i="13"/>
  <c r="K9" i="13"/>
  <c r="K7" i="13"/>
  <c r="B2" i="13"/>
  <c r="N36" i="18" l="1"/>
  <c r="Q36" i="18" s="1"/>
  <c r="L36" i="18"/>
  <c r="D36" i="18"/>
  <c r="L40" i="12"/>
  <c r="P36" i="18" l="1"/>
  <c r="R36" i="18" s="1"/>
  <c r="K9" i="12"/>
  <c r="K7" i="12"/>
  <c r="K11" i="12"/>
  <c r="D316" i="11"/>
  <c r="D315" i="11"/>
  <c r="A130" i="12" l="1"/>
  <c r="A130" i="11"/>
  <c r="A430" i="11"/>
  <c r="B307" i="11"/>
  <c r="D79" i="11"/>
  <c r="I127" i="12" l="1"/>
  <c r="I127" i="11"/>
  <c r="I127" i="10"/>
  <c r="I127" i="9"/>
  <c r="I127" i="8"/>
  <c r="I127" i="7"/>
  <c r="I127" i="6"/>
  <c r="I127" i="5"/>
  <c r="I127" i="4"/>
  <c r="I127" i="3"/>
  <c r="I127" i="2"/>
  <c r="F366" i="11"/>
  <c r="K12" i="12" l="1"/>
  <c r="B3" i="19"/>
  <c r="B12" i="19"/>
  <c r="G62" i="17"/>
  <c r="A109" i="11"/>
  <c r="A467" i="11" l="1"/>
  <c r="A466" i="11"/>
  <c r="Q20" i="18"/>
  <c r="Q25" i="18"/>
  <c r="Q29" i="18"/>
  <c r="Q30" i="18"/>
  <c r="Q33" i="18"/>
  <c r="Q34" i="18"/>
  <c r="Q35" i="18"/>
  <c r="Q19" i="18"/>
  <c r="Q13" i="18"/>
  <c r="Q9" i="18"/>
  <c r="Q6" i="18"/>
  <c r="Q7" i="18"/>
  <c r="Q8" i="18"/>
  <c r="Q4" i="18"/>
  <c r="Q3" i="18"/>
  <c r="L32" i="11" l="1"/>
  <c r="D247" i="11"/>
  <c r="D366" i="11"/>
  <c r="D306" i="11" l="1"/>
  <c r="A286" i="11"/>
  <c r="D186" i="11" l="1"/>
  <c r="H62" i="17" l="1"/>
  <c r="F27" i="17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26" i="17"/>
  <c r="D46" i="11"/>
  <c r="D246" i="11"/>
  <c r="D146" i="11"/>
  <c r="I271" i="11" l="1"/>
  <c r="H257" i="12" l="1"/>
  <c r="P32" i="18"/>
  <c r="A359" i="12" l="1"/>
  <c r="A358" i="12"/>
  <c r="A346" i="12"/>
  <c r="A299" i="12"/>
  <c r="A256" i="12"/>
  <c r="A360" i="12" l="1"/>
  <c r="A66" i="10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A246" i="10"/>
  <c r="K11" i="11"/>
  <c r="B79" i="10"/>
  <c r="E192" i="10"/>
  <c r="E257" i="10"/>
  <c r="D190" i="10"/>
  <c r="A79" i="10"/>
  <c r="F366" i="10" l="1"/>
  <c r="H248" i="10" l="1"/>
  <c r="H328" i="10"/>
  <c r="H189" i="10"/>
  <c r="A428" i="10" l="1"/>
  <c r="M60" i="10"/>
  <c r="J25" i="15" l="1"/>
  <c r="A468" i="11" l="1"/>
  <c r="A359" i="11"/>
  <c r="A358" i="11"/>
  <c r="A346" i="11"/>
  <c r="A299" i="11"/>
  <c r="A256" i="11"/>
  <c r="H257" i="11"/>
  <c r="A108" i="11"/>
  <c r="A79" i="11"/>
  <c r="A79" i="12" s="1"/>
  <c r="A28" i="11"/>
  <c r="A30" i="11"/>
  <c r="A7" i="11"/>
  <c r="A12" i="11"/>
  <c r="A13" i="1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K12" i="11"/>
  <c r="B2" i="11"/>
  <c r="D326" i="10"/>
  <c r="A257" i="10"/>
  <c r="A257" i="11" s="1"/>
  <c r="A257" i="12" s="1"/>
  <c r="A256" i="10"/>
  <c r="A246" i="11"/>
  <c r="A246" i="12" s="1"/>
  <c r="H26" i="15"/>
  <c r="E186" i="10"/>
  <c r="F66" i="10"/>
  <c r="A260" i="12" l="1"/>
  <c r="A480" i="11"/>
  <c r="A360" i="11"/>
  <c r="A260" i="11"/>
  <c r="A246" i="9"/>
  <c r="A66" i="9"/>
  <c r="K11" i="10"/>
  <c r="G25" i="15"/>
  <c r="B26" i="15"/>
  <c r="U28" i="18"/>
  <c r="F366" i="9"/>
  <c r="H48" i="10" l="1"/>
  <c r="M5" i="9" l="1"/>
  <c r="H48" i="9" l="1"/>
  <c r="A299" i="10" l="1"/>
  <c r="A286" i="9"/>
  <c r="A300" i="9" s="1"/>
  <c r="A299" i="9"/>
  <c r="A286" i="10" l="1"/>
  <c r="A427" i="9"/>
  <c r="A300" i="10" l="1"/>
  <c r="D67" i="9"/>
  <c r="H81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O27" i="15"/>
  <c r="O28" i="15"/>
  <c r="O29" i="15"/>
  <c r="O26" i="15"/>
  <c r="A109" i="9"/>
  <c r="A108" i="9"/>
  <c r="A467" i="9"/>
  <c r="A300" i="11" l="1"/>
  <c r="A286" i="12"/>
  <c r="A300" i="12" s="1"/>
  <c r="D246" i="9"/>
  <c r="D366" i="8" l="1"/>
  <c r="A359" i="10"/>
  <c r="A358" i="10"/>
  <c r="A346" i="10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/>
  <c r="L20" i="10" s="1"/>
  <c r="B2" i="10"/>
  <c r="A359" i="9"/>
  <c r="A358" i="9"/>
  <c r="A346" i="9"/>
  <c r="B359" i="8"/>
  <c r="K11" i="9"/>
  <c r="B258" i="8"/>
  <c r="H83" i="15" l="1"/>
  <c r="B5" i="14" s="1"/>
  <c r="A360" i="10"/>
  <c r="A360" i="9"/>
  <c r="AD24" i="1" l="1"/>
  <c r="F366" i="8"/>
  <c r="B49" i="8"/>
  <c r="A346" i="7" l="1"/>
  <c r="A346" i="8" s="1"/>
  <c r="A358" i="8"/>
  <c r="A358" i="7"/>
  <c r="A360" i="8" l="1"/>
  <c r="A360" i="7"/>
  <c r="A246" i="8" l="1"/>
  <c r="H257" i="9"/>
  <c r="H257" i="8"/>
  <c r="A256" i="9"/>
  <c r="A129" i="9"/>
  <c r="A129" i="10" s="1"/>
  <c r="A129" i="11" s="1"/>
  <c r="A129" i="12" s="1"/>
  <c r="B308" i="8"/>
  <c r="D308" i="8"/>
  <c r="B8" i="8"/>
  <c r="D207" i="8"/>
  <c r="L55" i="8" l="1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C4" i="19" l="1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X36" i="18" l="1"/>
  <c r="Y36" i="18" s="1"/>
  <c r="X27" i="18"/>
  <c r="Y27" i="18" s="1"/>
  <c r="X19" i="18"/>
  <c r="X39" i="18"/>
  <c r="Y39" i="18" s="1"/>
  <c r="X31" i="18"/>
  <c r="Y31" i="18" s="1"/>
  <c r="X23" i="18"/>
  <c r="Y23" i="18" s="1"/>
  <c r="X15" i="18"/>
  <c r="Y15" i="18" s="1"/>
  <c r="X38" i="18"/>
  <c r="Y38" i="18" s="1"/>
  <c r="X30" i="18"/>
  <c r="Y30" i="18" s="1"/>
  <c r="X22" i="18"/>
  <c r="Y22" i="18" s="1"/>
  <c r="X14" i="18"/>
  <c r="Y14" i="18" s="1"/>
  <c r="X37" i="18"/>
  <c r="Y37" i="18" s="1"/>
  <c r="X29" i="18"/>
  <c r="Y29" i="18" s="1"/>
  <c r="X21" i="18"/>
  <c r="Y21" i="18" s="1"/>
  <c r="X20" i="18"/>
  <c r="X34" i="18"/>
  <c r="Y34" i="18" s="1"/>
  <c r="X26" i="18"/>
  <c r="Y26" i="18" s="1"/>
  <c r="X18" i="18"/>
  <c r="Y18" i="18" s="1"/>
  <c r="X41" i="18"/>
  <c r="Y41" i="18" s="1"/>
  <c r="X33" i="18"/>
  <c r="X25" i="18"/>
  <c r="X17" i="18"/>
  <c r="Y17" i="18" s="1"/>
  <c r="X40" i="18"/>
  <c r="Y40" i="18" s="1"/>
  <c r="X32" i="18"/>
  <c r="Y32" i="18" s="1"/>
  <c r="X24" i="18"/>
  <c r="Y24" i="18" s="1"/>
  <c r="X16" i="18"/>
  <c r="Y16" i="18" s="1"/>
  <c r="X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Y20" i="18" s="1"/>
  <c r="U71" i="18"/>
  <c r="U68" i="18"/>
  <c r="U69" i="18" s="1"/>
  <c r="U70" i="18" s="1"/>
  <c r="U60" i="18"/>
  <c r="U61" i="18" s="1"/>
  <c r="H59" i="18"/>
  <c r="H58" i="18"/>
  <c r="H57" i="18"/>
  <c r="H56" i="18"/>
  <c r="H35" i="18"/>
  <c r="M35" i="18" s="1"/>
  <c r="N35" i="18" s="1"/>
  <c r="P34" i="18"/>
  <c r="R34" i="18" s="1"/>
  <c r="H33" i="18"/>
  <c r="M33" i="18" s="1"/>
  <c r="P30" i="18"/>
  <c r="R30" i="18" s="1"/>
  <c r="P29" i="18"/>
  <c r="R29" i="18" s="1"/>
  <c r="K28" i="18"/>
  <c r="H28" i="18"/>
  <c r="M28" i="18" s="1"/>
  <c r="H25" i="18"/>
  <c r="M25" i="18" s="1"/>
  <c r="N25" i="18" s="1"/>
  <c r="R24" i="18"/>
  <c r="R21" i="18"/>
  <c r="H19" i="18"/>
  <c r="M19" i="18" s="1"/>
  <c r="N19" i="18" s="1"/>
  <c r="R14" i="18"/>
  <c r="T13" i="18" s="1"/>
  <c r="H13" i="18"/>
  <c r="I13" i="18" s="1"/>
  <c r="J13" i="18" s="1"/>
  <c r="H5" i="18"/>
  <c r="M5" i="18" s="1"/>
  <c r="H4" i="18"/>
  <c r="M4" i="18" s="1"/>
  <c r="H3" i="18"/>
  <c r="I3" i="18" s="1"/>
  <c r="J3" i="18" s="1"/>
  <c r="T19" i="18" l="1"/>
  <c r="I4" i="18"/>
  <c r="J4" i="18" s="1"/>
  <c r="I25" i="18"/>
  <c r="J25" i="18" s="1"/>
  <c r="M3" i="18"/>
  <c r="N3" i="18" s="1"/>
  <c r="O3" i="18" s="1"/>
  <c r="P20" i="18"/>
  <c r="R20" i="18" s="1"/>
  <c r="D35" i="18"/>
  <c r="X35" i="18" s="1"/>
  <c r="D28" i="18"/>
  <c r="X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Q28" i="18" s="1"/>
  <c r="N5" i="18"/>
  <c r="Q5" i="18" s="1"/>
  <c r="O25" i="18"/>
  <c r="N33" i="18"/>
  <c r="N4" i="18"/>
  <c r="I5" i="18"/>
  <c r="E13" i="18"/>
  <c r="Y13" i="18" s="1"/>
  <c r="P3" i="18"/>
  <c r="E3" i="18"/>
  <c r="E25" i="18"/>
  <c r="Y25" i="18" s="1"/>
  <c r="B46" i="7"/>
  <c r="P25" i="18" l="1"/>
  <c r="R25" i="18" s="1"/>
  <c r="J33" i="18"/>
  <c r="O33" i="18" s="1"/>
  <c r="R3" i="18"/>
  <c r="O28" i="18"/>
  <c r="O42" i="18" s="1"/>
  <c r="X42" i="18"/>
  <c r="D42" i="18"/>
  <c r="N42" i="18"/>
  <c r="E35" i="18"/>
  <c r="P35" i="18" s="1"/>
  <c r="E19" i="18"/>
  <c r="Y19" i="18" s="1"/>
  <c r="O4" i="18"/>
  <c r="E4" i="18"/>
  <c r="E28" i="18"/>
  <c r="Y28" i="18" s="1"/>
  <c r="J5" i="18"/>
  <c r="O5" i="18" s="1"/>
  <c r="D51" i="6"/>
  <c r="Y35" i="18" l="1"/>
  <c r="E33" i="18"/>
  <c r="J42" i="18"/>
  <c r="R35" i="18"/>
  <c r="E42" i="18"/>
  <c r="P4" i="18"/>
  <c r="R4" i="18" s="1"/>
  <c r="E5" i="18"/>
  <c r="P28" i="18"/>
  <c r="D7" i="19" s="1"/>
  <c r="A429" i="6"/>
  <c r="Y33" i="18" l="1"/>
  <c r="Y42" i="18" s="1"/>
  <c r="P33" i="18"/>
  <c r="R33" i="18" s="1"/>
  <c r="D6" i="19"/>
  <c r="D5" i="19"/>
  <c r="D4" i="19"/>
  <c r="D3" i="19"/>
  <c r="R28" i="18"/>
  <c r="T28" i="18" s="1"/>
  <c r="P42" i="18"/>
  <c r="P5" i="18"/>
  <c r="R5" i="18" s="1"/>
  <c r="R42" i="18" l="1"/>
  <c r="Z42" i="18"/>
  <c r="AA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9" i="5"/>
  <c r="A129" i="6" s="1"/>
  <c r="A129" i="7" s="1"/>
  <c r="A129" i="8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A140" i="12" s="1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2" l="1"/>
  <c r="A166" i="2"/>
  <c r="D74" i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D56" i="2"/>
  <c r="D55" i="2"/>
  <c r="D54" i="2"/>
  <c r="B467" i="2" l="1"/>
  <c r="A80" i="10" l="1"/>
  <c r="A66" i="11"/>
  <c r="A79" i="2"/>
  <c r="A79" i="3" s="1"/>
  <c r="A79" i="4" s="1"/>
  <c r="A79" i="5" s="1"/>
  <c r="A80" i="11" l="1"/>
  <c r="A80" i="12"/>
  <c r="A80" i="5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9" s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10" s="1"/>
  <c r="A467" i="12" s="1"/>
  <c r="A467" i="13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27" i="11" l="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2"/>
  <c r="A9" i="13" s="1"/>
  <c r="A9" i="11"/>
  <c r="A8" i="11"/>
  <c r="A8" i="12" s="1"/>
  <c r="A8" i="13" s="1"/>
  <c r="A109" i="5"/>
  <c r="A109" i="6" s="1"/>
  <c r="A109" i="7" s="1"/>
  <c r="A109" i="8" s="1"/>
  <c r="A109" i="10" s="1"/>
  <c r="A109" i="12" s="1"/>
  <c r="A109" i="13" s="1"/>
  <c r="A108" i="5"/>
  <c r="A108" i="6" s="1"/>
  <c r="A108" i="7" s="1"/>
  <c r="A108" i="8" s="1"/>
  <c r="A108" i="10" s="1"/>
  <c r="A108" i="12" s="1"/>
  <c r="A108" i="13" s="1"/>
  <c r="A466" i="6"/>
  <c r="A466" i="7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30" i="12" s="1"/>
  <c r="A30" i="13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8" i="7" l="1"/>
  <c r="A468" i="8" s="1"/>
  <c r="A468" i="9" s="1"/>
  <c r="A468" i="10" s="1"/>
  <c r="A468" i="12" s="1"/>
  <c r="A468" i="13" s="1"/>
  <c r="A480" i="6"/>
  <c r="L20" i="2"/>
  <c r="N22" i="2"/>
  <c r="A40" i="4"/>
  <c r="A40" i="5"/>
  <c r="A40" i="6"/>
  <c r="A466" i="8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40" i="8"/>
  <c r="A6" i="9"/>
  <c r="A20" i="8"/>
  <c r="A466" i="10" l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L25" i="15" s="1"/>
  <c r="M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E19" i="14" s="1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B6" i="14" s="1"/>
  <c r="C26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L24" i="15" s="1"/>
  <c r="M24" i="15" s="1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A425" i="11" l="1"/>
  <c r="B426" i="11" s="1"/>
  <c r="B440" i="11" s="1"/>
  <c r="B426" i="3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M7" i="14" l="1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K8" i="14" l="1"/>
  <c r="L9" i="14" s="1"/>
  <c r="A246" i="5"/>
  <c r="A246" i="6" s="1"/>
  <c r="AX21" i="1"/>
  <c r="BJ21" i="1"/>
  <c r="AX22" i="1"/>
  <c r="BJ22" i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K10" i="14" l="1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AX20" i="1"/>
  <c r="BJ20" i="1"/>
  <c r="AX40" i="1"/>
  <c r="BJ40" i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60" i="10" s="1"/>
  <c r="A256" i="7" l="1"/>
  <c r="A260" i="6"/>
  <c r="A258" i="7"/>
  <c r="A258" i="8" s="1"/>
  <c r="A260" i="9" s="1"/>
  <c r="A260" i="5"/>
  <c r="A40" i="9"/>
  <c r="A26" i="10"/>
  <c r="A26" i="11" s="1"/>
  <c r="A40" i="11" s="1"/>
  <c r="A26" i="12" l="1"/>
  <c r="A40" i="12" s="1"/>
  <c r="A40" i="10"/>
  <c r="A256" i="8"/>
  <c r="A260" i="8" s="1"/>
  <c r="A260" i="7"/>
  <c r="A26" i="13" l="1"/>
  <c r="A40" i="13" s="1"/>
</calcChain>
</file>

<file path=xl/sharedStrings.xml><?xml version="1.0" encoding="utf-8"?>
<sst xmlns="http://schemas.openxmlformats.org/spreadsheetml/2006/main" count="5859" uniqueCount="935">
  <si>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</si>
  <si>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</si>
  <si>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</si>
  <si>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</si>
  <si>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</si>
  <si>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</si>
  <si>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</si>
  <si>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</si>
  <si>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</si>
  <si>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</si>
  <si>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</si>
  <si>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</si>
  <si>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</si>
  <si>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</si>
  <si>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</si>
  <si>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</si>
  <si>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</si>
  <si>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</si>
  <si>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</si>
  <si>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</si>
  <si>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</si>
  <si>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</si>
  <si>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</si>
  <si>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</si>
  <si>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</si>
  <si>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</si>
  <si>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</si>
  <si>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</si>
  <si>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</si>
  <si>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</si>
  <si>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</si>
  <si>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</si>
  <si>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</si>
  <si>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</si>
  <si>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</si>
  <si>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</si>
  <si>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</si>
  <si>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</si>
  <si>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</si>
  <si>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</si>
  <si>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</si>
  <si>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</si>
  <si>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</si>
  <si>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</si>
  <si>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</si>
  <si>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</si>
  <si>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</si>
  <si>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</si>
  <si>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</si>
  <si>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</si>
  <si>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</si>
  <si>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</si>
  <si>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</si>
  <si>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</si>
  <si>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</si>
  <si>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</si>
  <si>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</si>
  <si>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</si>
  <si>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</si>
  <si>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</si>
  <si>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</si>
  <si>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</si>
  <si>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</si>
  <si>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</si>
  <si>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</si>
  <si>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</si>
  <si>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</si>
  <si>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</si>
  <si>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</si>
  <si>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</si>
  <si>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</si>
  <si>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</si>
  <si>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</si>
  <si>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</si>
  <si>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</si>
  <si>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</si>
  <si>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</si>
  <si>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</si>
  <si>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</si>
  <si>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</si>
  <si>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</si>
  <si>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</si>
  <si>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</si>
  <si>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</si>
  <si>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</si>
  <si>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</si>
  <si>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</si>
  <si>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</si>
  <si>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</si>
  <si>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</si>
  <si>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</si>
  <si>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</si>
  <si>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</si>
  <si>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</si>
  <si>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</si>
  <si>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</si>
  <si>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</si>
  <si>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</si>
  <si>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</si>
  <si>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</si>
  <si>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</si>
  <si>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</si>
  <si>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</si>
  <si>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</si>
  <si>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</si>
  <si>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</si>
  <si>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</si>
  <si>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</si>
  <si>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</si>
  <si>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</si>
  <si>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</si>
  <si>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</si>
  <si>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</si>
  <si>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</si>
  <si>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</si>
  <si>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</si>
  <si>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</si>
  <si>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</si>
  <si>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</si>
  <si>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</si>
  <si>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</si>
  <si>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</si>
  <si>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</si>
  <si>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</si>
  <si>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</si>
  <si>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</si>
  <si>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</si>
  <si>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</si>
  <si>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</si>
  <si>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</si>
  <si>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</si>
  <si>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</si>
  <si>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</si>
  <si>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</si>
  <si>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</si>
  <si>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</si>
  <si>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</si>
  <si>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</si>
  <si>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</si>
  <si>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</si>
  <si>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</si>
  <si>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</si>
  <si>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</si>
  <si>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</si>
  <si>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</si>
  <si>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</si>
  <si>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</si>
  <si>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</si>
  <si>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</si>
  <si>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</si>
  <si>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</si>
  <si>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</si>
  <si>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</si>
  <si>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</si>
  <si>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</si>
  <si>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</si>
  <si>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</si>
  <si>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</si>
  <si>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</si>
  <si>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</si>
  <si>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</si>
  <si>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</si>
  <si>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</si>
  <si>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</si>
  <si>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</si>
  <si>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</si>
  <si>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</si>
  <si>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</si>
  <si>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</si>
  <si>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</si>
  <si>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</si>
  <si>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</si>
  <si>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</si>
  <si>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</si>
  <si>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</si>
  <si>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</si>
  <si>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</si>
  <si>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</si>
  <si>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</si>
  <si>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</si>
  <si>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</si>
  <si>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</si>
  <si>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</si>
  <si>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</si>
  <si>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</si>
  <si>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</si>
  <si>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</si>
  <si>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</si>
  <si>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</si>
  <si>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</si>
  <si>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</si>
  <si>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</si>
  <si>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</si>
  <si>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</si>
  <si>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</si>
  <si>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</si>
  <si>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</si>
  <si>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</si>
  <si>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</si>
  <si>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</si>
  <si>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</si>
  <si>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</si>
  <si>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</si>
  <si>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</si>
  <si>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</si>
  <si>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</si>
  <si>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</si>
  <si>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</si>
  <si>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</si>
  <si>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</si>
  <si>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</si>
  <si>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</si>
  <si>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</si>
  <si>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</si>
  <si>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</si>
  <si>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</si>
  <si>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</si>
  <si>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</si>
  <si>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</si>
  <si>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</si>
  <si>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</si>
  <si>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</si>
  <si>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</si>
  <si>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</si>
  <si>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</si>
  <si>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</si>
  <si>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</si>
  <si>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</si>
  <si>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</si>
  <si>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</si>
  <si>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</si>
  <si>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</si>
  <si>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</si>
  <si>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</si>
  <si>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</si>
  <si>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</si>
  <si>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</si>
  <si>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</si>
  <si>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</si>
  <si>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</si>
  <si>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</si>
  <si>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</si>
  <si>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</si>
  <si>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</si>
  <si>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</si>
  <si>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</si>
  <si>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</si>
  <si>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</si>
  <si>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</si>
  <si>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</si>
  <si>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</si>
  <si>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</si>
  <si>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</si>
  <si>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</si>
  <si>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</si>
  <si>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</si>
  <si>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</si>
  <si>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</si>
  <si>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</si>
  <si>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</si>
  <si>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</si>
  <si>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</si>
  <si>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</si>
  <si>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</si>
  <si>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</si>
  <si>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</si>
  <si>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</si>
  <si>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</si>
  <si>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</si>
  <si>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</si>
  <si>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</si>
  <si>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</si>
  <si>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</si>
  <si>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</si>
  <si>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</si>
  <si>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</si>
  <si>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</si>
  <si>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</si>
  <si>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</si>
  <si>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</si>
  <si>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</si>
  <si>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</si>
  <si>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</si>
  <si>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</si>
  <si>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</si>
  <si>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</si>
  <si>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</si>
  <si>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</si>
  <si>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</si>
  <si>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</si>
  <si>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</si>
  <si>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</si>
  <si>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</si>
  <si>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</si>
  <si>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</si>
  <si>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</si>
  <si>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</si>
  <si>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</si>
  <si>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</si>
  <si>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</si>
  <si>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</si>
  <si>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</si>
  <si>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</si>
  <si>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</si>
  <si>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</si>
  <si>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</si>
  <si>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</si>
  <si>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</si>
  <si>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</si>
  <si>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</si>
  <si>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</si>
  <si>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</si>
  <si>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</si>
  <si>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</si>
  <si>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</si>
  <si>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</si>
  <si>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</si>
  <si>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</si>
  <si>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</si>
  <si>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</si>
  <si>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</si>
  <si>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</si>
  <si>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</si>
  <si>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</si>
  <si>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</si>
  <si>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</si>
  <si>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</si>
  <si>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</si>
  <si>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</si>
  <si>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</si>
  <si>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</si>
  <si>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</si>
  <si>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</si>
  <si>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</si>
  <si>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</si>
  <si>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</si>
  <si>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</si>
  <si>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</si>
  <si>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</si>
  <si>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</si>
  <si>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</si>
  <si>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</si>
  <si>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</si>
  <si>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</si>
  <si>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</si>
  <si>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</si>
  <si>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</si>
  <si>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</si>
  <si>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</si>
  <si>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</si>
  <si>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</si>
  <si>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</si>
  <si>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</si>
  <si>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</si>
  <si>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</si>
  <si>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</si>
  <si>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</si>
  <si>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</si>
  <si>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</si>
  <si>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</si>
  <si>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</si>
  <si>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</si>
  <si>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</si>
  <si>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</si>
  <si>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</si>
  <si>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</si>
  <si>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</si>
  <si>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</si>
  <si>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</si>
  <si>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</si>
  <si>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</si>
  <si>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</si>
  <si>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</si>
  <si>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</si>
  <si>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</si>
  <si>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</si>
  <si>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</si>
  <si>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</si>
  <si>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</si>
  <si>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</si>
  <si>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</si>
  <si>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</si>
  <si>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</si>
  <si>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</si>
  <si>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</si>
  <si>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</si>
  <si>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</si>
  <si>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</si>
  <si>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</si>
  <si>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</si>
  <si>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</si>
  <si>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</si>
  <si>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</si>
  <si>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</si>
  <si>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</si>
  <si>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</si>
  <si>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</si>
  <si>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</si>
  <si>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</si>
  <si>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</si>
  <si>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</si>
  <si>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</si>
  <si>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</si>
  <si>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</si>
  <si>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</si>
  <si>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</si>
  <si>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</si>
  <si>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</si>
  <si>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</si>
  <si>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</si>
  <si>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</si>
  <si>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</si>
  <si>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</si>
  <si>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</si>
  <si>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</si>
  <si>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</si>
  <si>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</si>
  <si>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</si>
  <si>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</si>
  <si>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</si>
  <si>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</si>
  <si>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</si>
  <si>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</si>
  <si>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</si>
  <si>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</si>
  <si>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</si>
  <si>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</si>
  <si>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</si>
  <si>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</si>
  <si>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</si>
  <si>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</si>
  <si>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</si>
  <si>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</si>
  <si>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</si>
  <si>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</si>
  <si>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</si>
  <si>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</si>
  <si>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</si>
  <si>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</si>
  <si>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</si>
  <si>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</si>
  <si>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</si>
  <si>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</si>
  <si>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</si>
  <si>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</si>
  <si>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</si>
  <si>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</si>
  <si>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</si>
  <si>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</si>
  <si>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</si>
  <si>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</si>
  <si>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</si>
  <si>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</si>
  <si>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</si>
  <si>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</si>
  <si>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</si>
  <si>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</si>
  <si>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</si>
  <si>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</si>
  <si>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</si>
  <si>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</si>
  <si>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</si>
  <si>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</si>
  <si>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</si>
  <si>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</si>
  <si>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</si>
  <si>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</si>
  <si>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</si>
  <si>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</si>
  <si>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</si>
  <si>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</si>
  <si>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</si>
  <si>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</si>
  <si>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</si>
  <si>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</si>
  <si>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</si>
  <si>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</si>
  <si>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</si>
  <si>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</si>
  <si>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</si>
  <si>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</si>
  <si>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</si>
  <si>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</si>
  <si>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</si>
  <si>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</si>
  <si>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</si>
  <si>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</si>
  <si>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</si>
  <si>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</si>
  <si>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</si>
  <si>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</si>
  <si>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</si>
  <si>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</si>
  <si>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</si>
  <si>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</si>
  <si>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</si>
  <si>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</si>
  <si>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</si>
  <si>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</si>
  <si>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</si>
  <si>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</si>
  <si>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</si>
  <si>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</si>
  <si>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</si>
  <si>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</si>
  <si>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</si>
  <si>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</si>
  <si>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</si>
  <si>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</si>
  <si>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</si>
  <si>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</si>
  <si>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</si>
  <si>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</si>
  <si>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</si>
  <si>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</si>
  <si>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</si>
  <si>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</si>
  <si>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</si>
  <si>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</si>
  <si>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</si>
  <si>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</si>
  <si>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</si>
  <si>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</si>
  <si>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</si>
  <si>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</si>
  <si>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</si>
  <si>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</si>
  <si>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</si>
  <si>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</si>
  <si>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</si>
  <si>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</si>
  <si>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</si>
  <si>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</si>
  <si>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</si>
  <si>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</si>
  <si>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</si>
  <si>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</si>
  <si>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</si>
  <si>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</si>
  <si>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</si>
  <si>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</si>
  <si>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</si>
  <si>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</si>
  <si>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</si>
  <si>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</si>
  <si>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</si>
  <si>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</si>
  <si>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</si>
  <si>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</si>
  <si>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</si>
  <si>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</si>
  <si>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</si>
  <si>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</si>
  <si>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</si>
  <si>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</si>
  <si>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</si>
  <si>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</si>
  <si>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</si>
  <si>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</si>
  <si>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</si>
  <si>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</si>
  <si>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</si>
  <si>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</si>
  <si>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</si>
  <si>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</si>
  <si>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</si>
  <si>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</si>
  <si>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</si>
  <si>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</si>
  <si>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</si>
  <si>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</si>
  <si>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</si>
  <si>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</si>
  <si>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</si>
  <si>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</si>
  <si>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</si>
  <si>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</si>
  <si>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</si>
  <si>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</si>
  <si>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</si>
  <si>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</si>
  <si>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</si>
  <si>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</si>
  <si>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</si>
  <si>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</si>
  <si>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</si>
  <si>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</si>
  <si>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</si>
  <si>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</si>
  <si>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</si>
  <si>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</si>
  <si>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</si>
  <si>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</si>
  <si>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</si>
  <si>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</si>
  <si>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</si>
  <si>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</si>
  <si>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</si>
  <si>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</si>
  <si>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</si>
  <si>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</si>
  <si>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</si>
  <si>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</si>
  <si>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</si>
  <si>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</si>
  <si>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</si>
  <si>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</si>
  <si>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</si>
  <si>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</si>
  <si>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</si>
  <si>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</si>
  <si>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</si>
  <si>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</si>
  <si>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</si>
  <si>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</si>
  <si>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</si>
  <si>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</si>
  <si>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</si>
  <si>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</si>
  <si>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</si>
  <si>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</si>
  <si>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</si>
  <si>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</si>
  <si>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</si>
  <si>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</si>
  <si>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</si>
  <si>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</si>
  <si>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</si>
  <si>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</si>
  <si>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</si>
  <si>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</si>
  <si>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</si>
  <si>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</si>
  <si>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</si>
  <si>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</si>
  <si>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</si>
  <si>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</si>
  <si>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</si>
  <si>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</si>
  <si>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</si>
  <si>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</si>
  <si>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</si>
  <si>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</si>
  <si>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</si>
  <si>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</si>
  <si>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</si>
  <si>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</si>
  <si>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</si>
  <si>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</si>
  <si>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</si>
  <si>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</si>
  <si>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</si>
  <si>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</si>
  <si>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</si>
  <si>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</si>
  <si>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</si>
  <si>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</si>
  <si>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</si>
  <si>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</si>
  <si>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</si>
  <si>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</si>
  <si>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</si>
  <si>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</si>
  <si>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</si>
  <si>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</si>
  <si>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</si>
  <si>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</si>
  <si>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</si>
  <si>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</si>
  <si>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</si>
  <si>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</si>
  <si>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</si>
  <si>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</si>
  <si>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</si>
  <si>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</si>
  <si>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</si>
  <si>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</si>
  <si>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</si>
  <si>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</si>
  <si>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</si>
  <si>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</si>
  <si>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</si>
  <si>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</si>
  <si>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</si>
  <si>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</si>
  <si>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</si>
  <si>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</si>
  <si>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</si>
  <si>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</si>
  <si>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</si>
  <si>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</si>
  <si>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</si>
  <si>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</si>
  <si>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</si>
  <si>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</si>
  <si>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</si>
  <si>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</si>
  <si>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</si>
  <si>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</si>
  <si>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</si>
  <si>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</si>
  <si>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</si>
  <si>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</si>
  <si>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</si>
  <si>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</si>
  <si>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</si>
  <si>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</si>
  <si>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</si>
  <si>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</si>
  <si>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</si>
  <si>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</si>
  <si>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</si>
  <si>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</si>
  <si>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</si>
  <si>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</si>
  <si>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</si>
  <si>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</si>
  <si>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</si>
  <si>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</si>
  <si>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</si>
  <si>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</si>
  <si>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</si>
  <si>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</si>
  <si>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</si>
  <si>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</si>
  <si>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</si>
  <si>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</si>
  <si>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</si>
  <si>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</si>
  <si>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</si>
  <si>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</si>
  <si>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</si>
  <si>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</si>
  <si>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</si>
  <si>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</si>
  <si>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</si>
  <si>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</si>
  <si>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</si>
  <si>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</si>
  <si>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</si>
  <si>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</si>
  <si>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</si>
  <si>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</si>
  <si>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</si>
  <si>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</si>
  <si>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</si>
  <si>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</si>
  <si>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</si>
  <si>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</si>
  <si>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</si>
  <si>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</si>
  <si>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</si>
  <si>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</si>
  <si>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</si>
  <si>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</si>
  <si>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</si>
  <si>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</si>
  <si>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</si>
  <si>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</si>
  <si>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</si>
  <si>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</si>
  <si>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</si>
  <si>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</si>
  <si>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</si>
  <si>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</si>
  <si>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</si>
  <si>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</si>
  <si>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</si>
  <si>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</si>
  <si>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</si>
  <si>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</si>
  <si>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</si>
  <si>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</si>
  <si>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</si>
  <si>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</si>
  <si>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</si>
  <si>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</si>
  <si>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</si>
  <si>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</si>
  <si>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SURF10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</si>
  <si>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</si>
  <si>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</si>
  <si>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</si>
  <si>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</si>
  <si>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</si>
  <si>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</si>
  <si>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</si>
  <si>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</si>
  <si>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</si>
  <si>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</si>
  <si>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</si>
  <si>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</si>
  <si>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</si>
  <si>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</si>
  <si>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</si>
  <si>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</si>
  <si>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</si>
  <si>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</si>
  <si>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</si>
  <si>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</si>
  <si>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</si>
  <si>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</si>
  <si>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</si>
  <si>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</si>
  <si>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</si>
  <si>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</si>
  <si>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</si>
  <si>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</si>
  <si>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</si>
  <si>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</si>
  <si>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</si>
  <si>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</si>
  <si>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</si>
  <si>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</si>
  <si>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</si>
  <si>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</si>
  <si>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</si>
  <si>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</si>
  <si>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</si>
  <si>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</si>
  <si>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</si>
  <si>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</si>
  <si>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</si>
  <si>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</si>
  <si>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</si>
  <si>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</si>
  <si>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</si>
  <si>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</si>
  <si>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</si>
  <si>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</si>
  <si>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</si>
  <si>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</si>
  <si>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</si>
  <si>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</si>
  <si>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&lt;400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</si>
  <si>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</si>
  <si>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</si>
  <si>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</si>
  <si>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</si>
  <si>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</si>
  <si>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</si>
  <si>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</si>
  <si>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</si>
  <si>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</si>
  <si>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</si>
  <si>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</si>
  <si>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</si>
  <si>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</si>
  <si>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</si>
  <si>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</si>
  <si>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</si>
  <si>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</si>
  <si>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</si>
  <si>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</si>
  <si>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</si>
  <si>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</si>
  <si>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</si>
  <si>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</si>
  <si>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</si>
  <si>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</si>
  <si>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</si>
  <si>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</si>
  <si>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</si>
  <si>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</si>
  <si>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</si>
  <si>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</si>
  <si>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</si>
  <si>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</si>
  <si>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</si>
  <si>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</si>
  <si>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</si>
  <si>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</si>
  <si>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</si>
  <si>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</si>
  <si>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</si>
  <si>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 xml:space="preserve">Hacienda 2018 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</si>
  <si>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</si>
  <si>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</si>
  <si>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</si>
  <si>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</si>
  <si>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</si>
  <si>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</si>
  <si>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</si>
  <si>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</si>
  <si>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</si>
  <si>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</si>
  <si>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</si>
  <si>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</si>
  <si>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</si>
  <si>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</si>
  <si>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</si>
  <si>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</si>
  <si>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</si>
  <si>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</si>
  <si>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</si>
  <si>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</si>
  <si>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</si>
  <si>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</si>
  <si>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</si>
  <si>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</si>
  <si>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</si>
  <si>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</si>
  <si>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</si>
  <si>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</si>
  <si>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</si>
  <si>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</si>
  <si>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</si>
  <si>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</si>
  <si>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</si>
  <si>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</si>
  <si>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</si>
  <si>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</si>
  <si>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</si>
  <si>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&lt;350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</si>
  <si>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</si>
  <si>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</si>
  <si>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</si>
  <si>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</si>
  <si>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</si>
  <si>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</si>
  <si>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</si>
  <si>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</si>
  <si>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</si>
  <si>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</si>
  <si>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</si>
  <si>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</si>
  <si>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</si>
  <si>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</si>
  <si>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</si>
  <si>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</si>
  <si>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</si>
  <si>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</si>
  <si>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</si>
  <si>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Basse Rocio</t>
  </si>
  <si>
    <t>19/11 Delhaize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</si>
</sst>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8" formatCode="&quot;€&quot;#,##0.00;[Red]\-&quot;€&quot;#,##0.00"/>
    <numFmt numFmtId="43" formatCode="_-* #,##0.00_-;\-* #,##0.00_-;_-* &quot;-&quot;??_-;_-@_-"/>
    <numFmt numFmtId="164" formatCode="#,##0\ &quot;€&quot;;[Red]\-#,##0\ &quot;€&quot;"/>
    <numFmt numFmtId="165" formatCode="#,##0.00\ &quot;€&quot;;[Red]\-#,##0.00\ &quot;€&quot;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165" fontId="2" fillId="0" borderId="0" xfId="0" applyNumberFormat="1" applyFont="1"/>
    <xf numFmtId="165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8" fontId="1" fillId="0" borderId="0" xfId="0" applyNumberFormat="1" applyFont="1"/>
    <xf numFmtId="168" fontId="1" fillId="0" borderId="0" xfId="0" applyNumberFormat="1" applyFont="1"/>
    <xf numFmtId="8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8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8" fontId="0" fillId="0" borderId="82" xfId="0" applyNumberFormat="1" applyBorder="1"/>
    <xf numFmtId="8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43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165" fontId="1" fillId="0" borderId="0" xfId="0" applyNumberFormat="1" applyFont="1"/>
    <xf numFmtId="165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165" fontId="0" fillId="0" borderId="101" xfId="0" applyNumberFormat="1" applyBorder="1" applyAlignment="1">
      <alignment horizontal="center"/>
    </xf>
    <xf numFmtId="165" fontId="15" fillId="0" borderId="101" xfId="0" applyNumberFormat="1" applyFont="1" applyBorder="1" applyAlignment="1">
      <alignment horizontal="center"/>
    </xf>
    <xf numFmtId="165" fontId="0" fillId="0" borderId="102" xfId="0" applyNumberFormat="1" applyBorder="1" applyAlignment="1">
      <alignment horizontal="center"/>
    </xf>
    <xf numFmtId="165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164" fontId="1" fillId="0" borderId="0" xfId="0" applyNumberFormat="1" applyFont="1"/>
    <xf numFmtId="165" fontId="10" fillId="0" borderId="0" xfId="0" applyNumberFormat="1" applyFont="1"/>
    <xf numFmtId="165" fontId="17" fillId="0" borderId="77" xfId="0" applyNumberFormat="1" applyFont="1" applyBorder="1"/>
    <xf numFmtId="165" fontId="0" fillId="0" borderId="76" xfId="0" applyNumberFormat="1" applyBorder="1"/>
    <xf numFmtId="165" fontId="0" fillId="0" borderId="77" xfId="0" applyNumberFormat="1" applyBorder="1"/>
    <xf numFmtId="165" fontId="0" fillId="0" borderId="81" xfId="0" applyNumberFormat="1" applyBorder="1"/>
    <xf numFmtId="165" fontId="0" fillId="0" borderId="80" xfId="0" applyNumberFormat="1" applyBorder="1"/>
    <xf numFmtId="165" fontId="1" fillId="0" borderId="0" xfId="0" applyNumberFormat="1" applyFont="1" applyAlignment="1">
      <alignment vertical="top"/>
    </xf>
    <xf numFmtId="165" fontId="2" fillId="0" borderId="50" xfId="0" applyNumberFormat="1" applyFont="1" applyBorder="1" applyAlignment="1">
      <alignment horizontal="center" vertical="center"/>
    </xf>
    <xf numFmtId="165" fontId="2" fillId="0" borderId="51" xfId="0" applyNumberFormat="1" applyFont="1" applyBorder="1"/>
    <xf numFmtId="165" fontId="2" fillId="0" borderId="52" xfId="0" applyNumberFormat="1" applyFont="1" applyBorder="1" applyAlignment="1">
      <alignment vertical="center"/>
    </xf>
    <xf numFmtId="165" fontId="2" fillId="0" borderId="53" xfId="0" applyNumberFormat="1" applyFont="1" applyBorder="1"/>
    <xf numFmtId="165" fontId="2" fillId="0" borderId="46" xfId="0" applyNumberFormat="1" applyFont="1" applyBorder="1" applyAlignment="1">
      <alignment horizontal="center" vertical="center"/>
    </xf>
    <xf numFmtId="165" fontId="2" fillId="0" borderId="52" xfId="0" applyNumberFormat="1" applyFont="1" applyBorder="1"/>
    <xf numFmtId="165" fontId="2" fillId="0" borderId="11" xfId="0" applyNumberFormat="1" applyFont="1" applyBorder="1"/>
    <xf numFmtId="165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165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165" fontId="2" fillId="5" borderId="18" xfId="0" applyNumberFormat="1" applyFont="1" applyFill="1" applyBorder="1" applyAlignment="1"/>
    <xf numFmtId="165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165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165" fontId="2" fillId="9" borderId="46" xfId="0" applyNumberFormat="1" applyFont="1" applyFill="1" applyBorder="1" applyAlignment="1"/>
    <xf numFmtId="165" fontId="2" fillId="9" borderId="24" xfId="0" applyNumberFormat="1" applyFont="1" applyFill="1" applyBorder="1" applyAlignment="1"/>
    <xf numFmtId="165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165" fontId="2" fillId="5" borderId="42" xfId="0" applyNumberFormat="1" applyFont="1" applyFill="1" applyBorder="1" applyAlignment="1">
      <alignment horizontal="right"/>
    </xf>
    <xf numFmtId="165" fontId="2" fillId="5" borderId="13" xfId="0" applyNumberFormat="1" applyFont="1" applyFill="1" applyBorder="1" applyAlignment="1"/>
    <xf numFmtId="165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165" fontId="2" fillId="9" borderId="21" xfId="0" applyNumberFormat="1" applyFont="1" applyFill="1" applyBorder="1" applyAlignment="1">
      <alignment horizontal="right"/>
    </xf>
    <xf numFmtId="165" fontId="2" fillId="5" borderId="47" xfId="0" applyNumberFormat="1" applyFont="1" applyFill="1" applyBorder="1" applyAlignment="1"/>
    <xf numFmtId="165" fontId="2" fillId="9" borderId="27" xfId="0" applyNumberFormat="1" applyFont="1" applyFill="1" applyBorder="1" applyAlignment="1"/>
    <xf numFmtId="165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165" fontId="2" fillId="5" borderId="11" xfId="0" applyNumberFormat="1" applyFont="1" applyFill="1" applyBorder="1" applyAlignment="1"/>
    <xf numFmtId="165" fontId="2" fillId="9" borderId="28" xfId="0" applyNumberFormat="1" applyFont="1" applyFill="1" applyBorder="1" applyAlignment="1"/>
    <xf numFmtId="165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165" fontId="2" fillId="5" borderId="58" xfId="0" applyNumberFormat="1" applyFont="1" applyFill="1" applyBorder="1" applyAlignment="1">
      <alignment horizontal="right"/>
    </xf>
    <xf numFmtId="165" fontId="2" fillId="5" borderId="24" xfId="0" applyNumberFormat="1" applyFont="1" applyFill="1" applyBorder="1" applyAlignment="1"/>
    <xf numFmtId="165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165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165" fontId="2" fillId="9" borderId="61" xfId="0" applyNumberFormat="1" applyFont="1" applyFill="1" applyBorder="1" applyAlignment="1"/>
    <xf numFmtId="165" fontId="2" fillId="9" borderId="62" xfId="0" applyNumberFormat="1" applyFont="1" applyFill="1" applyBorder="1" applyAlignment="1"/>
    <xf numFmtId="165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165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165" fontId="2" fillId="9" borderId="107" xfId="0" applyNumberFormat="1" applyFont="1" applyFill="1" applyBorder="1" applyAlignment="1"/>
    <xf numFmtId="165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165" fontId="1" fillId="5" borderId="20" xfId="0" applyNumberFormat="1" applyFont="1" applyFill="1" applyBorder="1"/>
    <xf numFmtId="165" fontId="1" fillId="9" borderId="21" xfId="0" applyNumberFormat="1" applyFont="1" applyFill="1" applyBorder="1"/>
    <xf numFmtId="165" fontId="1" fillId="5" borderId="21" xfId="0" applyNumberFormat="1" applyFont="1" applyFill="1" applyBorder="1"/>
    <xf numFmtId="165" fontId="1" fillId="9" borderId="21" xfId="0" applyNumberFormat="1" applyFont="1" applyFill="1" applyBorder="1" applyAlignment="1">
      <alignment horizontal="right"/>
    </xf>
    <xf numFmtId="165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8" fontId="2" fillId="0" borderId="114" xfId="0" applyNumberFormat="1" applyFont="1" applyBorder="1" applyAlignment="1"/>
    <xf numFmtId="8" fontId="2" fillId="0" borderId="115" xfId="0" applyNumberFormat="1" applyFont="1" applyBorder="1" applyAlignment="1"/>
    <xf numFmtId="8" fontId="2" fillId="0" borderId="116" xfId="0" applyNumberFormat="1" applyFont="1" applyBorder="1" applyAlignment="1"/>
    <xf numFmtId="8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165" fontId="2" fillId="12" borderId="10" xfId="0" applyNumberFormat="1" applyFont="1" applyFill="1" applyBorder="1"/>
    <xf numFmtId="165" fontId="2" fillId="12" borderId="15" xfId="0" applyNumberFormat="1" applyFont="1" applyFill="1" applyBorder="1"/>
    <xf numFmtId="165" fontId="2" fillId="12" borderId="9" xfId="0" applyNumberFormat="1" applyFont="1" applyFill="1" applyBorder="1"/>
    <xf numFmtId="165" fontId="2" fillId="12" borderId="16" xfId="0" applyNumberFormat="1" applyFont="1" applyFill="1" applyBorder="1"/>
    <xf numFmtId="165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165" fontId="1" fillId="5" borderId="20" xfId="0" applyNumberFormat="1" applyFont="1" applyFill="1" applyBorder="1" applyAlignment="1"/>
    <xf numFmtId="165" fontId="1" fillId="9" borderId="21" xfId="0" applyNumberFormat="1" applyFont="1" applyFill="1" applyBorder="1" applyAlignment="1"/>
    <xf numFmtId="165" fontId="1" fillId="5" borderId="21" xfId="0" applyNumberFormat="1" applyFont="1" applyFill="1" applyBorder="1" applyAlignment="1"/>
    <xf numFmtId="165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165" fontId="1" fillId="9" borderId="4" xfId="0" applyNumberFormat="1" applyFont="1" applyFill="1" applyBorder="1" applyAlignment="1">
      <alignment horizontal="right"/>
    </xf>
    <xf numFmtId="165" fontId="2" fillId="0" borderId="115" xfId="0" applyNumberFormat="1" applyFont="1" applyBorder="1" applyAlignment="1"/>
    <xf numFmtId="165" fontId="2" fillId="0" borderId="121" xfId="0" applyNumberFormat="1" applyFont="1" applyBorder="1" applyAlignment="1"/>
    <xf numFmtId="165" fontId="2" fillId="0" borderId="114" xfId="0" applyNumberFormat="1" applyFont="1" applyBorder="1" applyAlignment="1"/>
    <xf numFmtId="165" fontId="2" fillId="0" borderId="116" xfId="0" applyNumberFormat="1" applyFont="1" applyBorder="1" applyAlignment="1"/>
    <xf numFmtId="165" fontId="2" fillId="0" borderId="53" xfId="0" applyNumberFormat="1" applyFont="1" applyBorder="1" applyAlignment="1">
      <alignment vertical="center"/>
    </xf>
    <xf numFmtId="165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165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165" fontId="0" fillId="0" borderId="0" xfId="0" applyNumberFormat="1" applyFill="1"/>
    <xf numFmtId="165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165" fontId="0" fillId="17" borderId="131" xfId="0" applyNumberFormat="1" applyFill="1" applyBorder="1"/>
    <xf numFmtId="165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165" fontId="0" fillId="17" borderId="95" xfId="0" applyNumberFormat="1" applyFill="1" applyBorder="1"/>
    <xf numFmtId="165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165" fontId="0" fillId="0" borderId="0" xfId="0" applyNumberFormat="1" applyFill="1" applyBorder="1"/>
    <xf numFmtId="178" fontId="0" fillId="17" borderId="0" xfId="0" applyNumberFormat="1" applyFill="1" applyBorder="1"/>
    <xf numFmtId="165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165" fontId="0" fillId="0" borderId="128" xfId="0" applyNumberFormat="1" applyFill="1" applyBorder="1"/>
    <xf numFmtId="165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165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165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165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165" fontId="0" fillId="18" borderId="0" xfId="0" applyNumberFormat="1" applyFill="1"/>
    <xf numFmtId="178" fontId="0" fillId="0" borderId="0" xfId="0" applyNumberFormat="1"/>
    <xf numFmtId="8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165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165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165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165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165" fontId="0" fillId="0" borderId="0" xfId="0" applyNumberFormat="1" applyBorder="1"/>
    <xf numFmtId="0" fontId="0" fillId="0" borderId="0" xfId="0" applyBorder="1"/>
    <xf numFmtId="0" fontId="0" fillId="0" borderId="129" xfId="0" applyBorder="1"/>
    <xf numFmtId="165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165" fontId="2" fillId="5" borderId="109" xfId="0" applyNumberFormat="1" applyFont="1" applyFill="1" applyBorder="1" applyAlignment="1">
      <alignment horizontal="right"/>
    </xf>
    <xf numFmtId="165" fontId="2" fillId="5" borderId="36" xfId="0" applyNumberFormat="1" applyFont="1" applyFill="1" applyBorder="1" applyAlignment="1">
      <alignment horizontal="right"/>
    </xf>
    <xf numFmtId="165" fontId="2" fillId="5" borderId="110" xfId="0" applyNumberFormat="1" applyFont="1" applyFill="1" applyBorder="1" applyAlignment="1">
      <alignment horizontal="right"/>
    </xf>
    <xf numFmtId="165" fontId="2" fillId="9" borderId="58" xfId="0" applyNumberFormat="1" applyFont="1" applyFill="1" applyBorder="1" applyAlignment="1">
      <alignment horizontal="right"/>
    </xf>
    <xf numFmtId="165" fontId="2" fillId="9" borderId="123" xfId="0" applyNumberFormat="1" applyFont="1" applyFill="1" applyBorder="1" applyAlignment="1">
      <alignment horizontal="right"/>
    </xf>
    <xf numFmtId="165" fontId="2" fillId="9" borderId="23" xfId="0" applyNumberFormat="1" applyFont="1" applyFill="1" applyBorder="1" applyAlignment="1">
      <alignment horizontal="right"/>
    </xf>
    <xf numFmtId="165" fontId="2" fillId="5" borderId="58" xfId="0" applyNumberFormat="1" applyFont="1" applyFill="1" applyBorder="1" applyAlignment="1">
      <alignment horizontal="right"/>
    </xf>
    <xf numFmtId="165" fontId="2" fillId="5" borderId="123" xfId="0" applyNumberFormat="1" applyFont="1" applyFill="1" applyBorder="1" applyAlignment="1">
      <alignment horizontal="right"/>
    </xf>
    <xf numFmtId="165" fontId="2" fillId="5" borderId="23" xfId="0" applyNumberFormat="1" applyFont="1" applyFill="1" applyBorder="1" applyAlignment="1">
      <alignment horizontal="right"/>
    </xf>
    <xf numFmtId="165" fontId="2" fillId="5" borderId="111" xfId="0" applyNumberFormat="1" applyFont="1" applyFill="1" applyBorder="1" applyAlignment="1">
      <alignment horizontal="right"/>
    </xf>
    <xf numFmtId="165" fontId="2" fillId="5" borderId="124" xfId="0" applyNumberFormat="1" applyFont="1" applyFill="1" applyBorder="1" applyAlignment="1">
      <alignment horizontal="right"/>
    </xf>
    <xf numFmtId="165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165" fontId="1" fillId="0" borderId="6" xfId="0" applyNumberFormat="1" applyFont="1" applyBorder="1" applyAlignment="1">
      <alignment vertical="center"/>
    </xf>
    <xf numFmtId="165" fontId="1" fillId="0" borderId="5" xfId="0" applyNumberFormat="1" applyFont="1" applyBorder="1" applyAlignment="1">
      <alignment vertical="center"/>
    </xf>
    <xf numFmtId="165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165" fontId="1" fillId="0" borderId="6" xfId="0" quotePrefix="1" applyNumberFormat="1" applyFont="1" applyBorder="1" applyAlignment="1">
      <alignment vertical="center"/>
    </xf>
    <xf numFmtId="165" fontId="2" fillId="11" borderId="6" xfId="0" applyNumberFormat="1" applyFont="1" applyFill="1" applyBorder="1" applyAlignment="1">
      <alignment horizontal="right"/>
    </xf>
    <xf numFmtId="165" fontId="2" fillId="11" borderId="5" xfId="0" applyNumberFormat="1" applyFont="1" applyFill="1" applyBorder="1" applyAlignment="1">
      <alignment horizontal="right"/>
    </xf>
    <xf numFmtId="165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164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right"/>
    </xf>
    <xf numFmtId="165" fontId="2" fillId="0" borderId="39" xfId="0" applyNumberFormat="1" applyFont="1" applyBorder="1" applyAlignment="1">
      <alignment horizontal="right"/>
    </xf>
    <xf numFmtId="165" fontId="2" fillId="0" borderId="56" xfId="0" applyNumberFormat="1" applyFont="1" applyBorder="1" applyAlignment="1">
      <alignment horizontal="right"/>
    </xf>
    <xf numFmtId="165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65" fontId="2" fillId="0" borderId="49" xfId="0" applyNumberFormat="1" applyFont="1" applyBorder="1" applyAlignment="1">
      <alignment horizontal="center" vertical="center"/>
    </xf>
    <xf numFmtId="165" fontId="2" fillId="0" borderId="37" xfId="0" applyNumberFormat="1" applyFont="1" applyBorder="1" applyAlignment="1">
      <alignment horizontal="center" vertical="center"/>
    </xf>
    <xf numFmtId="165" fontId="2" fillId="0" borderId="55" xfId="0" applyNumberFormat="1" applyFont="1" applyBorder="1" applyAlignment="1">
      <alignment horizontal="right"/>
    </xf>
    <xf numFmtId="165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165" fontId="2" fillId="0" borderId="126" xfId="0" applyNumberFormat="1" applyFont="1" applyBorder="1" applyAlignment="1">
      <alignment horizontal="right"/>
    </xf>
    <xf numFmtId="165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1"/>
  <sheetViews>
    <sheetView tabSelected="1" topLeftCell="A13" zoomScaleNormal="100" workbookViewId="0">
      <pane xSplit="1" topLeftCell="AK1" activePane="topRight" state="frozen"/>
      <selection pane="topRight" activeCell="AQ7" sqref="AQ7:AT17"/>
    </sheetView>
  </sheetViews>
  <sheetFormatPr baseColWidth="10" defaultColWidth="9.109375" defaultRowHeight="14.4"/>
  <cols>
    <col min="1" max="1" width="20.109375" style="208" customWidth="1"/>
    <col min="2" max="2" width="13.6640625" customWidth="1"/>
    <col min="3" max="3" width="11.109375" customWidth="1"/>
    <col min="4" max="4" width="11.5546875" customWidth="1"/>
    <col min="5" max="5" width="10.109375" customWidth="1"/>
    <col min="6" max="6" width="10.88671875" customWidth="1"/>
    <col min="7" max="7" width="11.33203125" customWidth="1"/>
    <col min="8" max="8" width="10.44140625" customWidth="1"/>
    <col min="9" max="9" width="10" customWidth="1"/>
    <col min="10" max="10" width="10.88671875" customWidth="1"/>
    <col min="11" max="11" width="11" customWidth="1"/>
    <col min="12" max="12" width="12.109375" customWidth="1"/>
    <col min="13" max="13" width="10" customWidth="1"/>
    <col min="14" max="14" width="11.33203125" customWidth="1"/>
    <col min="15" max="15" width="11.109375" customWidth="1"/>
    <col min="16" max="16" width="11.33203125" customWidth="1"/>
    <col min="17" max="17" width="10.33203125" customWidth="1"/>
    <col min="18" max="18" width="11.109375" customWidth="1"/>
    <col min="19" max="19" width="11.33203125" customWidth="1"/>
    <col min="20" max="20" width="10.44140625" customWidth="1"/>
    <col min="21" max="21" width="10.5546875" customWidth="1"/>
    <col min="22" max="23" width="11" customWidth="1"/>
    <col min="24" max="24" width="10.5546875" customWidth="1"/>
    <col min="25" max="25" width="10.109375" customWidth="1"/>
    <col min="26" max="26" width="11.44140625" customWidth="1"/>
    <col min="27" max="28" width="11" customWidth="1"/>
    <col min="29" max="29" width="10.33203125" customWidth="1"/>
    <col min="30" max="30" width="11.109375" customWidth="1"/>
    <col min="31" max="31" width="11" customWidth="1"/>
    <col min="32" max="32" width="11.33203125" customWidth="1"/>
    <col min="33" max="33" width="10.6640625" customWidth="1"/>
    <col min="34" max="34" width="11.109375" customWidth="1"/>
    <col min="35" max="35" width="11.33203125" customWidth="1"/>
    <col min="36" max="36" width="10.44140625" customWidth="1"/>
    <col min="37" max="37" width="10.109375" customWidth="1"/>
    <col min="38" max="38" width="11.109375" customWidth="1"/>
    <col min="39" max="39" width="11.44140625" customWidth="1"/>
    <col min="40" max="40" width="11.109375" customWidth="1"/>
    <col min="41" max="41" width="10.5546875" customWidth="1"/>
    <col min="42" max="44" width="11.109375" customWidth="1"/>
    <col min="45" max="45" width="10.33203125" customWidth="1"/>
    <col min="46" max="46" width="11.109375" customWidth="1"/>
    <col min="47" max="47" width="11.44140625" customWidth="1"/>
    <col min="48" max="48" width="10.6640625" customWidth="1"/>
    <col min="49" max="49" width="10.44140625" customWidth="1"/>
    <col min="50" max="50" width="12.109375" customWidth="1"/>
    <col min="52" max="52" width="21.6640625" customWidth="1"/>
    <col min="53" max="53" width="26.88671875" customWidth="1"/>
    <col min="54" max="54" width="19.33203125" customWidth="1"/>
    <col min="55" max="55" width="24" customWidth="1"/>
    <col min="56" max="56" width="11.109375" customWidth="1"/>
    <col min="57" max="57" width="23.44140625" customWidth="1"/>
    <col min="58" max="58" width="17.33203125" customWidth="1"/>
    <col min="60" max="60" width="16" customWidth="1"/>
    <col min="62" max="62" width="23.44140625" customWidth="1"/>
  </cols>
  <sheetData>
    <row r="1" spans="1:55" ht="15.6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6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2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6.8" thickTop="1" thickBot="1">
      <c r="A4" s="203" t="s">
        <v>4</v>
      </c>
      <c r="B4" s="214">
        <v>2018</v>
      </c>
      <c r="C4" s="353" t="s">
        <v>0</v>
      </c>
      <c r="D4" s="354"/>
      <c r="E4" s="354"/>
      <c r="F4" s="355"/>
      <c r="G4" s="353" t="s">
        <v>1</v>
      </c>
      <c r="H4" s="354"/>
      <c r="I4" s="354"/>
      <c r="J4" s="355"/>
      <c r="K4" s="353" t="s">
        <v>2</v>
      </c>
      <c r="L4" s="354"/>
      <c r="M4" s="354"/>
      <c r="N4" s="355"/>
      <c r="O4" s="353" t="s">
        <v>3</v>
      </c>
      <c r="P4" s="354"/>
      <c r="Q4" s="354"/>
      <c r="R4" s="355"/>
      <c r="S4" s="353" t="s">
        <v>71</v>
      </c>
      <c r="T4" s="354"/>
      <c r="U4" s="354"/>
      <c r="V4" s="355"/>
      <c r="W4" s="353" t="s">
        <v>70</v>
      </c>
      <c r="X4" s="354"/>
      <c r="Y4" s="354"/>
      <c r="Z4" s="355"/>
      <c r="AA4" s="353" t="s">
        <v>72</v>
      </c>
      <c r="AB4" s="354"/>
      <c r="AC4" s="354"/>
      <c r="AD4" s="355"/>
      <c r="AE4" s="353" t="s">
        <v>73</v>
      </c>
      <c r="AF4" s="354"/>
      <c r="AG4" s="354"/>
      <c r="AH4" s="355"/>
      <c r="AI4" s="353" t="s">
        <v>75</v>
      </c>
      <c r="AJ4" s="354"/>
      <c r="AK4" s="354"/>
      <c r="AL4" s="355"/>
      <c r="AM4" s="353" t="s">
        <v>77</v>
      </c>
      <c r="AN4" s="354"/>
      <c r="AO4" s="354"/>
      <c r="AP4" s="355"/>
      <c r="AQ4" s="353" t="s">
        <v>79</v>
      </c>
      <c r="AR4" s="354"/>
      <c r="AS4" s="354"/>
      <c r="AT4" s="355"/>
      <c r="AU4" s="353" t="s">
        <v>84</v>
      </c>
      <c r="AV4" s="354"/>
      <c r="AW4" s="354"/>
      <c r="AX4" s="355"/>
      <c r="AZ4" s="1"/>
      <c r="BA4" s="1"/>
      <c r="BB4" s="1"/>
      <c r="BC4" s="1"/>
    </row>
    <row r="5" spans="1:55" ht="16.2" thickBot="1">
      <c r="A5" s="204" t="s">
        <v>5</v>
      </c>
      <c r="B5" s="228">
        <v>22909.4</v>
      </c>
      <c r="C5" s="356">
        <f>'01'!K19</f>
        <v>26383.54</v>
      </c>
      <c r="D5" s="357"/>
      <c r="E5" s="357"/>
      <c r="F5" s="358"/>
      <c r="G5" s="356">
        <f>'02'!K19</f>
        <v>25229.379999999997</v>
      </c>
      <c r="H5" s="357"/>
      <c r="I5" s="357"/>
      <c r="J5" s="358"/>
      <c r="K5" s="363">
        <f>'03'!K19</f>
        <v>25574.760000000002</v>
      </c>
      <c r="L5" s="357"/>
      <c r="M5" s="357"/>
      <c r="N5" s="358"/>
      <c r="O5" s="363">
        <f>'04'!K19</f>
        <v>26443.759999999998</v>
      </c>
      <c r="P5" s="357"/>
      <c r="Q5" s="357"/>
      <c r="R5" s="358"/>
      <c r="S5" s="363">
        <f>'05'!K19</f>
        <v>27163.090000000004</v>
      </c>
      <c r="T5" s="357"/>
      <c r="U5" s="357"/>
      <c r="V5" s="358"/>
      <c r="W5" s="363">
        <f>'06'!K19</f>
        <v>29014.079999999998</v>
      </c>
      <c r="X5" s="357"/>
      <c r="Y5" s="357"/>
      <c r="Z5" s="358"/>
      <c r="AA5" s="363">
        <f>'07'!K19</f>
        <v>29282.959999999999</v>
      </c>
      <c r="AB5" s="357"/>
      <c r="AC5" s="357"/>
      <c r="AD5" s="358"/>
      <c r="AE5" s="363">
        <f>'08'!K19</f>
        <v>29166.850000000002</v>
      </c>
      <c r="AF5" s="357"/>
      <c r="AG5" s="357"/>
      <c r="AH5" s="358"/>
      <c r="AI5" s="363">
        <f>'09'!K19</f>
        <v>29258.260000000002</v>
      </c>
      <c r="AJ5" s="357"/>
      <c r="AK5" s="357"/>
      <c r="AL5" s="358"/>
      <c r="AM5" s="363">
        <f>'10'!K19</f>
        <v>30089.47</v>
      </c>
      <c r="AN5" s="357"/>
      <c r="AO5" s="357"/>
      <c r="AP5" s="358"/>
      <c r="AQ5" s="363">
        <f>'11'!K19</f>
        <v>30103.380000000005</v>
      </c>
      <c r="AR5" s="357"/>
      <c r="AS5" s="357"/>
      <c r="AT5" s="358"/>
      <c r="AU5" s="363">
        <f>'12'!K19</f>
        <v>30103.380000000005</v>
      </c>
      <c r="AV5" s="357"/>
      <c r="AW5" s="357"/>
      <c r="AX5" s="358"/>
      <c r="AZ5" s="6"/>
      <c r="BA5" s="7"/>
      <c r="BB5" s="1"/>
      <c r="BC5" s="1"/>
    </row>
    <row r="6" spans="1:55" ht="16.8" thickTop="1" thickBot="1">
      <c r="A6" s="205"/>
      <c r="B6" s="8"/>
      <c r="C6" s="362"/>
      <c r="D6" s="362"/>
      <c r="E6" s="362"/>
      <c r="F6" s="362"/>
      <c r="G6" s="362"/>
      <c r="H6" s="362"/>
      <c r="I6" s="362"/>
      <c r="J6" s="362"/>
      <c r="K6" s="362"/>
      <c r="L6" s="362"/>
      <c r="M6" s="362"/>
      <c r="N6" s="362"/>
      <c r="O6" s="362"/>
      <c r="P6" s="362"/>
      <c r="Q6" s="362"/>
      <c r="R6" s="362"/>
      <c r="S6" s="362"/>
      <c r="T6" s="362"/>
      <c r="U6" s="362"/>
      <c r="V6" s="362"/>
      <c r="W6" s="362"/>
      <c r="X6" s="362"/>
      <c r="Y6" s="362"/>
      <c r="Z6" s="362"/>
      <c r="AA6" s="362"/>
      <c r="AB6" s="362"/>
      <c r="AC6" s="362"/>
      <c r="AD6" s="362"/>
      <c r="AE6" s="362"/>
      <c r="AF6" s="362"/>
      <c r="AG6" s="362"/>
      <c r="AH6" s="362"/>
      <c r="AI6" s="362"/>
      <c r="AJ6" s="362"/>
      <c r="AK6" s="362"/>
      <c r="AL6" s="362"/>
      <c r="AM6" s="362"/>
      <c r="AN6" s="362"/>
      <c r="AO6" s="362"/>
      <c r="AP6" s="362"/>
      <c r="AQ6" s="362"/>
      <c r="AR6" s="362"/>
      <c r="AS6" s="362"/>
      <c r="AT6" s="362"/>
      <c r="AU6" s="362"/>
      <c r="AV6" s="362"/>
      <c r="AW6" s="362"/>
      <c r="AX6" s="362"/>
      <c r="AZ6" s="1"/>
      <c r="BA6" s="1"/>
      <c r="BB6" s="1"/>
      <c r="BC6" s="1"/>
    </row>
    <row r="7" spans="1:55" s="89" customFormat="1" ht="16.8" thickTop="1" thickBot="1">
      <c r="A7" s="23" t="s">
        <v>6</v>
      </c>
      <c r="B7" s="23" t="s">
        <v>53</v>
      </c>
      <c r="C7" s="359" t="s">
        <v>229</v>
      </c>
      <c r="D7" s="360"/>
      <c r="E7" s="360"/>
      <c r="F7" s="361"/>
      <c r="G7" s="359" t="s">
        <v>229</v>
      </c>
      <c r="H7" s="360"/>
      <c r="I7" s="360"/>
      <c r="J7" s="361"/>
      <c r="K7" s="359" t="s">
        <v>229</v>
      </c>
      <c r="L7" s="360"/>
      <c r="M7" s="360"/>
      <c r="N7" s="361"/>
      <c r="O7" s="359" t="s">
        <v>229</v>
      </c>
      <c r="P7" s="360"/>
      <c r="Q7" s="360"/>
      <c r="R7" s="361"/>
      <c r="S7" s="359" t="s">
        <v>229</v>
      </c>
      <c r="T7" s="360"/>
      <c r="U7" s="360"/>
      <c r="V7" s="361"/>
      <c r="W7" s="359" t="s">
        <v>229</v>
      </c>
      <c r="X7" s="360"/>
      <c r="Y7" s="360"/>
      <c r="Z7" s="361"/>
      <c r="AA7" s="359" t="s">
        <v>229</v>
      </c>
      <c r="AB7" s="360"/>
      <c r="AC7" s="360"/>
      <c r="AD7" s="361"/>
      <c r="AE7" s="359" t="s">
        <v>229</v>
      </c>
      <c r="AF7" s="360"/>
      <c r="AG7" s="360"/>
      <c r="AH7" s="361"/>
      <c r="AI7" s="359" t="s">
        <v>229</v>
      </c>
      <c r="AJ7" s="360"/>
      <c r="AK7" s="360"/>
      <c r="AL7" s="361"/>
      <c r="AM7" s="359" t="s">
        <v>229</v>
      </c>
      <c r="AN7" s="360"/>
      <c r="AO7" s="360"/>
      <c r="AP7" s="361"/>
      <c r="AQ7" s="359" t="s">
        <v>229</v>
      </c>
      <c r="AR7" s="360"/>
      <c r="AS7" s="360"/>
      <c r="AT7" s="361"/>
      <c r="AU7" s="359" t="s">
        <v>229</v>
      </c>
      <c r="AV7" s="360"/>
      <c r="AW7" s="360"/>
      <c r="AX7" s="361"/>
      <c r="AZ7" s="9" t="s">
        <v>231</v>
      </c>
      <c r="BA7" s="13" t="s">
        <v>188</v>
      </c>
      <c r="BB7" s="1"/>
      <c r="BC7" s="1"/>
    </row>
    <row r="8" spans="1:55" ht="15.6">
      <c r="A8" s="206" t="s">
        <v>211</v>
      </c>
      <c r="B8" s="192">
        <v>33389.54</v>
      </c>
      <c r="C8" s="341">
        <f>SUM('01'!L25:'01'!L29)</f>
        <v>2593.46</v>
      </c>
      <c r="D8" s="342"/>
      <c r="E8" s="342"/>
      <c r="F8" s="343"/>
      <c r="G8" s="341">
        <f>SUM('02'!L25:'02'!L29)</f>
        <v>2592.42</v>
      </c>
      <c r="H8" s="342"/>
      <c r="I8" s="342"/>
      <c r="J8" s="343"/>
      <c r="K8" s="341">
        <f>SUM('03'!L25:'03'!L29)</f>
        <v>2526.87</v>
      </c>
      <c r="L8" s="342"/>
      <c r="M8" s="342"/>
      <c r="N8" s="343"/>
      <c r="O8" s="341">
        <f>SUM('04'!L25:'04'!L29)</f>
        <v>2570.56</v>
      </c>
      <c r="P8" s="342"/>
      <c r="Q8" s="342"/>
      <c r="R8" s="343"/>
      <c r="S8" s="341">
        <f>SUM('05'!L25:'05'!L29)</f>
        <v>4448.8500000000004</v>
      </c>
      <c r="T8" s="342"/>
      <c r="U8" s="342"/>
      <c r="V8" s="343"/>
      <c r="W8" s="341">
        <f>SUM('06'!L25:'06'!L29)</f>
        <v>2574.61</v>
      </c>
      <c r="X8" s="342"/>
      <c r="Y8" s="342"/>
      <c r="Z8" s="343"/>
      <c r="AA8" s="341">
        <f>SUM('07'!L25:'07'!L29)</f>
        <v>2568.54</v>
      </c>
      <c r="AB8" s="342"/>
      <c r="AC8" s="342"/>
      <c r="AD8" s="343"/>
      <c r="AE8" s="341">
        <f>SUM('08'!L25:'08'!L29)</f>
        <v>2571.5500000000002</v>
      </c>
      <c r="AF8" s="342"/>
      <c r="AG8" s="342"/>
      <c r="AH8" s="343"/>
      <c r="AI8" s="341">
        <f>SUM('09'!L25:'09'!L29)</f>
        <v>2573.7399999999998</v>
      </c>
      <c r="AJ8" s="342"/>
      <c r="AK8" s="342"/>
      <c r="AL8" s="343"/>
      <c r="AM8" s="341">
        <f>SUM('10'!L25:'10'!L29)</f>
        <v>2617.69</v>
      </c>
      <c r="AN8" s="342"/>
      <c r="AO8" s="342"/>
      <c r="AP8" s="343"/>
      <c r="AQ8" s="341">
        <f>SUM('11'!L25:'11'!L29)</f>
        <v>0</v>
      </c>
      <c r="AR8" s="342"/>
      <c r="AS8" s="342"/>
      <c r="AT8" s="343"/>
      <c r="AU8" s="341">
        <f>SUM('12'!L25:'12'!L29)</f>
        <v>0</v>
      </c>
      <c r="AV8" s="342"/>
      <c r="AW8" s="342"/>
      <c r="AX8" s="343"/>
      <c r="AZ8" s="209">
        <f>SUM(C8:AU8)</f>
        <v>27638.289999999997</v>
      </c>
      <c r="BA8" s="112">
        <f t="shared" ref="BA8:BA16" ca="1" si="0">AZ8/BC$17</f>
        <v>2512.5718181818179</v>
      </c>
      <c r="BB8" s="1"/>
      <c r="BC8" s="1"/>
    </row>
    <row r="9" spans="1:55" ht="15.6">
      <c r="A9" s="189" t="s">
        <v>212</v>
      </c>
      <c r="B9" s="193">
        <v>5835.74</v>
      </c>
      <c r="C9" s="344">
        <f>SUM('01'!L30:'01'!L34)</f>
        <v>655.59</v>
      </c>
      <c r="D9" s="345"/>
      <c r="E9" s="345"/>
      <c r="F9" s="346"/>
      <c r="G9" s="344">
        <f>SUM('02'!L30:'02'!L34)</f>
        <v>760.26</v>
      </c>
      <c r="H9" s="345"/>
      <c r="I9" s="345"/>
      <c r="J9" s="346"/>
      <c r="K9" s="344">
        <f>SUM('03'!L30:'03'!L34)</f>
        <v>516.44000000000005</v>
      </c>
      <c r="L9" s="345"/>
      <c r="M9" s="345"/>
      <c r="N9" s="346"/>
      <c r="O9" s="344">
        <f>SUM('04'!L30:'04'!L34)</f>
        <v>507.54</v>
      </c>
      <c r="P9" s="345"/>
      <c r="Q9" s="345"/>
      <c r="R9" s="346"/>
      <c r="S9" s="344">
        <f>SUM('05'!L30:'05'!L34)</f>
        <v>578.16999999999996</v>
      </c>
      <c r="T9" s="345"/>
      <c r="U9" s="345"/>
      <c r="V9" s="346"/>
      <c r="W9" s="344">
        <f>SUM('06'!L30:'06'!L34)</f>
        <v>613.67000000000007</v>
      </c>
      <c r="X9" s="345"/>
      <c r="Y9" s="345"/>
      <c r="Z9" s="346"/>
      <c r="AA9" s="344">
        <f>SUM('07'!L30:'07'!L34)</f>
        <v>1147.52</v>
      </c>
      <c r="AB9" s="345"/>
      <c r="AC9" s="345"/>
      <c r="AD9" s="346"/>
      <c r="AE9" s="344">
        <f>SUM('08'!L30:'08'!L34)</f>
        <v>291.60000000000002</v>
      </c>
      <c r="AF9" s="345"/>
      <c r="AG9" s="345"/>
      <c r="AH9" s="346"/>
      <c r="AI9" s="344">
        <f>SUM('09'!L30:'09'!L34)</f>
        <v>291.60000000000002</v>
      </c>
      <c r="AJ9" s="345"/>
      <c r="AK9" s="345"/>
      <c r="AL9" s="346"/>
      <c r="AM9" s="344">
        <f>SUM('10'!L30:'10'!L34)</f>
        <v>599.04999999999995</v>
      </c>
      <c r="AN9" s="345"/>
      <c r="AO9" s="345"/>
      <c r="AP9" s="346"/>
      <c r="AQ9" s="344">
        <f>SUM('11'!L30:'11'!L34)</f>
        <v>302.78999999999996</v>
      </c>
      <c r="AR9" s="345"/>
      <c r="AS9" s="345"/>
      <c r="AT9" s="346"/>
      <c r="AU9" s="344">
        <f>SUM('12'!L30:'12'!L34)</f>
        <v>0</v>
      </c>
      <c r="AV9" s="345"/>
      <c r="AW9" s="345"/>
      <c r="AX9" s="346"/>
      <c r="AZ9" s="210">
        <f t="shared" ref="AZ9:AZ16" si="1">SUM(C9:AW9)</f>
        <v>6264.2300000000014</v>
      </c>
      <c r="BA9" s="112">
        <f t="shared" ca="1" si="0"/>
        <v>569.47545454545468</v>
      </c>
      <c r="BB9" s="1"/>
      <c r="BC9" s="1"/>
    </row>
    <row r="10" spans="1:55" ht="15.6">
      <c r="A10" s="190" t="s">
        <v>217</v>
      </c>
      <c r="B10" s="194">
        <v>2731.18</v>
      </c>
      <c r="C10" s="344">
        <f>SUM('01'!L35:'01'!L39)</f>
        <v>120.85</v>
      </c>
      <c r="D10" s="345"/>
      <c r="E10" s="345"/>
      <c r="F10" s="346"/>
      <c r="G10" s="344">
        <f>SUM('02'!L35:'02'!L39)</f>
        <v>107.38</v>
      </c>
      <c r="H10" s="345"/>
      <c r="I10" s="345"/>
      <c r="J10" s="346"/>
      <c r="K10" s="344">
        <f>SUM('03'!L35:'03'!L39)</f>
        <v>91.73</v>
      </c>
      <c r="L10" s="345"/>
      <c r="M10" s="345"/>
      <c r="N10" s="346"/>
      <c r="O10" s="344">
        <f>SUM('04'!L35:'04'!L39)</f>
        <v>204.23</v>
      </c>
      <c r="P10" s="345"/>
      <c r="Q10" s="345"/>
      <c r="R10" s="346"/>
      <c r="S10" s="344">
        <f>SUM('05'!L35:'05'!L39)</f>
        <v>119.85</v>
      </c>
      <c r="T10" s="345"/>
      <c r="U10" s="345"/>
      <c r="V10" s="346"/>
      <c r="W10" s="347">
        <f>SUM('06'!L35:'06'!L39)</f>
        <v>55.09</v>
      </c>
      <c r="X10" s="348"/>
      <c r="Y10" s="348"/>
      <c r="Z10" s="349"/>
      <c r="AA10" s="347">
        <f>SUM('07'!L35:'07'!L39)</f>
        <v>124.52</v>
      </c>
      <c r="AB10" s="348"/>
      <c r="AC10" s="348"/>
      <c r="AD10" s="349"/>
      <c r="AE10" s="347">
        <f>SUM('08'!L35:'08'!L39)</f>
        <v>164.91</v>
      </c>
      <c r="AF10" s="348"/>
      <c r="AG10" s="348"/>
      <c r="AH10" s="349"/>
      <c r="AI10" s="347">
        <f>SUM('09'!L35:'09'!L39)</f>
        <v>167.95</v>
      </c>
      <c r="AJ10" s="348"/>
      <c r="AK10" s="348"/>
      <c r="AL10" s="349"/>
      <c r="AM10" s="347">
        <f>SUM('10'!L35:'10'!L39)</f>
        <v>0</v>
      </c>
      <c r="AN10" s="348"/>
      <c r="AO10" s="348"/>
      <c r="AP10" s="349"/>
      <c r="AQ10" s="347">
        <f>SUM('11'!L35:'11'!L39)</f>
        <v>0</v>
      </c>
      <c r="AR10" s="348"/>
      <c r="AS10" s="348"/>
      <c r="AT10" s="349"/>
      <c r="AU10" s="347">
        <f>SUM('12'!L35:'12'!L39)</f>
        <v>0</v>
      </c>
      <c r="AV10" s="348"/>
      <c r="AW10" s="348"/>
      <c r="AX10" s="349"/>
      <c r="AZ10" s="211">
        <f t="shared" si="1"/>
        <v>1156.51</v>
      </c>
      <c r="BA10" s="112">
        <f t="shared" ca="1" si="0"/>
        <v>105.13727272727273</v>
      </c>
      <c r="BB10" s="1"/>
      <c r="BC10" s="1"/>
    </row>
    <row r="11" spans="1:55" ht="15.6">
      <c r="A11" s="189" t="s">
        <v>213</v>
      </c>
      <c r="B11" s="193">
        <v>2906.88</v>
      </c>
      <c r="C11" s="344">
        <f>SUM('01'!L40:'01'!L44)</f>
        <v>3.87</v>
      </c>
      <c r="D11" s="345"/>
      <c r="E11" s="345"/>
      <c r="F11" s="346"/>
      <c r="G11" s="344">
        <f>SUM('02'!L40:'02'!L44)</f>
        <v>0</v>
      </c>
      <c r="H11" s="345"/>
      <c r="I11" s="345"/>
      <c r="J11" s="346"/>
      <c r="K11" s="344">
        <f>SUM('03'!L40:'03'!L44)</f>
        <v>0</v>
      </c>
      <c r="L11" s="345"/>
      <c r="M11" s="345"/>
      <c r="N11" s="346"/>
      <c r="O11" s="344">
        <f>SUM('04'!L40:'04'!L44)</f>
        <v>356.59</v>
      </c>
      <c r="P11" s="345"/>
      <c r="Q11" s="345"/>
      <c r="R11" s="346"/>
      <c r="S11" s="344">
        <f>SUM('05'!L40:'05'!L44)</f>
        <v>45.86</v>
      </c>
      <c r="T11" s="345"/>
      <c r="U11" s="345"/>
      <c r="V11" s="346"/>
      <c r="W11" s="344">
        <f>SUM('06'!L40:'06'!L44)</f>
        <v>0</v>
      </c>
      <c r="X11" s="345"/>
      <c r="Y11" s="345"/>
      <c r="Z11" s="346"/>
      <c r="AA11" s="344">
        <f>SUM('07'!L40:'07'!L44)</f>
        <v>1.02</v>
      </c>
      <c r="AB11" s="345"/>
      <c r="AC11" s="345"/>
      <c r="AD11" s="346"/>
      <c r="AE11" s="344">
        <f>SUM('08'!L40:'08'!L44)</f>
        <v>0</v>
      </c>
      <c r="AF11" s="345"/>
      <c r="AG11" s="345"/>
      <c r="AH11" s="346"/>
      <c r="AI11" s="344">
        <f>SUM('09'!L40:'09'!L44)</f>
        <v>0</v>
      </c>
      <c r="AJ11" s="345"/>
      <c r="AK11" s="345"/>
      <c r="AL11" s="346"/>
      <c r="AM11" s="344">
        <f>SUM('10'!L40:'10'!L44)</f>
        <v>52.97</v>
      </c>
      <c r="AN11" s="345"/>
      <c r="AO11" s="345"/>
      <c r="AP11" s="346"/>
      <c r="AQ11" s="344">
        <f>SUM('11'!L40:'11'!L44)</f>
        <v>42.84</v>
      </c>
      <c r="AR11" s="345"/>
      <c r="AS11" s="345"/>
      <c r="AT11" s="346"/>
      <c r="AU11" s="344">
        <f>SUM('12'!L40:'12'!L44)</f>
        <v>0</v>
      </c>
      <c r="AV11" s="345"/>
      <c r="AW11" s="345"/>
      <c r="AX11" s="346"/>
      <c r="AZ11" s="210">
        <f t="shared" si="1"/>
        <v>503.15</v>
      </c>
      <c r="BA11" s="112">
        <f t="shared" ca="1" si="0"/>
        <v>45.740909090909092</v>
      </c>
      <c r="BB11" s="1"/>
      <c r="BC11" s="1"/>
    </row>
    <row r="12" spans="1:55" ht="15.6">
      <c r="A12" s="190" t="s">
        <v>23</v>
      </c>
      <c r="B12" s="194">
        <v>3325.31</v>
      </c>
      <c r="C12" s="344">
        <f>SUM('01'!L45:'01'!L49)</f>
        <v>137</v>
      </c>
      <c r="D12" s="345"/>
      <c r="E12" s="345"/>
      <c r="F12" s="346"/>
      <c r="G12" s="344">
        <f>SUM('02'!L45:'02'!L49)</f>
        <v>600.04</v>
      </c>
      <c r="H12" s="345"/>
      <c r="I12" s="345"/>
      <c r="J12" s="346"/>
      <c r="K12" s="344">
        <f>SUM('03'!L45:'03'!L49)</f>
        <v>380</v>
      </c>
      <c r="L12" s="345"/>
      <c r="M12" s="345"/>
      <c r="N12" s="346"/>
      <c r="O12" s="344">
        <f>SUM('04'!L45:'04'!L49)</f>
        <v>0</v>
      </c>
      <c r="P12" s="345"/>
      <c r="Q12" s="345"/>
      <c r="R12" s="346"/>
      <c r="S12" s="344">
        <f>SUM('05'!L45:'05'!L49)</f>
        <v>0</v>
      </c>
      <c r="T12" s="345"/>
      <c r="U12" s="345"/>
      <c r="V12" s="346"/>
      <c r="W12" s="347">
        <f>SUM('06'!L45:'06'!L49)</f>
        <v>242.41</v>
      </c>
      <c r="X12" s="348"/>
      <c r="Y12" s="348"/>
      <c r="Z12" s="349"/>
      <c r="AA12" s="347">
        <f>SUM('07'!L45:'07'!L49)</f>
        <v>0</v>
      </c>
      <c r="AB12" s="348"/>
      <c r="AC12" s="348"/>
      <c r="AD12" s="349"/>
      <c r="AE12" s="347">
        <f>SUM('08'!L45:'08'!L49)</f>
        <v>222.98</v>
      </c>
      <c r="AF12" s="348"/>
      <c r="AG12" s="348"/>
      <c r="AH12" s="349"/>
      <c r="AI12" s="347">
        <f>SUM('09'!L45:'09'!L49)</f>
        <v>200</v>
      </c>
      <c r="AJ12" s="348"/>
      <c r="AK12" s="348"/>
      <c r="AL12" s="349"/>
      <c r="AM12" s="347">
        <f>SUM('10'!L45:'10'!L49)</f>
        <v>0</v>
      </c>
      <c r="AN12" s="348"/>
      <c r="AO12" s="348"/>
      <c r="AP12" s="349"/>
      <c r="AQ12" s="347">
        <f>SUM('11'!L45:'11'!L49)</f>
        <v>430</v>
      </c>
      <c r="AR12" s="348"/>
      <c r="AS12" s="348"/>
      <c r="AT12" s="349"/>
      <c r="AU12" s="347">
        <f>SUM('12'!L45:'12'!L49)</f>
        <v>0</v>
      </c>
      <c r="AV12" s="348"/>
      <c r="AW12" s="348"/>
      <c r="AX12" s="349"/>
      <c r="AZ12" s="211">
        <f t="shared" si="1"/>
        <v>2212.4300000000003</v>
      </c>
      <c r="BA12" s="112">
        <f t="shared" ca="1" si="0"/>
        <v>201.13000000000002</v>
      </c>
      <c r="BB12" s="1"/>
      <c r="BC12" s="1"/>
    </row>
    <row r="13" spans="1:55" ht="15.6">
      <c r="A13" s="189" t="s">
        <v>214</v>
      </c>
      <c r="B13" s="195">
        <v>3443.8099999999995</v>
      </c>
      <c r="C13" s="344">
        <f>SUM('01'!L50:'01'!L54)</f>
        <v>95.8</v>
      </c>
      <c r="D13" s="345"/>
      <c r="E13" s="345"/>
      <c r="F13" s="346"/>
      <c r="G13" s="344">
        <f>SUM('02'!L50:'02'!L54)</f>
        <v>95.8</v>
      </c>
      <c r="H13" s="345"/>
      <c r="I13" s="345"/>
      <c r="J13" s="346"/>
      <c r="K13" s="344">
        <f>SUM('03'!L50:'03'!L54)</f>
        <v>4517.74</v>
      </c>
      <c r="L13" s="345"/>
      <c r="M13" s="345"/>
      <c r="N13" s="346"/>
      <c r="O13" s="344">
        <f>SUM('04'!L50:'04'!L54)</f>
        <v>95.8</v>
      </c>
      <c r="P13" s="345"/>
      <c r="Q13" s="345"/>
      <c r="R13" s="346"/>
      <c r="S13" s="344">
        <f>SUM('05'!L50:'05'!L54)</f>
        <v>95.8</v>
      </c>
      <c r="T13" s="345"/>
      <c r="U13" s="345"/>
      <c r="V13" s="346"/>
      <c r="W13" s="344">
        <f>SUM('06'!L50:'06'!L54)</f>
        <v>95.8</v>
      </c>
      <c r="X13" s="345"/>
      <c r="Y13" s="345"/>
      <c r="Z13" s="346"/>
      <c r="AA13" s="344">
        <f>SUM('07'!L50:'07'!L54)</f>
        <v>95.8</v>
      </c>
      <c r="AB13" s="345"/>
      <c r="AC13" s="345"/>
      <c r="AD13" s="346"/>
      <c r="AE13" s="344">
        <f>SUM('08'!L50:'08'!L54)</f>
        <v>117.03</v>
      </c>
      <c r="AF13" s="345"/>
      <c r="AG13" s="345"/>
      <c r="AH13" s="346"/>
      <c r="AI13" s="344">
        <f>SUM('09'!L50:'09'!L54)</f>
        <v>1072.33</v>
      </c>
      <c r="AJ13" s="345"/>
      <c r="AK13" s="345"/>
      <c r="AL13" s="346"/>
      <c r="AM13" s="344">
        <f>SUM('10'!L50:'10'!L54)</f>
        <v>95.8</v>
      </c>
      <c r="AN13" s="345"/>
      <c r="AO13" s="345"/>
      <c r="AP13" s="346"/>
      <c r="AQ13" s="344">
        <f>SUM('11'!L50:'11'!L54)</f>
        <v>95.8</v>
      </c>
      <c r="AR13" s="345"/>
      <c r="AS13" s="345"/>
      <c r="AT13" s="346"/>
      <c r="AU13" s="344">
        <f>SUM('12'!L50:'12'!L54)</f>
        <v>0</v>
      </c>
      <c r="AV13" s="345"/>
      <c r="AW13" s="345"/>
      <c r="AX13" s="346"/>
      <c r="AZ13" s="212">
        <f t="shared" si="1"/>
        <v>6473.5000000000009</v>
      </c>
      <c r="BA13" s="112">
        <f t="shared" ca="1" si="0"/>
        <v>588.50000000000011</v>
      </c>
      <c r="BB13" s="1"/>
      <c r="BC13" s="1"/>
    </row>
    <row r="14" spans="1:55" ht="15.6">
      <c r="A14" s="190" t="s">
        <v>215</v>
      </c>
      <c r="B14" s="194">
        <v>364.62</v>
      </c>
      <c r="C14" s="344">
        <f>SUM('01'!L55:'01'!L59)</f>
        <v>0</v>
      </c>
      <c r="D14" s="345"/>
      <c r="E14" s="345"/>
      <c r="F14" s="346"/>
      <c r="G14" s="344">
        <f>SUM('02'!L55:'02'!L59)</f>
        <v>0</v>
      </c>
      <c r="H14" s="345"/>
      <c r="I14" s="345"/>
      <c r="J14" s="346"/>
      <c r="K14" s="344">
        <f>SUM('03'!L55:'03'!L59)</f>
        <v>9.44</v>
      </c>
      <c r="L14" s="345"/>
      <c r="M14" s="345"/>
      <c r="N14" s="346"/>
      <c r="O14" s="344">
        <f>SUM('04'!L55:'04'!L59)</f>
        <v>37.980000000000004</v>
      </c>
      <c r="P14" s="345"/>
      <c r="Q14" s="345"/>
      <c r="R14" s="346"/>
      <c r="S14" s="344">
        <f>SUM('05'!L55:'05'!L59)</f>
        <v>17.350000000000001</v>
      </c>
      <c r="T14" s="345"/>
      <c r="U14" s="345"/>
      <c r="V14" s="346"/>
      <c r="W14" s="347">
        <f>SUM('06'!L55:'06'!L59)</f>
        <v>0</v>
      </c>
      <c r="X14" s="348"/>
      <c r="Y14" s="348"/>
      <c r="Z14" s="349"/>
      <c r="AA14" s="347">
        <f>SUM('07'!L55:'07'!L59)</f>
        <v>51.759999999999991</v>
      </c>
      <c r="AB14" s="348"/>
      <c r="AC14" s="348"/>
      <c r="AD14" s="349"/>
      <c r="AE14" s="347">
        <f>SUM('08'!L55:'08'!L59)</f>
        <v>27.42</v>
      </c>
      <c r="AF14" s="348"/>
      <c r="AG14" s="348"/>
      <c r="AH14" s="349"/>
      <c r="AI14" s="347">
        <f>SUM('09'!L55:'09'!L59)</f>
        <v>0</v>
      </c>
      <c r="AJ14" s="348"/>
      <c r="AK14" s="348"/>
      <c r="AL14" s="349"/>
      <c r="AM14" s="347">
        <f>SUM('10'!L55:'10'!L59)</f>
        <v>57.08</v>
      </c>
      <c r="AN14" s="348"/>
      <c r="AO14" s="348"/>
      <c r="AP14" s="349"/>
      <c r="AQ14" s="347">
        <f>SUM('11'!L55:'11'!L59)</f>
        <v>393.02</v>
      </c>
      <c r="AR14" s="348"/>
      <c r="AS14" s="348"/>
      <c r="AT14" s="349"/>
      <c r="AU14" s="347">
        <f>SUM('12'!L55:'12'!L59)</f>
        <v>0</v>
      </c>
      <c r="AV14" s="348"/>
      <c r="AW14" s="348"/>
      <c r="AX14" s="349"/>
      <c r="AZ14" s="211">
        <f t="shared" si="1"/>
        <v>594.04999999999995</v>
      </c>
      <c r="BA14" s="112">
        <f t="shared" ca="1" si="0"/>
        <v>54.00454545454545</v>
      </c>
      <c r="BB14" s="3"/>
      <c r="BC14" s="3"/>
    </row>
    <row r="15" spans="1:55" ht="15.6">
      <c r="A15" s="189" t="s">
        <v>216</v>
      </c>
      <c r="B15" s="193">
        <v>7756.04</v>
      </c>
      <c r="C15" s="344">
        <f>SUM('01'!L60:'01'!L64)</f>
        <v>0</v>
      </c>
      <c r="D15" s="345"/>
      <c r="E15" s="345"/>
      <c r="F15" s="346"/>
      <c r="G15" s="344">
        <f>SUM('02'!L60:'02'!L64)</f>
        <v>665.77</v>
      </c>
      <c r="H15" s="345"/>
      <c r="I15" s="345"/>
      <c r="J15" s="346"/>
      <c r="K15" s="344">
        <f>SUM('03'!L60:'03'!L64)</f>
        <v>682.39</v>
      </c>
      <c r="L15" s="345"/>
      <c r="M15" s="345"/>
      <c r="N15" s="346"/>
      <c r="O15" s="344">
        <f>SUM('04'!L60:'04'!L64)</f>
        <v>550</v>
      </c>
      <c r="P15" s="345"/>
      <c r="Q15" s="345"/>
      <c r="R15" s="346"/>
      <c r="S15" s="344">
        <f>SUM('05'!L60:'05'!L64)</f>
        <v>652.44000000000005</v>
      </c>
      <c r="T15" s="345"/>
      <c r="U15" s="345"/>
      <c r="V15" s="346"/>
      <c r="W15" s="344">
        <f>SUM('06'!L60:'06'!L64)</f>
        <v>511.74</v>
      </c>
      <c r="X15" s="345"/>
      <c r="Y15" s="345"/>
      <c r="Z15" s="346"/>
      <c r="AA15" s="344">
        <f>SUM('07'!L60:'07'!L64)</f>
        <v>649.1</v>
      </c>
      <c r="AB15" s="345"/>
      <c r="AC15" s="345"/>
      <c r="AD15" s="346"/>
      <c r="AE15" s="344">
        <f>SUM('08'!L60:'08'!L64)</f>
        <v>550</v>
      </c>
      <c r="AF15" s="345"/>
      <c r="AG15" s="345"/>
      <c r="AH15" s="346"/>
      <c r="AI15" s="344">
        <f>SUM('09'!L60:'09'!L64)</f>
        <v>676.35</v>
      </c>
      <c r="AJ15" s="345"/>
      <c r="AK15" s="345"/>
      <c r="AL15" s="346"/>
      <c r="AM15" s="344">
        <f>SUM('10'!L60:'10'!L64)</f>
        <v>550</v>
      </c>
      <c r="AN15" s="345"/>
      <c r="AO15" s="345"/>
      <c r="AP15" s="346"/>
      <c r="AQ15" s="344">
        <f>SUM('11'!L60:'11'!L64)</f>
        <v>647.88</v>
      </c>
      <c r="AR15" s="345"/>
      <c r="AS15" s="345"/>
      <c r="AT15" s="346"/>
      <c r="AU15" s="344">
        <f>SUM('12'!L60:'12'!L64)</f>
        <v>0</v>
      </c>
      <c r="AV15" s="345"/>
      <c r="AW15" s="345"/>
      <c r="AX15" s="346"/>
      <c r="AZ15" s="210">
        <f t="shared" si="1"/>
        <v>6135.670000000001</v>
      </c>
      <c r="BA15" s="112">
        <f t="shared" ca="1" si="0"/>
        <v>557.7881818181819</v>
      </c>
      <c r="BB15" s="1"/>
      <c r="BC15" s="1"/>
    </row>
    <row r="16" spans="1:55" ht="16.2" thickBot="1">
      <c r="A16" s="191" t="s">
        <v>42</v>
      </c>
      <c r="B16" s="196">
        <v>2018.96</v>
      </c>
      <c r="C16" s="344">
        <f>SUM('01'!L65:'01'!L69)</f>
        <v>85</v>
      </c>
      <c r="D16" s="345"/>
      <c r="E16" s="345"/>
      <c r="F16" s="346"/>
      <c r="G16" s="344">
        <f>SUM('02'!L65:'02'!L69)</f>
        <v>0</v>
      </c>
      <c r="H16" s="345"/>
      <c r="I16" s="345"/>
      <c r="J16" s="346"/>
      <c r="K16" s="344">
        <f>SUM('03'!L65:'03'!L69)</f>
        <v>0</v>
      </c>
      <c r="L16" s="345"/>
      <c r="M16" s="345"/>
      <c r="N16" s="346"/>
      <c r="O16" s="344">
        <f>SUM('04'!L65:'04'!L69)</f>
        <v>0</v>
      </c>
      <c r="P16" s="345"/>
      <c r="Q16" s="345"/>
      <c r="R16" s="346"/>
      <c r="S16" s="344">
        <f>SUM('05'!L65:'05'!L69)</f>
        <v>0</v>
      </c>
      <c r="T16" s="345"/>
      <c r="U16" s="345"/>
      <c r="V16" s="346"/>
      <c r="W16" s="350">
        <f>SUM('06'!L65:'06'!L69)</f>
        <v>0</v>
      </c>
      <c r="X16" s="351"/>
      <c r="Y16" s="351"/>
      <c r="Z16" s="352"/>
      <c r="AA16" s="350">
        <f>SUM('07'!L65:'07'!L69)</f>
        <v>0</v>
      </c>
      <c r="AB16" s="351"/>
      <c r="AC16" s="351"/>
      <c r="AD16" s="352"/>
      <c r="AE16" s="350">
        <f>SUM('08'!L65:'08'!L69)</f>
        <v>0</v>
      </c>
      <c r="AF16" s="351"/>
      <c r="AG16" s="351"/>
      <c r="AH16" s="352"/>
      <c r="AI16" s="350">
        <f>SUM('09'!L65:'09'!L69)</f>
        <v>0</v>
      </c>
      <c r="AJ16" s="351"/>
      <c r="AK16" s="351"/>
      <c r="AL16" s="352"/>
      <c r="AM16" s="350">
        <f>SUM('10'!L65:'10'!L69)</f>
        <v>0</v>
      </c>
      <c r="AN16" s="351"/>
      <c r="AO16" s="351"/>
      <c r="AP16" s="352"/>
      <c r="AQ16" s="350">
        <f>SUM('11'!L65:'11'!L69)</f>
        <v>0</v>
      </c>
      <c r="AR16" s="351"/>
      <c r="AS16" s="351"/>
      <c r="AT16" s="352"/>
      <c r="AU16" s="350">
        <f>SUM('12'!L65:'12'!L69)</f>
        <v>0</v>
      </c>
      <c r="AV16" s="351"/>
      <c r="AW16" s="351"/>
      <c r="AX16" s="352"/>
      <c r="AZ16" s="213">
        <f t="shared" si="1"/>
        <v>85</v>
      </c>
      <c r="BA16" s="112">
        <f t="shared" ca="1" si="0"/>
        <v>7.7272727272727275</v>
      </c>
      <c r="BB16" s="3"/>
      <c r="BC16" s="3"/>
    </row>
    <row r="17" spans="1:62" ht="16.2" thickBot="1">
      <c r="A17" s="215" t="s">
        <v>5</v>
      </c>
      <c r="B17" s="221">
        <f>SUM(B8:B16)</f>
        <v>61772.079999999994</v>
      </c>
      <c r="C17" s="364">
        <f>SUM(C8:C16)</f>
        <v>3691.57</v>
      </c>
      <c r="D17" s="365"/>
      <c r="E17" s="365"/>
      <c r="F17" s="366"/>
      <c r="G17" s="364">
        <f>SUM(G8:G16)</f>
        <v>4821.67</v>
      </c>
      <c r="H17" s="365"/>
      <c r="I17" s="365"/>
      <c r="J17" s="366"/>
      <c r="K17" s="364">
        <f>SUM(K8:K16)</f>
        <v>8724.6099999999988</v>
      </c>
      <c r="L17" s="365"/>
      <c r="M17" s="365"/>
      <c r="N17" s="366"/>
      <c r="O17" s="364">
        <f>SUM(O8:O16)</f>
        <v>4322.7000000000007</v>
      </c>
      <c r="P17" s="365"/>
      <c r="Q17" s="365"/>
      <c r="R17" s="366"/>
      <c r="S17" s="364">
        <f>SUM(S8:S16)</f>
        <v>5958.3200000000015</v>
      </c>
      <c r="T17" s="365"/>
      <c r="U17" s="365"/>
      <c r="V17" s="366"/>
      <c r="W17" s="364">
        <f>SUM(W8:W16)</f>
        <v>4093.3200000000006</v>
      </c>
      <c r="X17" s="365"/>
      <c r="Y17" s="365"/>
      <c r="Z17" s="366"/>
      <c r="AA17" s="364">
        <f>SUM(AA8:AA16)</f>
        <v>4638.26</v>
      </c>
      <c r="AB17" s="365"/>
      <c r="AC17" s="365"/>
      <c r="AD17" s="366"/>
      <c r="AE17" s="364">
        <f>SUM(AE8:AE16)</f>
        <v>3945.4900000000002</v>
      </c>
      <c r="AF17" s="365"/>
      <c r="AG17" s="365"/>
      <c r="AH17" s="366"/>
      <c r="AI17" s="364">
        <f>SUM(AI8:AI16)</f>
        <v>4981.9699999999993</v>
      </c>
      <c r="AJ17" s="365"/>
      <c r="AK17" s="365"/>
      <c r="AL17" s="366"/>
      <c r="AM17" s="364">
        <f>SUM(AM8:AM16)</f>
        <v>3972.5899999999997</v>
      </c>
      <c r="AN17" s="365"/>
      <c r="AO17" s="365"/>
      <c r="AP17" s="366"/>
      <c r="AQ17" s="364">
        <f>SUM(AQ8:AQ16)</f>
        <v>1912.33</v>
      </c>
      <c r="AR17" s="365"/>
      <c r="AS17" s="365"/>
      <c r="AT17" s="366"/>
      <c r="AU17" s="364">
        <f>SUM(AU8:AU16)</f>
        <v>0</v>
      </c>
      <c r="AV17" s="365"/>
      <c r="AW17" s="365"/>
      <c r="AX17" s="366"/>
      <c r="AZ17" s="227">
        <f>SUM(AZ8:AZ16)</f>
        <v>51062.83</v>
      </c>
      <c r="BA17" s="112">
        <f ca="1">AZ17/BC$17</f>
        <v>4642.0754545454547</v>
      </c>
      <c r="BB17" s="1" t="s">
        <v>83</v>
      </c>
      <c r="BC17" s="1">
        <f ca="1">MONTH(TODAY())</f>
        <v>11</v>
      </c>
      <c r="BD17" s="39"/>
    </row>
    <row r="18" spans="1:62" ht="32.25" customHeight="1" thickTop="1" thickBot="1">
      <c r="A18" s="10"/>
      <c r="B18" s="10"/>
      <c r="C18" s="367"/>
      <c r="D18" s="367"/>
      <c r="E18" s="367"/>
      <c r="F18" s="367"/>
      <c r="G18" s="367"/>
      <c r="H18" s="367"/>
      <c r="I18" s="367"/>
      <c r="J18" s="367"/>
      <c r="K18" s="367"/>
      <c r="L18" s="367"/>
      <c r="M18" s="367"/>
      <c r="N18" s="367"/>
      <c r="O18" s="367"/>
      <c r="P18" s="367"/>
      <c r="Q18" s="367"/>
      <c r="R18" s="367"/>
      <c r="S18" s="367"/>
      <c r="T18" s="367"/>
      <c r="U18" s="367"/>
      <c r="V18" s="367"/>
      <c r="W18" s="367"/>
      <c r="X18" s="367"/>
      <c r="Y18" s="367"/>
      <c r="Z18" s="367"/>
      <c r="AA18" s="367"/>
      <c r="AB18" s="367"/>
      <c r="AC18" s="367"/>
      <c r="AD18" s="367"/>
      <c r="AE18" s="367"/>
      <c r="AF18" s="367"/>
      <c r="AG18" s="367"/>
      <c r="AH18" s="367"/>
      <c r="AI18" s="367"/>
      <c r="AJ18" s="367"/>
      <c r="AK18" s="367"/>
      <c r="AL18" s="367"/>
      <c r="AM18" s="367"/>
      <c r="AN18" s="367"/>
      <c r="AO18" s="367"/>
      <c r="AP18" s="367"/>
      <c r="AQ18" s="367"/>
      <c r="AR18" s="367"/>
      <c r="AS18" s="367"/>
      <c r="AT18" s="367"/>
      <c r="AU18" s="367" t="s">
        <v>173</v>
      </c>
      <c r="AV18" s="367"/>
      <c r="AW18" s="367"/>
      <c r="AX18" s="367"/>
      <c r="AZ18" s="131">
        <f>(2500*13)+(600*12)+(550*12)+(95*12)</f>
        <v>47440</v>
      </c>
      <c r="BA18" s="131">
        <f ca="1">12*BA17</f>
        <v>55704.905454545456</v>
      </c>
      <c r="BB18" s="1"/>
      <c r="BC18" s="1"/>
    </row>
    <row r="19" spans="1:62" ht="16.8" thickTop="1" thickBot="1">
      <c r="A19" s="24" t="s">
        <v>7</v>
      </c>
      <c r="B19" s="24" t="s">
        <v>209</v>
      </c>
      <c r="C19" s="178" t="s">
        <v>54</v>
      </c>
      <c r="D19" s="179" t="s">
        <v>210</v>
      </c>
      <c r="E19" s="179" t="s">
        <v>9</v>
      </c>
      <c r="F19" s="180" t="s">
        <v>10</v>
      </c>
      <c r="G19" s="178" t="s">
        <v>54</v>
      </c>
      <c r="H19" s="179" t="s">
        <v>210</v>
      </c>
      <c r="I19" s="179" t="s">
        <v>9</v>
      </c>
      <c r="J19" s="180" t="s">
        <v>10</v>
      </c>
      <c r="K19" s="178" t="s">
        <v>54</v>
      </c>
      <c r="L19" s="179" t="s">
        <v>210</v>
      </c>
      <c r="M19" s="179" t="s">
        <v>9</v>
      </c>
      <c r="N19" s="180" t="s">
        <v>10</v>
      </c>
      <c r="O19" s="178" t="s">
        <v>54</v>
      </c>
      <c r="P19" s="179" t="s">
        <v>210</v>
      </c>
      <c r="Q19" s="179" t="s">
        <v>9</v>
      </c>
      <c r="R19" s="180" t="s">
        <v>10</v>
      </c>
      <c r="S19" s="178" t="s">
        <v>54</v>
      </c>
      <c r="T19" s="179" t="s">
        <v>210</v>
      </c>
      <c r="U19" s="179" t="s">
        <v>9</v>
      </c>
      <c r="V19" s="180" t="s">
        <v>10</v>
      </c>
      <c r="W19" s="178" t="s">
        <v>54</v>
      </c>
      <c r="X19" s="179" t="s">
        <v>210</v>
      </c>
      <c r="Y19" s="179" t="s">
        <v>9</v>
      </c>
      <c r="Z19" s="180" t="s">
        <v>10</v>
      </c>
      <c r="AA19" s="178" t="s">
        <v>54</v>
      </c>
      <c r="AB19" s="179" t="s">
        <v>210</v>
      </c>
      <c r="AC19" s="179" t="s">
        <v>9</v>
      </c>
      <c r="AD19" s="180" t="s">
        <v>10</v>
      </c>
      <c r="AE19" s="178" t="s">
        <v>54</v>
      </c>
      <c r="AF19" s="179" t="s">
        <v>210</v>
      </c>
      <c r="AG19" s="179" t="s">
        <v>9</v>
      </c>
      <c r="AH19" s="180" t="s">
        <v>10</v>
      </c>
      <c r="AI19" s="178" t="s">
        <v>54</v>
      </c>
      <c r="AJ19" s="179" t="s">
        <v>210</v>
      </c>
      <c r="AK19" s="179" t="s">
        <v>9</v>
      </c>
      <c r="AL19" s="180" t="s">
        <v>10</v>
      </c>
      <c r="AM19" s="178" t="s">
        <v>54</v>
      </c>
      <c r="AN19" s="179" t="s">
        <v>210</v>
      </c>
      <c r="AO19" s="179" t="s">
        <v>9</v>
      </c>
      <c r="AP19" s="180" t="s">
        <v>10</v>
      </c>
      <c r="AQ19" s="178" t="s">
        <v>54</v>
      </c>
      <c r="AR19" s="179" t="s">
        <v>210</v>
      </c>
      <c r="AS19" s="179" t="s">
        <v>9</v>
      </c>
      <c r="AT19" s="180" t="s">
        <v>10</v>
      </c>
      <c r="AU19" s="178" t="s">
        <v>54</v>
      </c>
      <c r="AV19" s="179" t="s">
        <v>210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230</v>
      </c>
    </row>
    <row r="20" spans="1:62" ht="15.6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415.05999999999995</v>
      </c>
      <c r="AI20" s="143" t="s">
        <v>76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617.41999999999996</v>
      </c>
      <c r="AM20" s="143" t="s">
        <v>77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593.21999999999991</v>
      </c>
      <c r="AQ20" s="143" t="s">
        <v>80</v>
      </c>
      <c r="AR20" s="144">
        <f>'11'!B20</f>
        <v>603.05999999999995</v>
      </c>
      <c r="AS20" s="144">
        <f>SUM('11'!D20:F20)</f>
        <v>42.230000000000004</v>
      </c>
      <c r="AT20" s="145">
        <f t="shared" ref="AT20:AT45" si="12">AP20+AR20-AS20</f>
        <v>1154.0499999999997</v>
      </c>
      <c r="AU20" s="143" t="s">
        <v>84</v>
      </c>
      <c r="AV20" s="144">
        <f>'12'!B20</f>
        <v>505.18</v>
      </c>
      <c r="AW20" s="144">
        <f>SUM('12'!D20:F20)</f>
        <v>0</v>
      </c>
      <c r="AX20" s="145">
        <f t="shared" ref="AX20:AX45" si="13">AT20+AV20-AW20</f>
        <v>1659.2299999999998</v>
      </c>
      <c r="AZ20" s="123">
        <f t="shared" ref="AZ20:AZ27" si="14">E20+I20+M20+Q20+U20+Y20+AC20+AG20+AK20+AO20+AS20+AW20</f>
        <v>5724.25</v>
      </c>
      <c r="BA20" s="21">
        <f t="shared" ref="BA20:BA45" si="15">AZ20/AZ$46</f>
        <v>0.11935820451731473</v>
      </c>
      <c r="BB20" s="22">
        <f>_xlfn.RANK.EQ(BA20,$BA$20:$BA$45,)</f>
        <v>2</v>
      </c>
      <c r="BC20" s="22">
        <f t="shared" ref="BC20:BC45" ca="1" si="16">AZ20/BC$17</f>
        <v>520.38636363636363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6429.52</v>
      </c>
      <c r="BF20" s="21">
        <f t="shared" ref="BF20:BF45" ca="1" si="18">BE20/BE$46</f>
        <v>0.12591390434334049</v>
      </c>
      <c r="BG20" s="22">
        <f ca="1">_xlfn.RANK.EQ(BF20,$BF$20:$BF$45,)</f>
        <v>2</v>
      </c>
      <c r="BH20" s="22">
        <f t="shared" ref="BH20:BH45" ca="1" si="19">BE20/BC$17</f>
        <v>584.50181818181818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705.2700000000001</v>
      </c>
    </row>
    <row r="21" spans="1:62" ht="15.6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76</v>
      </c>
      <c r="AJ21" s="149">
        <f>'09'!B40</f>
        <v>1148</v>
      </c>
      <c r="AK21" s="150">
        <f>SUM('09'!D40:F40)</f>
        <v>1103.94</v>
      </c>
      <c r="AL21" s="151">
        <f t="shared" si="10"/>
        <v>364.07999999999925</v>
      </c>
      <c r="AM21" s="148" t="s">
        <v>77</v>
      </c>
      <c r="AN21" s="149">
        <f>'10'!B40</f>
        <v>1148</v>
      </c>
      <c r="AO21" s="150">
        <f>SUM('10'!D40:F40)</f>
        <v>1208.1300000000001</v>
      </c>
      <c r="AP21" s="151">
        <f t="shared" si="11"/>
        <v>303.94999999999914</v>
      </c>
      <c r="AQ21" s="143" t="s">
        <v>80</v>
      </c>
      <c r="AR21" s="149">
        <f>'11'!B40</f>
        <v>1148</v>
      </c>
      <c r="AS21" s="150">
        <f>SUM('11'!D40:F40)</f>
        <v>1104.6099999999999</v>
      </c>
      <c r="AT21" s="151">
        <f t="shared" si="12"/>
        <v>347.33999999999924</v>
      </c>
      <c r="AU21" s="148" t="s">
        <v>84</v>
      </c>
      <c r="AV21" s="149">
        <f>'12'!B40</f>
        <v>1148</v>
      </c>
      <c r="AW21" s="150">
        <f>SUM('12'!D40:F40)</f>
        <v>0</v>
      </c>
      <c r="AX21" s="151">
        <f t="shared" si="13"/>
        <v>1495.3399999999992</v>
      </c>
      <c r="AZ21" s="152">
        <f t="shared" si="14"/>
        <v>12958.52</v>
      </c>
      <c r="BA21" s="21">
        <f t="shared" si="15"/>
        <v>0.27020232875952538</v>
      </c>
      <c r="BB21" s="22">
        <f t="shared" ref="BB21:BB45" si="20">_xlfn.RANK.EQ(BA21,$BA$20:$BA$45,)</f>
        <v>1</v>
      </c>
      <c r="BC21" s="22">
        <f t="shared" ca="1" si="16"/>
        <v>1178.0472727272727</v>
      </c>
      <c r="BE21" s="224">
        <f t="shared" ca="1" si="17"/>
        <v>12653</v>
      </c>
      <c r="BF21" s="21">
        <f t="shared" ca="1" si="18"/>
        <v>0.24779277950084722</v>
      </c>
      <c r="BG21" s="22">
        <f t="shared" ref="BG21:BG45" ca="1" si="21">_xlfn.RANK.EQ(BF21,$BF$20:$BF$45,)</f>
        <v>1</v>
      </c>
      <c r="BH21" s="22">
        <f t="shared" ca="1" si="19"/>
        <v>1150.2727272727273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-305.52000000000044</v>
      </c>
    </row>
    <row r="22" spans="1:62" ht="15.6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323.87</v>
      </c>
      <c r="AG22" s="155">
        <f>SUM('08'!D60:F60)</f>
        <v>323.87000000000006</v>
      </c>
      <c r="AH22" s="156">
        <f t="shared" si="9"/>
        <v>489.68000000000012</v>
      </c>
      <c r="AI22" s="143" t="s">
        <v>76</v>
      </c>
      <c r="AJ22" s="155">
        <f>'09'!B60</f>
        <v>300</v>
      </c>
      <c r="AK22" s="155">
        <f>SUM('09'!D60:F60)</f>
        <v>284.70000000000005</v>
      </c>
      <c r="AL22" s="156">
        <f t="shared" si="10"/>
        <v>504.98</v>
      </c>
      <c r="AM22" s="143" t="s">
        <v>77</v>
      </c>
      <c r="AN22" s="155">
        <f>'10'!B60</f>
        <v>300</v>
      </c>
      <c r="AO22" s="155">
        <f>SUM('10'!D60:F60)</f>
        <v>327.21000000000004</v>
      </c>
      <c r="AP22" s="156">
        <f t="shared" si="11"/>
        <v>477.77</v>
      </c>
      <c r="AQ22" s="143" t="s">
        <v>80</v>
      </c>
      <c r="AR22" s="155">
        <f>'11'!B60</f>
        <v>300</v>
      </c>
      <c r="AS22" s="155">
        <f>SUM('11'!D60:F60)</f>
        <v>242.68</v>
      </c>
      <c r="AT22" s="156">
        <f t="shared" si="12"/>
        <v>535.08999999999992</v>
      </c>
      <c r="AU22" s="143" t="s">
        <v>84</v>
      </c>
      <c r="AV22" s="155">
        <f>'12'!B60</f>
        <v>300</v>
      </c>
      <c r="AW22" s="155">
        <f>SUM('12'!D60:F60)</f>
        <v>0</v>
      </c>
      <c r="AX22" s="156">
        <f t="shared" si="13"/>
        <v>835.08999999999992</v>
      </c>
      <c r="AZ22" s="157">
        <f t="shared" si="14"/>
        <v>3197.2099999999996</v>
      </c>
      <c r="BA22" s="21">
        <f t="shared" si="15"/>
        <v>6.6666068928646335E-2</v>
      </c>
      <c r="BB22" s="22">
        <f t="shared" si="20"/>
        <v>6</v>
      </c>
      <c r="BC22" s="22">
        <f t="shared" ca="1" si="16"/>
        <v>290.65545454545452</v>
      </c>
      <c r="BE22" s="225">
        <f t="shared" ca="1" si="17"/>
        <v>3486.23</v>
      </c>
      <c r="BF22" s="21">
        <f t="shared" ca="1" si="18"/>
        <v>6.8273344003733388E-2</v>
      </c>
      <c r="BG22" s="22">
        <f t="shared" ca="1" si="21"/>
        <v>6</v>
      </c>
      <c r="BH22" s="22">
        <f t="shared" ca="1" si="19"/>
        <v>316.93</v>
      </c>
      <c r="BJ22" s="225">
        <f t="shared" ca="1" si="22"/>
        <v>289.01999999999975</v>
      </c>
    </row>
    <row r="23" spans="1:62" ht="15.6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210</v>
      </c>
      <c r="AG23" s="150">
        <f>SUM('08'!D80:F80)</f>
        <v>216.64999999999998</v>
      </c>
      <c r="AH23" s="151">
        <f t="shared" si="9"/>
        <v>122.8300000000001</v>
      </c>
      <c r="AI23" s="148" t="s">
        <v>76</v>
      </c>
      <c r="AJ23" s="149">
        <f>'09'!B80</f>
        <v>280</v>
      </c>
      <c r="AK23" s="150">
        <f>SUM('09'!D80:F80)</f>
        <v>272.90000000000003</v>
      </c>
      <c r="AL23" s="151">
        <f t="shared" si="10"/>
        <v>129.93000000000006</v>
      </c>
      <c r="AM23" s="148" t="s">
        <v>77</v>
      </c>
      <c r="AN23" s="149">
        <f>'10'!B80</f>
        <v>185</v>
      </c>
      <c r="AO23" s="150">
        <f>SUM('10'!D80:F80)</f>
        <v>168.38</v>
      </c>
      <c r="AP23" s="151">
        <f t="shared" si="11"/>
        <v>146.55000000000007</v>
      </c>
      <c r="AQ23" s="148" t="s">
        <v>80</v>
      </c>
      <c r="AR23" s="149">
        <f>'11'!B80</f>
        <v>185</v>
      </c>
      <c r="AS23" s="150">
        <f>SUM('11'!D80:F80)</f>
        <v>126.39999999999999</v>
      </c>
      <c r="AT23" s="151">
        <f t="shared" si="12"/>
        <v>205.15000000000009</v>
      </c>
      <c r="AU23" s="148" t="s">
        <v>84</v>
      </c>
      <c r="AV23" s="149">
        <f>'12'!B80</f>
        <v>185</v>
      </c>
      <c r="AW23" s="150">
        <f>SUM('12'!D80:F80)</f>
        <v>0</v>
      </c>
      <c r="AX23" s="151">
        <f t="shared" si="13"/>
        <v>390.15000000000009</v>
      </c>
      <c r="AZ23" s="152">
        <f t="shared" si="14"/>
        <v>1931.98</v>
      </c>
      <c r="BA23" s="21">
        <f t="shared" si="15"/>
        <v>4.0284345366355716E-2</v>
      </c>
      <c r="BB23" s="22">
        <f t="shared" si="20"/>
        <v>8</v>
      </c>
      <c r="BC23" s="22">
        <f t="shared" ca="1" si="16"/>
        <v>175.63454545454545</v>
      </c>
      <c r="BE23" s="224">
        <f t="shared" ca="1" si="17"/>
        <v>2095</v>
      </c>
      <c r="BF23" s="21">
        <f t="shared" ca="1" si="18"/>
        <v>4.102788848923377E-2</v>
      </c>
      <c r="BG23" s="22">
        <f t="shared" ca="1" si="21"/>
        <v>9</v>
      </c>
      <c r="BH23" s="22">
        <f t="shared" ca="1" si="19"/>
        <v>190.45454545454547</v>
      </c>
      <c r="BJ23" s="224">
        <f t="shared" ca="1" si="22"/>
        <v>163.02000000000007</v>
      </c>
    </row>
    <row r="24" spans="1:62" ht="15.6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143.82</v>
      </c>
      <c r="AH24" s="156">
        <f t="shared" si="9"/>
        <v>211.08999999999997</v>
      </c>
      <c r="AI24" s="143" t="s">
        <v>76</v>
      </c>
      <c r="AJ24" s="155">
        <f>'09'!B100</f>
        <v>150</v>
      </c>
      <c r="AK24" s="155">
        <f>SUM('09'!D100:F100)</f>
        <v>154.66</v>
      </c>
      <c r="AL24" s="156">
        <f t="shared" si="10"/>
        <v>206.42999999999998</v>
      </c>
      <c r="AM24" s="143" t="s">
        <v>77</v>
      </c>
      <c r="AN24" s="155">
        <f>'10'!B100</f>
        <v>150</v>
      </c>
      <c r="AO24" s="155">
        <f>SUM('10'!D100:F100)</f>
        <v>210.17999999999998</v>
      </c>
      <c r="AP24" s="156">
        <f t="shared" si="11"/>
        <v>146.24999999999997</v>
      </c>
      <c r="AQ24" s="143" t="s">
        <v>80</v>
      </c>
      <c r="AR24" s="155">
        <f>'11'!B100</f>
        <v>150</v>
      </c>
      <c r="AS24" s="155">
        <f>SUM('11'!D100:F100)</f>
        <v>0</v>
      </c>
      <c r="AT24" s="156">
        <f t="shared" si="12"/>
        <v>296.25</v>
      </c>
      <c r="AU24" s="143" t="s">
        <v>84</v>
      </c>
      <c r="AV24" s="155">
        <f>'12'!B100</f>
        <v>150</v>
      </c>
      <c r="AW24" s="155">
        <f>SUM('12'!D100:F100)</f>
        <v>0</v>
      </c>
      <c r="AX24" s="156">
        <f t="shared" si="13"/>
        <v>446.25</v>
      </c>
      <c r="AZ24" s="157">
        <f t="shared" si="14"/>
        <v>1463.7500000000002</v>
      </c>
      <c r="BA24" s="21">
        <f t="shared" si="15"/>
        <v>3.0521128857443239E-2</v>
      </c>
      <c r="BB24" s="22">
        <f t="shared" si="20"/>
        <v>10</v>
      </c>
      <c r="BC24" s="22">
        <f t="shared" ca="1" si="16"/>
        <v>133.06818181818184</v>
      </c>
      <c r="BE24" s="225">
        <f t="shared" ca="1" si="17"/>
        <v>1760</v>
      </c>
      <c r="BF24" s="21">
        <f t="shared" ca="1" si="18"/>
        <v>3.4467343074487559E-2</v>
      </c>
      <c r="BG24" s="22">
        <f t="shared" ca="1" si="21"/>
        <v>11</v>
      </c>
      <c r="BH24" s="22">
        <f t="shared" ca="1" si="19"/>
        <v>160</v>
      </c>
      <c r="BJ24" s="225">
        <f t="shared" ca="1" si="22"/>
        <v>296.25</v>
      </c>
    </row>
    <row r="25" spans="1:62" ht="15.6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327.38</v>
      </c>
      <c r="AL25" s="151">
        <f t="shared" si="10"/>
        <v>4075.4799999999977</v>
      </c>
      <c r="AM25" s="148" t="s">
        <v>77</v>
      </c>
      <c r="AN25" s="149">
        <f>'10'!B120</f>
        <v>761.33159742449789</v>
      </c>
      <c r="AO25" s="150">
        <f>SUM('10'!D120:F120)</f>
        <v>327.38</v>
      </c>
      <c r="AP25" s="151">
        <f t="shared" si="11"/>
        <v>4509.4315974244955</v>
      </c>
      <c r="AQ25" s="148" t="s">
        <v>80</v>
      </c>
      <c r="AR25" s="149">
        <f>'11'!B120</f>
        <v>457.47</v>
      </c>
      <c r="AS25" s="150">
        <f>SUM('11'!D120:F120)</f>
        <v>327.38</v>
      </c>
      <c r="AT25" s="151">
        <f t="shared" si="12"/>
        <v>4639.5215974244957</v>
      </c>
      <c r="AU25" s="148" t="s">
        <v>84</v>
      </c>
      <c r="AV25" s="149">
        <f>'12'!B120</f>
        <v>457.47</v>
      </c>
      <c r="AW25" s="150">
        <f>SUM('12'!D120:F120)</f>
        <v>0</v>
      </c>
      <c r="AX25" s="151">
        <f t="shared" si="13"/>
        <v>5096.9915974244959</v>
      </c>
      <c r="AZ25" s="152">
        <f t="shared" si="14"/>
        <v>3665.1800000000007</v>
      </c>
      <c r="BA25" s="21">
        <f t="shared" si="15"/>
        <v>7.6423864092723365E-2</v>
      </c>
      <c r="BB25" s="22">
        <f t="shared" si="20"/>
        <v>4</v>
      </c>
      <c r="BC25" s="22">
        <f t="shared" ca="1" si="16"/>
        <v>333.19818181818187</v>
      </c>
      <c r="BE25" s="224">
        <f t="shared" ca="1" si="17"/>
        <v>5142.1515974244985</v>
      </c>
      <c r="BF25" s="21">
        <f t="shared" ca="1" si="18"/>
        <v>0.10070244502809911</v>
      </c>
      <c r="BG25" s="22">
        <f t="shared" ca="1" si="21"/>
        <v>3</v>
      </c>
      <c r="BH25" s="22">
        <f t="shared" ca="1" si="19"/>
        <v>467.46832703859076</v>
      </c>
      <c r="BJ25" s="224">
        <f t="shared" ca="1" si="22"/>
        <v>1476.9715974244973</v>
      </c>
    </row>
    <row r="26" spans="1:62" ht="15.6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55.49</v>
      </c>
      <c r="AH26" s="156">
        <f t="shared" si="9"/>
        <v>25.04999999999999</v>
      </c>
      <c r="AI26" s="143" t="s">
        <v>76</v>
      </c>
      <c r="AJ26" s="155">
        <f>'09'!B140</f>
        <v>53</v>
      </c>
      <c r="AK26" s="155">
        <f>SUM('09'!D140:F140)</f>
        <v>45.49</v>
      </c>
      <c r="AL26" s="156">
        <f t="shared" si="10"/>
        <v>32.559999999999981</v>
      </c>
      <c r="AM26" s="143" t="s">
        <v>77</v>
      </c>
      <c r="AN26" s="155">
        <f>'10'!B140</f>
        <v>53</v>
      </c>
      <c r="AO26" s="155">
        <f>SUM('10'!D140:F140)</f>
        <v>110.49</v>
      </c>
      <c r="AP26" s="156">
        <f t="shared" si="11"/>
        <v>-24.930000000000021</v>
      </c>
      <c r="AQ26" s="143" t="s">
        <v>80</v>
      </c>
      <c r="AR26" s="155">
        <f>'11'!B140</f>
        <v>53</v>
      </c>
      <c r="AS26" s="155">
        <f>SUM('11'!D140:F140)</f>
        <v>7.99</v>
      </c>
      <c r="AT26" s="156">
        <f t="shared" si="12"/>
        <v>20.079999999999977</v>
      </c>
      <c r="AU26" s="143" t="s">
        <v>84</v>
      </c>
      <c r="AV26" s="155">
        <f>'12'!B140</f>
        <v>53</v>
      </c>
      <c r="AW26" s="155">
        <f>SUM('12'!D140:F140)</f>
        <v>0</v>
      </c>
      <c r="AX26" s="156">
        <f t="shared" si="13"/>
        <v>73.079999999999984</v>
      </c>
      <c r="AZ26" s="157">
        <f t="shared" si="14"/>
        <v>577.91000000000008</v>
      </c>
      <c r="BA26" s="21">
        <f t="shared" si="15"/>
        <v>1.2050189976433832E-2</v>
      </c>
      <c r="BB26" s="22">
        <f t="shared" si="20"/>
        <v>15</v>
      </c>
      <c r="BC26" s="22">
        <f t="shared" ca="1" si="16"/>
        <v>52.537272727272736</v>
      </c>
      <c r="BE26" s="225">
        <f t="shared" ca="1" si="17"/>
        <v>578.45000000000005</v>
      </c>
      <c r="BF26" s="21">
        <f t="shared" ca="1" si="18"/>
        <v>1.1328201478089392E-2</v>
      </c>
      <c r="BG26" s="22">
        <f t="shared" ca="1" si="21"/>
        <v>17</v>
      </c>
      <c r="BH26" s="22">
        <f t="shared" ca="1" si="19"/>
        <v>52.586363636363643</v>
      </c>
      <c r="BJ26" s="225">
        <f t="shared" ca="1" si="22"/>
        <v>0.54000000000002757</v>
      </c>
    </row>
    <row r="27" spans="1:62" ht="16.2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37.29</v>
      </c>
      <c r="AH27" s="187">
        <f t="shared" si="9"/>
        <v>292.25000000000006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342.25000000000006</v>
      </c>
      <c r="AM27" s="185" t="s">
        <v>77</v>
      </c>
      <c r="AN27" s="186">
        <f>'10'!B160</f>
        <v>50</v>
      </c>
      <c r="AO27" s="186">
        <f>SUM('10'!D160:F160)</f>
        <v>46.76</v>
      </c>
      <c r="AP27" s="187">
        <f t="shared" si="11"/>
        <v>345.49000000000007</v>
      </c>
      <c r="AQ27" s="185" t="s">
        <v>80</v>
      </c>
      <c r="AR27" s="186">
        <f>'11'!B160</f>
        <v>50</v>
      </c>
      <c r="AS27" s="186">
        <f>SUM('11'!D160:F160)</f>
        <v>16.579999999999998</v>
      </c>
      <c r="AT27" s="187">
        <f t="shared" si="12"/>
        <v>378.91000000000008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428.91000000000008</v>
      </c>
      <c r="AZ27" s="188">
        <f t="shared" si="14"/>
        <v>415.03999999999996</v>
      </c>
      <c r="BA27" s="21">
        <f t="shared" si="15"/>
        <v>8.6541344635308205E-3</v>
      </c>
      <c r="BB27" s="22">
        <f t="shared" si="20"/>
        <v>18</v>
      </c>
      <c r="BC27" s="22">
        <f t="shared" ca="1" si="16"/>
        <v>37.730909090909087</v>
      </c>
      <c r="BE27" s="224">
        <f t="shared" ca="1" si="17"/>
        <v>490</v>
      </c>
      <c r="BF27" s="21">
        <f t="shared" ca="1" si="18"/>
        <v>9.5960216514198327E-3</v>
      </c>
      <c r="BG27" s="22">
        <f t="shared" ca="1" si="21"/>
        <v>19</v>
      </c>
      <c r="BH27" s="22">
        <f t="shared" ca="1" si="19"/>
        <v>44.545454545454547</v>
      </c>
      <c r="BJ27" s="224">
        <f t="shared" ca="1" si="22"/>
        <v>74.960000000000036</v>
      </c>
    </row>
    <row r="28" spans="1:62" ht="15.6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44</v>
      </c>
      <c r="AL28" s="159">
        <f t="shared" si="10"/>
        <v>689.00000000000023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889.00000000000023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1089.0000000000002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1289.0000000000002</v>
      </c>
      <c r="AZ28" s="182">
        <f t="shared" ref="AZ28:AZ45" si="23">E28+I28+M28+Q28+U28+Y28+AC28+AG28+AK28+AO28+AS28+AW28</f>
        <v>3400.09</v>
      </c>
      <c r="BA28" s="21">
        <f t="shared" si="15"/>
        <v>7.0896386006424714E-2</v>
      </c>
      <c r="BB28" s="22">
        <f t="shared" si="20"/>
        <v>5</v>
      </c>
      <c r="BC28" s="22">
        <f t="shared" ca="1" si="16"/>
        <v>309.09909090909093</v>
      </c>
      <c r="BE28" s="223">
        <f t="shared" ca="1" si="17"/>
        <v>3880.04</v>
      </c>
      <c r="BF28" s="21">
        <f t="shared" ca="1" si="18"/>
        <v>7.5985607853826534E-2</v>
      </c>
      <c r="BG28" s="22">
        <f t="shared" ca="1" si="21"/>
        <v>5</v>
      </c>
      <c r="BH28" s="22">
        <f t="shared" ca="1" si="19"/>
        <v>352.73090909090911</v>
      </c>
      <c r="BJ28" s="223">
        <f t="shared" ca="1" si="22"/>
        <v>479.95000000000016</v>
      </c>
    </row>
    <row r="29" spans="1:62" ht="15.6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76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0</v>
      </c>
      <c r="AM29" s="148" t="s">
        <v>77</v>
      </c>
      <c r="AN29" s="149">
        <f>'10'!B200</f>
        <v>70</v>
      </c>
      <c r="AO29" s="150">
        <f>SUM('10'!D200:F200)</f>
        <v>133.79000000000002</v>
      </c>
      <c r="AP29" s="160">
        <f t="shared" si="11"/>
        <v>-63.79000000000002</v>
      </c>
      <c r="AQ29" s="148" t="s">
        <v>80</v>
      </c>
      <c r="AR29" s="149">
        <f>'11'!B200</f>
        <v>70</v>
      </c>
      <c r="AS29" s="150">
        <f>SUM('11'!D200:F200)</f>
        <v>64.16</v>
      </c>
      <c r="AT29" s="160">
        <f t="shared" si="12"/>
        <v>-57.950000000000017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12.049999999999983</v>
      </c>
      <c r="AZ29" s="152">
        <f t="shared" si="23"/>
        <v>1021.9399999999999</v>
      </c>
      <c r="BA29" s="21">
        <f t="shared" si="15"/>
        <v>2.1308804389120778E-2</v>
      </c>
      <c r="BB29" s="22">
        <f t="shared" si="20"/>
        <v>13</v>
      </c>
      <c r="BC29" s="22">
        <f t="shared" ca="1" si="16"/>
        <v>92.903636363636352</v>
      </c>
      <c r="BE29" s="224">
        <f t="shared" ca="1" si="17"/>
        <v>1010.6600000000001</v>
      </c>
      <c r="BF29" s="21">
        <f t="shared" ca="1" si="18"/>
        <v>1.9792480086171363E-2</v>
      </c>
      <c r="BG29" s="22">
        <f t="shared" ca="1" si="21"/>
        <v>14</v>
      </c>
      <c r="BH29" s="22">
        <f t="shared" ca="1" si="19"/>
        <v>91.878181818181829</v>
      </c>
      <c r="BJ29" s="224">
        <f t="shared" ca="1" si="22"/>
        <v>-11.280000000000086</v>
      </c>
    </row>
    <row r="30" spans="1:62" ht="15.6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76</v>
      </c>
      <c r="AJ30" s="155">
        <f>'09'!B220</f>
        <v>35</v>
      </c>
      <c r="AK30" s="155">
        <f>SUM('09'!D220:F220)</f>
        <v>12.5</v>
      </c>
      <c r="AL30" s="161">
        <f t="shared" si="10"/>
        <v>85.419999999999973</v>
      </c>
      <c r="AM30" s="143" t="s">
        <v>77</v>
      </c>
      <c r="AN30" s="155">
        <f>'10'!B220</f>
        <v>35</v>
      </c>
      <c r="AO30" s="155">
        <f>SUM('10'!D220:F220)</f>
        <v>23.5</v>
      </c>
      <c r="AP30" s="161">
        <f t="shared" si="11"/>
        <v>96.919999999999973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131.91999999999996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166.91999999999996</v>
      </c>
      <c r="AZ30" s="157">
        <f t="shared" si="23"/>
        <v>266.25</v>
      </c>
      <c r="BA30" s="21">
        <f t="shared" si="15"/>
        <v>5.5516656247953959E-3</v>
      </c>
      <c r="BB30" s="22">
        <f t="shared" si="20"/>
        <v>19</v>
      </c>
      <c r="BC30" s="22">
        <f t="shared" ca="1" si="16"/>
        <v>24.204545454545453</v>
      </c>
      <c r="BE30" s="225">
        <f t="shared" ca="1" si="17"/>
        <v>425</v>
      </c>
      <c r="BF30" s="21">
        <f t="shared" ca="1" si="18"/>
        <v>8.3230800037825074E-3</v>
      </c>
      <c r="BG30" s="22">
        <f t="shared" ca="1" si="21"/>
        <v>20</v>
      </c>
      <c r="BH30" s="22">
        <f t="shared" ca="1" si="19"/>
        <v>38.636363636363633</v>
      </c>
      <c r="BJ30" s="225">
        <f t="shared" ca="1" si="22"/>
        <v>158.75</v>
      </c>
    </row>
    <row r="31" spans="1:62" ht="15.6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20.98</v>
      </c>
      <c r="AH31" s="160">
        <f t="shared" si="9"/>
        <v>57.699999999999974</v>
      </c>
      <c r="AI31" s="148" t="s">
        <v>76</v>
      </c>
      <c r="AJ31" s="149">
        <f>'09'!B240</f>
        <v>20</v>
      </c>
      <c r="AK31" s="150">
        <f>SUM('09'!D240:F240)</f>
        <v>20.98</v>
      </c>
      <c r="AL31" s="160">
        <f t="shared" si="10"/>
        <v>56.71999999999997</v>
      </c>
      <c r="AM31" s="148" t="s">
        <v>77</v>
      </c>
      <c r="AN31" s="149">
        <f>'10'!B240</f>
        <v>20</v>
      </c>
      <c r="AO31" s="150">
        <f>SUM('10'!D240:F240)</f>
        <v>20.98</v>
      </c>
      <c r="AP31" s="160">
        <f t="shared" si="11"/>
        <v>55.739999999999966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75.739999999999966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95.739999999999966</v>
      </c>
      <c r="AZ31" s="152">
        <f t="shared" si="23"/>
        <v>220.29999999999995</v>
      </c>
      <c r="BA31" s="21">
        <f t="shared" si="15"/>
        <v>4.5935471817555888E-3</v>
      </c>
      <c r="BB31" s="22">
        <f t="shared" si="20"/>
        <v>20</v>
      </c>
      <c r="BC31" s="22">
        <f t="shared" ca="1" si="16"/>
        <v>20.027272727272724</v>
      </c>
      <c r="BE31" s="224">
        <f t="shared" ca="1" si="17"/>
        <v>220</v>
      </c>
      <c r="BF31" s="21">
        <f t="shared" ca="1" si="18"/>
        <v>4.3084178843109449E-3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-0.30000000000003979</v>
      </c>
    </row>
    <row r="32" spans="1:62" ht="15.6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112.12</v>
      </c>
      <c r="AG32" s="155">
        <f>SUM('08'!D260:F260)</f>
        <v>69.89</v>
      </c>
      <c r="AH32" s="161">
        <f t="shared" si="9"/>
        <v>631.11999999999989</v>
      </c>
      <c r="AI32" s="143" t="s">
        <v>76</v>
      </c>
      <c r="AJ32" s="155">
        <f>'09'!B260</f>
        <v>438.08</v>
      </c>
      <c r="AK32" s="155">
        <f>SUM('09'!D260:F260)</f>
        <v>594.42000000000007</v>
      </c>
      <c r="AL32" s="161">
        <f t="shared" si="10"/>
        <v>474.77999999999975</v>
      </c>
      <c r="AM32" s="143" t="s">
        <v>77</v>
      </c>
      <c r="AN32" s="155">
        <f>'10'!B260</f>
        <v>95</v>
      </c>
      <c r="AO32" s="155">
        <f>SUM('10'!D260:F260)</f>
        <v>172.2</v>
      </c>
      <c r="AP32" s="161">
        <f t="shared" si="11"/>
        <v>397.57999999999976</v>
      </c>
      <c r="AQ32" s="143" t="s">
        <v>80</v>
      </c>
      <c r="AR32" s="155">
        <f>'11'!B260</f>
        <v>95</v>
      </c>
      <c r="AS32" s="155">
        <f>SUM('11'!D260:F260)</f>
        <v>0</v>
      </c>
      <c r="AT32" s="161">
        <f t="shared" si="12"/>
        <v>492.57999999999976</v>
      </c>
      <c r="AU32" s="143" t="s">
        <v>84</v>
      </c>
      <c r="AV32" s="155">
        <f>'12'!B260</f>
        <v>95</v>
      </c>
      <c r="AW32" s="155">
        <f>SUM('12'!D260:F260)</f>
        <v>0</v>
      </c>
      <c r="AX32" s="161">
        <f t="shared" si="13"/>
        <v>587.5799999999997</v>
      </c>
      <c r="AZ32" s="157">
        <f t="shared" si="23"/>
        <v>1825.5000000000002</v>
      </c>
      <c r="BA32" s="21">
        <f t="shared" si="15"/>
        <v>3.8064096142963369E-2</v>
      </c>
      <c r="BB32" s="22">
        <f t="shared" si="20"/>
        <v>9</v>
      </c>
      <c r="BC32" s="22">
        <f t="shared" ca="1" si="16"/>
        <v>165.95454545454547</v>
      </c>
      <c r="BE32" s="225">
        <f t="shared" ca="1" si="17"/>
        <v>2332.33</v>
      </c>
      <c r="BF32" s="21">
        <f t="shared" ca="1" si="18"/>
        <v>4.5675692200522484E-2</v>
      </c>
      <c r="BG32" s="22">
        <f t="shared" ca="1" si="21"/>
        <v>7</v>
      </c>
      <c r="BH32" s="22">
        <f t="shared" ca="1" si="19"/>
        <v>212.03</v>
      </c>
      <c r="BJ32" s="225">
        <f t="shared" ca="1" si="22"/>
        <v>506.8299999999997</v>
      </c>
    </row>
    <row r="33" spans="1:62" ht="15.6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80</v>
      </c>
      <c r="AG33" s="150">
        <f>SUM('08'!D280:F280)</f>
        <v>11</v>
      </c>
      <c r="AH33" s="160">
        <f t="shared" si="9"/>
        <v>465.09000000000026</v>
      </c>
      <c r="AI33" s="148" t="s">
        <v>76</v>
      </c>
      <c r="AJ33" s="149">
        <f>'09'!B280</f>
        <v>60</v>
      </c>
      <c r="AK33" s="150">
        <f>SUM('09'!D280:F280)</f>
        <v>55</v>
      </c>
      <c r="AL33" s="160">
        <f t="shared" si="10"/>
        <v>470.09000000000026</v>
      </c>
      <c r="AM33" s="148" t="s">
        <v>77</v>
      </c>
      <c r="AN33" s="149">
        <f>'10'!B280</f>
        <v>60</v>
      </c>
      <c r="AO33" s="150">
        <f>SUM('10'!D280:F280)</f>
        <v>22</v>
      </c>
      <c r="AP33" s="160">
        <f t="shared" si="11"/>
        <v>508.09000000000026</v>
      </c>
      <c r="AQ33" s="148" t="s">
        <v>80</v>
      </c>
      <c r="AR33" s="149">
        <f>'11'!B280</f>
        <v>60</v>
      </c>
      <c r="AS33" s="150">
        <f>SUM('11'!D280:F280)</f>
        <v>0</v>
      </c>
      <c r="AT33" s="160">
        <f t="shared" si="12"/>
        <v>568.09000000000026</v>
      </c>
      <c r="AU33" s="148" t="s">
        <v>84</v>
      </c>
      <c r="AV33" s="149">
        <f>'12'!B280</f>
        <v>60</v>
      </c>
      <c r="AW33" s="150">
        <f>SUM('12'!D280:F280)</f>
        <v>0</v>
      </c>
      <c r="AX33" s="160">
        <f t="shared" si="13"/>
        <v>628.09000000000026</v>
      </c>
      <c r="AZ33" s="152">
        <f t="shared" si="23"/>
        <v>4483.8500000000004</v>
      </c>
      <c r="BA33" s="21">
        <f t="shared" si="15"/>
        <v>9.3494219386812544E-2</v>
      </c>
      <c r="BB33" s="22">
        <f t="shared" si="20"/>
        <v>3</v>
      </c>
      <c r="BC33" s="22">
        <f t="shared" ca="1" si="16"/>
        <v>407.62272727272733</v>
      </c>
      <c r="BE33" s="224">
        <f t="shared" ca="1" si="17"/>
        <v>4631.9400000000005</v>
      </c>
      <c r="BF33" s="21">
        <f t="shared" ca="1" si="18"/>
        <v>9.0710605159341998E-2</v>
      </c>
      <c r="BG33" s="22">
        <f t="shared" ca="1" si="21"/>
        <v>4</v>
      </c>
      <c r="BH33" s="22">
        <f t="shared" ca="1" si="19"/>
        <v>421.08545454545458</v>
      </c>
      <c r="BJ33" s="224">
        <f t="shared" ca="1" si="22"/>
        <v>148.09000000000026</v>
      </c>
    </row>
    <row r="34" spans="1:62" ht="15.6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14.29</v>
      </c>
      <c r="AH34" s="161">
        <f t="shared" si="9"/>
        <v>65.359999999999815</v>
      </c>
      <c r="AI34" s="143" t="s">
        <v>76</v>
      </c>
      <c r="AJ34" s="155">
        <f>'09'!B300</f>
        <v>90</v>
      </c>
      <c r="AK34" s="155">
        <f>SUM('09'!D300:F300)</f>
        <v>71</v>
      </c>
      <c r="AL34" s="161">
        <f t="shared" si="10"/>
        <v>84.359999999999815</v>
      </c>
      <c r="AM34" s="143" t="s">
        <v>77</v>
      </c>
      <c r="AN34" s="155">
        <f>'10'!B300</f>
        <v>90</v>
      </c>
      <c r="AO34" s="155">
        <f>SUM('10'!D300:F300)</f>
        <v>45.9</v>
      </c>
      <c r="AP34" s="161">
        <f t="shared" si="11"/>
        <v>128.45999999999981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218.45999999999981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308.45999999999981</v>
      </c>
      <c r="AZ34" s="152">
        <f t="shared" si="23"/>
        <v>1297.5500000000002</v>
      </c>
      <c r="BA34" s="21">
        <f t="shared" si="15"/>
        <v>2.7055638427993491E-2</v>
      </c>
      <c r="BB34" s="22">
        <f t="shared" si="20"/>
        <v>11</v>
      </c>
      <c r="BC34" s="22">
        <f t="shared" ca="1" si="16"/>
        <v>117.95909090909093</v>
      </c>
      <c r="BE34" s="225">
        <f t="shared" ca="1" si="17"/>
        <v>1414.4099999999999</v>
      </c>
      <c r="BF34" s="21">
        <f t="shared" ca="1" si="18"/>
        <v>2.769940608976474E-2</v>
      </c>
      <c r="BG34" s="22">
        <f t="shared" ca="1" si="21"/>
        <v>12</v>
      </c>
      <c r="BH34" s="22">
        <f t="shared" ca="1" si="19"/>
        <v>128.58272727272725</v>
      </c>
      <c r="BJ34" s="225">
        <f t="shared" ca="1" si="22"/>
        <v>116.8599999999999</v>
      </c>
    </row>
    <row r="35" spans="1:62" ht="16.2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1816.7900000000004</v>
      </c>
      <c r="AI35" s="185" t="s">
        <v>76</v>
      </c>
      <c r="AJ35" s="186">
        <f>'09'!B320</f>
        <v>130</v>
      </c>
      <c r="AK35" s="186">
        <f>SUM('09'!D320:F320)</f>
        <v>196.51</v>
      </c>
      <c r="AL35" s="187">
        <f t="shared" si="10"/>
        <v>1750.2800000000004</v>
      </c>
      <c r="AM35" s="185" t="s">
        <v>77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1432.5900000000004</v>
      </c>
      <c r="AQ35" s="185" t="s">
        <v>80</v>
      </c>
      <c r="AR35" s="186">
        <f>'11'!B320</f>
        <v>523.02</v>
      </c>
      <c r="AS35" s="186">
        <f>SUM('11'!D320:F320)</f>
        <v>469.05</v>
      </c>
      <c r="AT35" s="187">
        <f t="shared" si="12"/>
        <v>1486.5600000000004</v>
      </c>
      <c r="AU35" s="185" t="s">
        <v>84</v>
      </c>
      <c r="AV35" s="186">
        <f>'12'!B320</f>
        <v>130</v>
      </c>
      <c r="AW35" s="186">
        <f>SUM('12'!D320:F320)</f>
        <v>0</v>
      </c>
      <c r="AX35" s="187">
        <f t="shared" si="13"/>
        <v>1616.5600000000004</v>
      </c>
      <c r="AZ35" s="188">
        <f t="shared" si="23"/>
        <v>2252.5700000000002</v>
      </c>
      <c r="BA35" s="21">
        <f t="shared" si="15"/>
        <v>4.6969072061766634E-2</v>
      </c>
      <c r="BB35" s="22">
        <f t="shared" si="20"/>
        <v>7</v>
      </c>
      <c r="BC35" s="22">
        <f t="shared" ca="1" si="16"/>
        <v>204.77909090909091</v>
      </c>
      <c r="BE35" s="224">
        <f t="shared" ca="1" si="17"/>
        <v>2249.5299999999997</v>
      </c>
      <c r="BF35" s="21">
        <f t="shared" ca="1" si="18"/>
        <v>4.4054160378609084E-2</v>
      </c>
      <c r="BG35" s="22">
        <f t="shared" ca="1" si="21"/>
        <v>8</v>
      </c>
      <c r="BH35" s="22">
        <f t="shared" ca="1" si="19"/>
        <v>204.50272727272724</v>
      </c>
      <c r="BJ35" s="224">
        <f t="shared" ca="1" si="22"/>
        <v>-3.0399999999999636</v>
      </c>
    </row>
    <row r="36" spans="1:62" ht="15.6">
      <c r="A36" s="163" t="s">
        <v>568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282.98</v>
      </c>
      <c r="AG36" s="164">
        <f>SUM('08'!D340:F340)</f>
        <v>620.53</v>
      </c>
      <c r="AH36" s="156">
        <f t="shared" si="9"/>
        <v>57.370000000000118</v>
      </c>
      <c r="AI36" s="143" t="s">
        <v>76</v>
      </c>
      <c r="AJ36" s="164">
        <f>'09'!B340</f>
        <v>345.97</v>
      </c>
      <c r="AK36" s="164">
        <f>SUM('09'!D340:F340)</f>
        <v>87.85</v>
      </c>
      <c r="AL36" s="156">
        <f t="shared" si="10"/>
        <v>315.49000000000012</v>
      </c>
      <c r="AM36" s="143" t="s">
        <v>77</v>
      </c>
      <c r="AN36" s="164">
        <f>'10'!B340</f>
        <v>90</v>
      </c>
      <c r="AO36" s="164">
        <f>SUM('10'!D340:F340)</f>
        <v>5</v>
      </c>
      <c r="AP36" s="156">
        <f t="shared" si="11"/>
        <v>400.49000000000012</v>
      </c>
      <c r="AQ36" s="143" t="s">
        <v>80</v>
      </c>
      <c r="AR36" s="164">
        <f>'11'!B340</f>
        <v>520</v>
      </c>
      <c r="AS36" s="164">
        <f>SUM('11'!D340:F340)</f>
        <v>15</v>
      </c>
      <c r="AT36" s="156">
        <f t="shared" si="12"/>
        <v>905.49000000000012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995.49000000000012</v>
      </c>
      <c r="AZ36" s="182">
        <f t="shared" si="23"/>
        <v>1274.4699999999998</v>
      </c>
      <c r="BA36" s="21">
        <f t="shared" si="15"/>
        <v>2.65743898172131E-2</v>
      </c>
      <c r="BB36" s="22">
        <f t="shared" si="20"/>
        <v>12</v>
      </c>
      <c r="BC36" s="22">
        <f t="shared" ca="1" si="16"/>
        <v>115.86090909090908</v>
      </c>
      <c r="BE36" s="223">
        <f t="shared" ca="1" si="17"/>
        <v>2078.9700000000003</v>
      </c>
      <c r="BF36" s="21">
        <f t="shared" ca="1" si="18"/>
        <v>4.0713961495208756E-2</v>
      </c>
      <c r="BG36" s="22">
        <f t="shared" ca="1" si="21"/>
        <v>10</v>
      </c>
      <c r="BH36" s="22">
        <f t="shared" ca="1" si="19"/>
        <v>188.99727272727276</v>
      </c>
      <c r="BJ36" s="223">
        <f t="shared" ca="1" si="22"/>
        <v>804.5</v>
      </c>
    </row>
    <row r="37" spans="1:62" ht="15.6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65</v>
      </c>
      <c r="AT37" s="151">
        <f t="shared" si="12"/>
        <v>345.73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390.73</v>
      </c>
      <c r="AZ37" s="152">
        <f t="shared" si="23"/>
        <v>496.95</v>
      </c>
      <c r="BA37" s="21">
        <f t="shared" si="15"/>
        <v>1.0362066599970224E-2</v>
      </c>
      <c r="BB37" s="22">
        <f t="shared" si="20"/>
        <v>17</v>
      </c>
      <c r="BC37" s="22">
        <f t="shared" ca="1" si="16"/>
        <v>45.177272727272729</v>
      </c>
      <c r="BE37" s="224">
        <f t="shared" ca="1" si="17"/>
        <v>569.29999999999995</v>
      </c>
      <c r="BF37" s="21">
        <f t="shared" ca="1" si="18"/>
        <v>1.1149010461537366E-2</v>
      </c>
      <c r="BG37" s="22">
        <f t="shared" ca="1" si="21"/>
        <v>18</v>
      </c>
      <c r="BH37" s="22">
        <f t="shared" ca="1" si="19"/>
        <v>51.75454545454545</v>
      </c>
      <c r="BJ37" s="224">
        <f t="shared" ca="1" si="22"/>
        <v>72.350000000000023</v>
      </c>
    </row>
    <row r="38" spans="1:62" ht="15.6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41.3</v>
      </c>
      <c r="AH38" s="156">
        <f t="shared" si="9"/>
        <v>96.730000000000061</v>
      </c>
      <c r="AI38" s="143" t="s">
        <v>76</v>
      </c>
      <c r="AJ38" s="166">
        <f>'09'!B380</f>
        <v>65</v>
      </c>
      <c r="AK38" s="166">
        <f>SUM('09'!D380:F380)</f>
        <v>43</v>
      </c>
      <c r="AL38" s="156">
        <f t="shared" si="10"/>
        <v>118.73000000000008</v>
      </c>
      <c r="AM38" s="143" t="s">
        <v>77</v>
      </c>
      <c r="AN38" s="166">
        <f>'10'!B380</f>
        <v>65</v>
      </c>
      <c r="AO38" s="166">
        <f>SUM('10'!D380:F380)</f>
        <v>17.5</v>
      </c>
      <c r="AP38" s="156">
        <f t="shared" si="11"/>
        <v>166.23000000000008</v>
      </c>
      <c r="AQ38" s="143" t="s">
        <v>80</v>
      </c>
      <c r="AR38" s="166">
        <f>'11'!B380</f>
        <v>65</v>
      </c>
      <c r="AS38" s="166">
        <f>SUM('11'!D380:F380)</f>
        <v>44.53</v>
      </c>
      <c r="AT38" s="156">
        <f t="shared" si="12"/>
        <v>186.70000000000007</v>
      </c>
      <c r="AU38" s="143" t="s">
        <v>84</v>
      </c>
      <c r="AV38" s="166">
        <f>'12'!B380</f>
        <v>65</v>
      </c>
      <c r="AW38" s="166">
        <f>SUM('12'!D380:F380)</f>
        <v>0</v>
      </c>
      <c r="AX38" s="156">
        <f t="shared" si="13"/>
        <v>251.70000000000007</v>
      </c>
      <c r="AZ38" s="157">
        <f t="shared" si="23"/>
        <v>637.5</v>
      </c>
      <c r="BA38" s="21">
        <f t="shared" si="15"/>
        <v>1.3292720510073484E-2</v>
      </c>
      <c r="BB38" s="22">
        <f t="shared" si="20"/>
        <v>14</v>
      </c>
      <c r="BC38" s="22">
        <f t="shared" ca="1" si="16"/>
        <v>57.954545454545453</v>
      </c>
      <c r="BE38" s="225">
        <f t="shared" ca="1" si="17"/>
        <v>785</v>
      </c>
      <c r="BF38" s="21">
        <f t="shared" ca="1" si="18"/>
        <v>1.5373218359927689E-2</v>
      </c>
      <c r="BG38" s="22">
        <f t="shared" ca="1" si="21"/>
        <v>16</v>
      </c>
      <c r="BH38" s="22">
        <f t="shared" ca="1" si="19"/>
        <v>71.36363636363636</v>
      </c>
      <c r="BJ38" s="225">
        <f t="shared" ca="1" si="22"/>
        <v>147.50000000000006</v>
      </c>
    </row>
    <row r="39" spans="1:62" ht="15.6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1433.0207879809902</v>
      </c>
      <c r="AO39" s="165">
        <f>SUM('10'!D400:F400)</f>
        <v>0</v>
      </c>
      <c r="AP39" s="151">
        <f t="shared" si="11"/>
        <v>1459.2807879809902</v>
      </c>
      <c r="AQ39" s="148" t="s">
        <v>80</v>
      </c>
      <c r="AR39" s="165">
        <f>'11'!B400</f>
        <v>15</v>
      </c>
      <c r="AS39" s="165">
        <f>SUM('11'!D400:F400)</f>
        <v>0</v>
      </c>
      <c r="AT39" s="151">
        <f t="shared" si="12"/>
        <v>1474.2807879809902</v>
      </c>
      <c r="AU39" s="148" t="s">
        <v>84</v>
      </c>
      <c r="AV39" s="165">
        <f>'12'!B400</f>
        <v>15</v>
      </c>
      <c r="AW39" s="165">
        <f>SUM('12'!D400:F400)</f>
        <v>0</v>
      </c>
      <c r="AX39" s="151">
        <f t="shared" si="13"/>
        <v>1489.2807879809902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294.28078798099023</v>
      </c>
      <c r="BF39" s="21">
        <f t="shared" ca="1" si="18"/>
        <v>5.7631118633927987E-3</v>
      </c>
      <c r="BG39" s="22">
        <f t="shared" ca="1" si="21"/>
        <v>21</v>
      </c>
      <c r="BH39" s="22">
        <f t="shared" ca="1" si="19"/>
        <v>26.752798907362749</v>
      </c>
      <c r="BJ39" s="224">
        <f t="shared" ca="1" si="22"/>
        <v>294.28078798099023</v>
      </c>
    </row>
    <row r="40" spans="1:62" ht="15.6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3.09</v>
      </c>
      <c r="AL40" s="156">
        <f t="shared" si="10"/>
        <v>74.740000000000606</v>
      </c>
      <c r="AM40" s="143" t="s">
        <v>77</v>
      </c>
      <c r="AN40" s="166">
        <f>'10'!B420</f>
        <v>1311.1861040380193</v>
      </c>
      <c r="AO40" s="166">
        <f>SUM('10'!D420:F420)</f>
        <v>3.15</v>
      </c>
      <c r="AP40" s="156">
        <f t="shared" si="11"/>
        <v>1382.7761040380199</v>
      </c>
      <c r="AQ40" s="143" t="s">
        <v>80</v>
      </c>
      <c r="AR40" s="166">
        <f>'11'!B420</f>
        <v>92.84</v>
      </c>
      <c r="AS40" s="166">
        <f>SUM('11'!D420:F420)</f>
        <v>2.31</v>
      </c>
      <c r="AT40" s="156">
        <f t="shared" si="12"/>
        <v>1473.3061040380198</v>
      </c>
      <c r="AU40" s="143" t="s">
        <v>84</v>
      </c>
      <c r="AV40" s="166">
        <f>'12'!B420</f>
        <v>50</v>
      </c>
      <c r="AW40" s="166">
        <f>SUM('12'!D420:F420)</f>
        <v>0</v>
      </c>
      <c r="AX40" s="156">
        <f t="shared" si="13"/>
        <v>1523.3061040380198</v>
      </c>
      <c r="AZ40" s="157">
        <f t="shared" si="23"/>
        <v>172.78000000000003</v>
      </c>
      <c r="BA40" s="21">
        <f t="shared" si="15"/>
        <v>3.6026921564399953E-3</v>
      </c>
      <c r="BB40" s="22">
        <f t="shared" si="20"/>
        <v>22</v>
      </c>
      <c r="BC40" s="22">
        <f t="shared" ca="1" si="16"/>
        <v>15.707272727272731</v>
      </c>
      <c r="BE40" s="225">
        <f t="shared" ca="1" si="17"/>
        <v>841.57610403801925</v>
      </c>
      <c r="BF40" s="21">
        <f t="shared" ca="1" si="18"/>
        <v>1.6481188807482412E-2</v>
      </c>
      <c r="BG40" s="22">
        <f t="shared" ca="1" si="21"/>
        <v>15</v>
      </c>
      <c r="BH40" s="22">
        <f t="shared" ca="1" si="19"/>
        <v>76.506918548910846</v>
      </c>
      <c r="BJ40" s="225">
        <f t="shared" ca="1" si="22"/>
        <v>668.79610403801939</v>
      </c>
    </row>
    <row r="41" spans="1:62" ht="15.6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-300.89999999999918</v>
      </c>
      <c r="AG41" s="165">
        <f>SUM('08'!D440:F440)</f>
        <v>0</v>
      </c>
      <c r="AH41" s="151">
        <f t="shared" si="9"/>
        <v>8164.840000000002</v>
      </c>
      <c r="AI41" s="148" t="s">
        <v>76</v>
      </c>
      <c r="AJ41" s="165">
        <f>'09'!B440</f>
        <v>0</v>
      </c>
      <c r="AK41" s="165">
        <f>SUM('09'!D440:F440)</f>
        <v>0</v>
      </c>
      <c r="AL41" s="151">
        <f t="shared" si="10"/>
        <v>8164.840000000002</v>
      </c>
      <c r="AM41" s="148" t="s">
        <v>77</v>
      </c>
      <c r="AN41" s="165">
        <f>'10'!B440</f>
        <v>-37.460000000000036</v>
      </c>
      <c r="AO41" s="165">
        <f>SUM('10'!D440:F440)</f>
        <v>0</v>
      </c>
      <c r="AP41" s="151">
        <f t="shared" si="11"/>
        <v>8127.3800000000019</v>
      </c>
      <c r="AQ41" s="148" t="s">
        <v>80</v>
      </c>
      <c r="AR41" s="165">
        <f>'11'!B440</f>
        <v>-2951.4100000000008</v>
      </c>
      <c r="AS41" s="165">
        <f>SUM('11'!D440:F440)</f>
        <v>0</v>
      </c>
      <c r="AT41" s="151">
        <f t="shared" si="12"/>
        <v>5175.9700000000012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1275.9700000000012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-3374.0299999999975</v>
      </c>
      <c r="BF41" s="21">
        <f t="shared" ca="1" si="18"/>
        <v>-6.6076050882734758E-2</v>
      </c>
      <c r="BG41" s="22">
        <f t="shared" ca="1" si="21"/>
        <v>26</v>
      </c>
      <c r="BH41" s="22">
        <f t="shared" ca="1" si="19"/>
        <v>-306.72999999999979</v>
      </c>
      <c r="BJ41" s="224">
        <f t="shared" ca="1" si="22"/>
        <v>-3374.029999999997</v>
      </c>
    </row>
    <row r="42" spans="1:62" ht="15.6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-4044.26</v>
      </c>
      <c r="AO42" s="166">
        <f>SUM('10'!D460:F460)</f>
        <v>0</v>
      </c>
      <c r="AP42" s="156">
        <f t="shared" si="11"/>
        <v>6894.1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6894.1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6894.1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1.9800000000000182</v>
      </c>
      <c r="BF42" s="21">
        <f t="shared" ca="1" si="18"/>
        <v>3.8775760958798863E-5</v>
      </c>
      <c r="BG42" s="22">
        <f t="shared" ca="1" si="21"/>
        <v>24</v>
      </c>
      <c r="BH42" s="22">
        <f t="shared" ca="1" si="19"/>
        <v>0.18000000000000166</v>
      </c>
      <c r="BJ42" s="225">
        <f t="shared" ca="1" si="22"/>
        <v>1.9800000000004729</v>
      </c>
    </row>
    <row r="43" spans="1:62" ht="15.6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1200.5091905564923</v>
      </c>
      <c r="AO43" s="149">
        <f>SUM('10'!D480:F480)</f>
        <v>0</v>
      </c>
      <c r="AP43" s="151">
        <f t="shared" si="11"/>
        <v>1424.1391905564924</v>
      </c>
      <c r="AQ43" s="148" t="s">
        <v>80</v>
      </c>
      <c r="AR43" s="149">
        <f>'11'!B480</f>
        <v>86.35</v>
      </c>
      <c r="AS43" s="149">
        <f>SUM('11'!D480:F480)</f>
        <v>0</v>
      </c>
      <c r="AT43" s="151">
        <f t="shared" si="12"/>
        <v>1510.4891905564923</v>
      </c>
      <c r="AU43" s="148" t="s">
        <v>84</v>
      </c>
      <c r="AV43" s="149">
        <f>'12'!B480</f>
        <v>86.35</v>
      </c>
      <c r="AW43" s="149">
        <f>SUM('12'!D480:F480)</f>
        <v>0</v>
      </c>
      <c r="AX43" s="151">
        <f t="shared" si="13"/>
        <v>1596.8391905564922</v>
      </c>
      <c r="AZ43" s="152">
        <f t="shared" si="23"/>
        <v>500</v>
      </c>
      <c r="BA43" s="21">
        <f t="shared" si="15"/>
        <v>1.0425663145155674E-2</v>
      </c>
      <c r="BB43" s="22">
        <f t="shared" si="20"/>
        <v>16</v>
      </c>
      <c r="BC43" s="22">
        <f t="shared" ca="1" si="16"/>
        <v>45.454545454545453</v>
      </c>
      <c r="BE43" s="224">
        <f t="shared" ca="1" si="17"/>
        <v>1047.4891905564923</v>
      </c>
      <c r="BF43" s="21">
        <f t="shared" ca="1" si="18"/>
        <v>2.0513732555527214E-2</v>
      </c>
      <c r="BG43" s="22">
        <f t="shared" ca="1" si="21"/>
        <v>13</v>
      </c>
      <c r="BH43" s="22">
        <f t="shared" ca="1" si="19"/>
        <v>95.226290050590208</v>
      </c>
      <c r="BJ43" s="224">
        <f t="shared" ca="1" si="22"/>
        <v>547.4891905564923</v>
      </c>
    </row>
    <row r="44" spans="1:62" ht="15.6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25</v>
      </c>
      <c r="BH44" s="22">
        <f t="shared" ca="1" si="19"/>
        <v>0</v>
      </c>
      <c r="BJ44" s="225">
        <f t="shared" ca="1" si="22"/>
        <v>0</v>
      </c>
    </row>
    <row r="45" spans="1:62" ht="16.2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20</v>
      </c>
      <c r="AG45" s="175">
        <f>SUM('08'!D520:F520)</f>
        <v>23.43</v>
      </c>
      <c r="AH45" s="176">
        <f t="shared" si="9"/>
        <v>27.910000000000032</v>
      </c>
      <c r="AI45" s="173" t="s">
        <v>76</v>
      </c>
      <c r="AJ45" s="174">
        <f>'09'!B520</f>
        <v>0</v>
      </c>
      <c r="AK45" s="175">
        <f>SUM('09'!D520:F520)</f>
        <v>5</v>
      </c>
      <c r="AL45" s="176">
        <f t="shared" si="10"/>
        <v>22.910000000000032</v>
      </c>
      <c r="AM45" s="173" t="s">
        <v>77</v>
      </c>
      <c r="AN45" s="174">
        <f>'10'!B520</f>
        <v>0</v>
      </c>
      <c r="AO45" s="175">
        <f>SUM('10'!D520:F520)</f>
        <v>81.98</v>
      </c>
      <c r="AP45" s="176">
        <f t="shared" si="11"/>
        <v>-59.069999999999972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-59.069999999999972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-59.069999999999972</v>
      </c>
      <c r="AZ45" s="177">
        <f t="shared" si="23"/>
        <v>174.99</v>
      </c>
      <c r="BA45" s="21">
        <f t="shared" si="15"/>
        <v>3.6487735875415828E-3</v>
      </c>
      <c r="BB45" s="22">
        <f t="shared" si="20"/>
        <v>21</v>
      </c>
      <c r="BC45" s="22">
        <f t="shared" ca="1" si="16"/>
        <v>15.908181818181818</v>
      </c>
      <c r="BE45" s="226">
        <f t="shared" ca="1" si="17"/>
        <v>20</v>
      </c>
      <c r="BF45" s="21">
        <f t="shared" ca="1" si="18"/>
        <v>3.9167435311917681E-4</v>
      </c>
      <c r="BG45" s="22">
        <f t="shared" ca="1" si="21"/>
        <v>23</v>
      </c>
      <c r="BH45" s="22">
        <f t="shared" ca="1" si="19"/>
        <v>1.8181818181818181</v>
      </c>
      <c r="BJ45" s="226">
        <f t="shared" ca="1" si="22"/>
        <v>-154.99</v>
      </c>
    </row>
    <row r="46" spans="1:62" ht="16.8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29258.260000000002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30089.47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30103.377679999994</v>
      </c>
      <c r="AQ46" s="218"/>
      <c r="AR46" s="219">
        <f>SUM(AR20:AR45)</f>
        <v>1912.3299999999986</v>
      </c>
      <c r="AS46" s="219">
        <f>SUM(AS20:AS45)</f>
        <v>2527.9200000000005</v>
      </c>
      <c r="AT46" s="220">
        <f>SUM(AT20:AT45)</f>
        <v>29487.787679999998</v>
      </c>
      <c r="AU46" s="218"/>
      <c r="AV46" s="219">
        <f>SUM(AV20:AV45)</f>
        <v>5.4001247917767614E-13</v>
      </c>
      <c r="AW46" s="219">
        <f>SUM(AW20:AW45)</f>
        <v>0</v>
      </c>
      <c r="AX46" s="220">
        <f>SUM(AX20:AX45)</f>
        <v>29487.787680000001</v>
      </c>
      <c r="AZ46" s="227">
        <f>SUM(AZ20:AZ45)</f>
        <v>47958.58</v>
      </c>
      <c r="BA46" s="1"/>
      <c r="BB46" s="1"/>
      <c r="BC46" s="124">
        <f ca="1">SUM(BC20:BC45)</f>
        <v>4359.8709090909088</v>
      </c>
      <c r="BE46" s="227">
        <f ca="1">SUM(BE20:BE45)</f>
        <v>51062.827680000009</v>
      </c>
      <c r="BF46" s="1"/>
      <c r="BG46" s="1"/>
      <c r="BH46" s="124">
        <f ca="1">SUM(BH20:BH45)</f>
        <v>4642.0752436363646</v>
      </c>
      <c r="BJ46" s="227">
        <f ca="1">SUM(BJ20:BJ45)</f>
        <v>3104.2476800000022</v>
      </c>
    </row>
    <row r="47" spans="1:62" s="29" customFormat="1" ht="13.8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0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0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2.3200000105134677E-3</v>
      </c>
      <c r="AR47" s="125">
        <f>AQ17-AR46</f>
        <v>0</v>
      </c>
      <c r="AS47" s="125">
        <f>AQ17-AS46</f>
        <v>-615.5900000000006</v>
      </c>
      <c r="AT47" s="140"/>
      <c r="AU47" s="125">
        <f>AU5-AT46</f>
        <v>615.59232000000702</v>
      </c>
      <c r="AV47" s="125">
        <f>AU17-AV46</f>
        <v>-5.4001247917767614E-13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6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52318.450909090905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609</v>
      </c>
      <c r="W50" s="119"/>
      <c r="X50" s="119"/>
      <c r="Y50" s="119">
        <f>Y22+(N59/2)</f>
        <v>300.02000000000004</v>
      </c>
      <c r="Z50" s="119" t="s">
        <v>651</v>
      </c>
      <c r="AA50" s="119"/>
      <c r="AB50" s="119"/>
      <c r="AC50" s="119">
        <f>AC22</f>
        <v>108.36</v>
      </c>
      <c r="AD50" s="119" t="s">
        <v>724</v>
      </c>
      <c r="AE50" s="119"/>
      <c r="AF50" s="119"/>
      <c r="AG50" s="119">
        <f>AG22</f>
        <v>323.87000000000006</v>
      </c>
      <c r="AH50" s="119" t="s">
        <v>609</v>
      </c>
      <c r="AI50" s="119"/>
      <c r="AJ50" s="119"/>
      <c r="AK50" s="119">
        <f>AK22</f>
        <v>284.70000000000005</v>
      </c>
      <c r="AL50" s="119" t="s">
        <v>609</v>
      </c>
      <c r="AM50" s="119"/>
      <c r="AN50" s="119"/>
      <c r="AO50" s="119">
        <f>AO22</f>
        <v>327.21000000000004</v>
      </c>
      <c r="AP50" s="119" t="s">
        <v>834</v>
      </c>
      <c r="AQ50" s="119"/>
      <c r="AR50" s="119"/>
      <c r="AS50" s="119">
        <f>AS22</f>
        <v>242.68</v>
      </c>
      <c r="AT50" s="119" t="s">
        <v>913</v>
      </c>
      <c r="AU50" s="119"/>
      <c r="AV50" s="119"/>
      <c r="AW50" s="119">
        <f>AW22</f>
        <v>0</v>
      </c>
      <c r="AX50" s="119"/>
      <c r="AZ50" s="119"/>
    </row>
    <row r="51" spans="1:62" ht="15" thickBot="1"/>
    <row r="52" spans="1:62">
      <c r="C52" s="368" t="s">
        <v>149</v>
      </c>
      <c r="D52" s="369"/>
      <c r="E52" s="369"/>
      <c r="F52" s="370"/>
      <c r="G52" s="368" t="s">
        <v>149</v>
      </c>
      <c r="H52" s="369"/>
      <c r="I52" s="369"/>
      <c r="J52" s="370"/>
      <c r="K52" s="368" t="s">
        <v>149</v>
      </c>
      <c r="L52" s="369"/>
      <c r="M52" s="369"/>
      <c r="N52" s="370"/>
      <c r="O52" s="368" t="s">
        <v>149</v>
      </c>
      <c r="P52" s="369"/>
      <c r="Q52" s="369"/>
      <c r="R52" s="370"/>
      <c r="S52" s="368" t="s">
        <v>149</v>
      </c>
      <c r="T52" s="369"/>
      <c r="U52" s="369"/>
      <c r="V52" s="370"/>
      <c r="W52" s="368" t="s">
        <v>149</v>
      </c>
      <c r="X52" s="369"/>
      <c r="Y52" s="369"/>
      <c r="Z52" s="370"/>
      <c r="AA52" s="368" t="s">
        <v>149</v>
      </c>
      <c r="AB52" s="369"/>
      <c r="AC52" s="369"/>
      <c r="AD52" s="370"/>
      <c r="AE52" s="368" t="s">
        <v>149</v>
      </c>
      <c r="AF52" s="369"/>
      <c r="AG52" s="369"/>
      <c r="AH52" s="370"/>
      <c r="AI52" s="368" t="s">
        <v>149</v>
      </c>
      <c r="AJ52" s="369"/>
      <c r="AK52" s="369"/>
      <c r="AL52" s="370"/>
      <c r="AM52" s="368" t="s">
        <v>149</v>
      </c>
      <c r="AN52" s="369"/>
      <c r="AO52" s="369"/>
      <c r="AP52" s="370"/>
      <c r="AQ52" s="368" t="s">
        <v>149</v>
      </c>
      <c r="AR52" s="369"/>
      <c r="AS52" s="369"/>
      <c r="AT52" s="370"/>
      <c r="AU52" s="368" t="s">
        <v>149</v>
      </c>
      <c r="AV52" s="369"/>
      <c r="AW52" s="369"/>
      <c r="AX52" s="370"/>
    </row>
    <row r="53" spans="1:62" ht="15" thickBot="1">
      <c r="C53" s="93" t="s">
        <v>150</v>
      </c>
      <c r="D53" s="371" t="s">
        <v>31</v>
      </c>
      <c r="E53" s="372"/>
      <c r="F53" s="94" t="s">
        <v>88</v>
      </c>
      <c r="G53" s="93" t="s">
        <v>150</v>
      </c>
      <c r="H53" s="371" t="s">
        <v>31</v>
      </c>
      <c r="I53" s="372"/>
      <c r="J53" s="94" t="s">
        <v>88</v>
      </c>
      <c r="K53" s="93" t="s">
        <v>150</v>
      </c>
      <c r="L53" s="371" t="s">
        <v>31</v>
      </c>
      <c r="M53" s="372"/>
      <c r="N53" s="94" t="s">
        <v>88</v>
      </c>
      <c r="O53" s="93" t="s">
        <v>150</v>
      </c>
      <c r="P53" s="371" t="s">
        <v>31</v>
      </c>
      <c r="Q53" s="372"/>
      <c r="R53" s="94" t="s">
        <v>88</v>
      </c>
      <c r="S53" s="93" t="s">
        <v>150</v>
      </c>
      <c r="T53" s="371" t="s">
        <v>31</v>
      </c>
      <c r="U53" s="372"/>
      <c r="V53" s="94" t="s">
        <v>88</v>
      </c>
      <c r="W53" s="93" t="s">
        <v>150</v>
      </c>
      <c r="X53" s="371" t="s">
        <v>31</v>
      </c>
      <c r="Y53" s="372"/>
      <c r="Z53" s="94" t="s">
        <v>88</v>
      </c>
      <c r="AA53" s="93" t="s">
        <v>150</v>
      </c>
      <c r="AB53" s="371" t="s">
        <v>31</v>
      </c>
      <c r="AC53" s="372"/>
      <c r="AD53" s="94" t="s">
        <v>88</v>
      </c>
      <c r="AE53" s="93" t="s">
        <v>150</v>
      </c>
      <c r="AF53" s="371" t="s">
        <v>31</v>
      </c>
      <c r="AG53" s="372"/>
      <c r="AH53" s="94" t="s">
        <v>88</v>
      </c>
      <c r="AI53" s="93" t="s">
        <v>150</v>
      </c>
      <c r="AJ53" s="371" t="s">
        <v>31</v>
      </c>
      <c r="AK53" s="372"/>
      <c r="AL53" s="94" t="s">
        <v>88</v>
      </c>
      <c r="AM53" s="93" t="s">
        <v>150</v>
      </c>
      <c r="AN53" s="371" t="s">
        <v>31</v>
      </c>
      <c r="AO53" s="372"/>
      <c r="AP53" s="94" t="s">
        <v>88</v>
      </c>
      <c r="AQ53" s="93" t="s">
        <v>150</v>
      </c>
      <c r="AR53" s="371" t="s">
        <v>31</v>
      </c>
      <c r="AS53" s="372"/>
      <c r="AT53" s="94" t="s">
        <v>88</v>
      </c>
      <c r="AU53" s="93" t="s">
        <v>150</v>
      </c>
      <c r="AV53" s="371" t="s">
        <v>31</v>
      </c>
      <c r="AW53" s="372"/>
      <c r="AX53" s="94" t="s">
        <v>88</v>
      </c>
    </row>
    <row r="54" spans="1:62">
      <c r="C54" s="95">
        <v>43495</v>
      </c>
      <c r="D54" s="373" t="s">
        <v>234</v>
      </c>
      <c r="E54" s="374"/>
      <c r="F54" s="98"/>
      <c r="G54" s="95">
        <v>43497</v>
      </c>
      <c r="H54" s="373" t="s">
        <v>269</v>
      </c>
      <c r="I54" s="374"/>
      <c r="J54" s="100">
        <v>500</v>
      </c>
      <c r="K54" s="95">
        <v>43539</v>
      </c>
      <c r="L54" s="379" t="s">
        <v>256</v>
      </c>
      <c r="M54" s="380"/>
      <c r="N54" s="100">
        <v>70</v>
      </c>
      <c r="O54" s="95"/>
      <c r="P54" s="384"/>
      <c r="Q54" s="385"/>
      <c r="R54" s="102"/>
      <c r="S54" s="95">
        <v>43594</v>
      </c>
      <c r="T54" s="379" t="s">
        <v>242</v>
      </c>
      <c r="U54" s="380"/>
      <c r="V54" s="103"/>
      <c r="W54" s="95">
        <v>43624</v>
      </c>
      <c r="X54" s="379" t="s">
        <v>153</v>
      </c>
      <c r="Y54" s="380"/>
      <c r="Z54" s="104">
        <v>10</v>
      </c>
      <c r="AA54" s="95"/>
      <c r="AB54" s="386" t="s">
        <v>475</v>
      </c>
      <c r="AC54" s="387"/>
      <c r="AD54" s="239">
        <v>15</v>
      </c>
      <c r="AE54" s="95"/>
      <c r="AF54" s="386" t="s">
        <v>475</v>
      </c>
      <c r="AG54" s="387"/>
      <c r="AH54" s="239">
        <v>14</v>
      </c>
      <c r="AI54" s="95"/>
      <c r="AJ54" s="386" t="s">
        <v>475</v>
      </c>
      <c r="AK54" s="387"/>
      <c r="AL54" s="239">
        <v>15</v>
      </c>
      <c r="AM54" s="95"/>
      <c r="AN54" s="386" t="s">
        <v>475</v>
      </c>
      <c r="AO54" s="387"/>
      <c r="AP54" s="239">
        <v>11</v>
      </c>
      <c r="AQ54" s="95"/>
      <c r="AR54" s="386" t="s">
        <v>475</v>
      </c>
      <c r="AS54" s="387"/>
      <c r="AT54" s="239">
        <v>7</v>
      </c>
      <c r="AU54" s="95"/>
      <c r="AV54" s="373"/>
      <c r="AW54" s="374"/>
      <c r="AX54" s="100"/>
    </row>
    <row r="55" spans="1:62">
      <c r="C55" s="96"/>
      <c r="D55" s="377" t="s">
        <v>235</v>
      </c>
      <c r="E55" s="378"/>
      <c r="F55" s="98">
        <v>121.4</v>
      </c>
      <c r="G55" s="96">
        <v>43516</v>
      </c>
      <c r="H55" s="377" t="s">
        <v>310</v>
      </c>
      <c r="I55" s="378"/>
      <c r="J55" s="100"/>
      <c r="K55" s="96">
        <v>43553</v>
      </c>
      <c r="L55" s="377" t="s">
        <v>296</v>
      </c>
      <c r="M55" s="378"/>
      <c r="N55" s="100">
        <v>4421.9399999999996</v>
      </c>
      <c r="O55" s="96">
        <v>43565</v>
      </c>
      <c r="P55" s="377" t="s">
        <v>322</v>
      </c>
      <c r="Q55" s="378"/>
      <c r="R55" s="100">
        <v>10</v>
      </c>
      <c r="S55" s="96">
        <v>43607</v>
      </c>
      <c r="T55" s="377" t="s">
        <v>310</v>
      </c>
      <c r="U55" s="378"/>
      <c r="V55" s="100"/>
      <c r="W55" s="96">
        <v>43637</v>
      </c>
      <c r="X55" s="377" t="s">
        <v>151</v>
      </c>
      <c r="Y55" s="378"/>
      <c r="Z55" s="100">
        <v>10</v>
      </c>
      <c r="AA55" s="96">
        <v>43666</v>
      </c>
      <c r="AB55" s="377" t="s">
        <v>234</v>
      </c>
      <c r="AC55" s="378"/>
      <c r="AD55" s="100"/>
      <c r="AE55" s="96">
        <v>43682</v>
      </c>
      <c r="AF55" s="377" t="s">
        <v>322</v>
      </c>
      <c r="AG55" s="378"/>
      <c r="AH55" s="100">
        <v>10</v>
      </c>
      <c r="AI55" s="96">
        <v>43711</v>
      </c>
      <c r="AJ55" s="377" t="s">
        <v>322</v>
      </c>
      <c r="AK55" s="378"/>
      <c r="AL55" s="100" t="s">
        <v>779</v>
      </c>
      <c r="AM55" s="96">
        <v>43740</v>
      </c>
      <c r="AN55" s="388" t="s">
        <v>153</v>
      </c>
      <c r="AO55" s="389"/>
      <c r="AP55" s="100">
        <v>10</v>
      </c>
      <c r="AQ55" s="96">
        <v>43798</v>
      </c>
      <c r="AR55" s="377" t="s">
        <v>153</v>
      </c>
      <c r="AS55" s="378"/>
      <c r="AT55" s="100">
        <v>10</v>
      </c>
      <c r="AU55" s="96"/>
      <c r="AV55" s="377"/>
      <c r="AW55" s="378"/>
      <c r="AX55" s="100"/>
    </row>
    <row r="56" spans="1:62">
      <c r="B56" s="119"/>
      <c r="C56" s="96">
        <v>43472</v>
      </c>
      <c r="D56" s="377" t="s">
        <v>151</v>
      </c>
      <c r="E56" s="378"/>
      <c r="F56" s="98">
        <v>15</v>
      </c>
      <c r="G56" s="96">
        <v>43507</v>
      </c>
      <c r="H56" s="377" t="s">
        <v>322</v>
      </c>
      <c r="I56" s="378"/>
      <c r="J56" s="100">
        <v>10</v>
      </c>
      <c r="K56" s="96">
        <v>43529</v>
      </c>
      <c r="L56" s="377" t="s">
        <v>324</v>
      </c>
      <c r="M56" s="378"/>
      <c r="N56" s="100">
        <v>3362.6</v>
      </c>
      <c r="O56" s="96">
        <v>43576</v>
      </c>
      <c r="P56" s="386" t="s">
        <v>234</v>
      </c>
      <c r="Q56" s="387"/>
      <c r="R56" s="102"/>
      <c r="S56" s="96">
        <v>43615</v>
      </c>
      <c r="T56" s="377" t="s">
        <v>234</v>
      </c>
      <c r="U56" s="378"/>
      <c r="V56" s="100"/>
      <c r="W56" s="96"/>
      <c r="X56" s="377"/>
      <c r="Y56" s="378"/>
      <c r="Z56" s="100"/>
      <c r="AA56" s="96"/>
      <c r="AB56" s="377"/>
      <c r="AC56" s="378"/>
      <c r="AD56" s="100"/>
      <c r="AE56" s="96">
        <v>43703</v>
      </c>
      <c r="AF56" s="377" t="s">
        <v>151</v>
      </c>
      <c r="AG56" s="378"/>
      <c r="AH56" s="100">
        <v>10</v>
      </c>
      <c r="AI56" s="96">
        <v>43498</v>
      </c>
      <c r="AJ56" s="388" t="s">
        <v>234</v>
      </c>
      <c r="AK56" s="389"/>
      <c r="AL56" s="100"/>
      <c r="AM56" s="96">
        <v>43769</v>
      </c>
      <c r="AN56" s="388" t="s">
        <v>153</v>
      </c>
      <c r="AO56" s="389"/>
      <c r="AP56" s="100" t="s">
        <v>779</v>
      </c>
      <c r="AQ56" s="96">
        <v>43791</v>
      </c>
      <c r="AR56" s="377" t="s">
        <v>933</v>
      </c>
      <c r="AS56" s="378"/>
      <c r="AT56" s="100">
        <v>10</v>
      </c>
      <c r="AU56" s="96"/>
      <c r="AV56" s="377"/>
      <c r="AW56" s="378"/>
      <c r="AX56" s="100"/>
    </row>
    <row r="57" spans="1:62">
      <c r="C57" s="96">
        <v>43476</v>
      </c>
      <c r="D57" s="377" t="s">
        <v>153</v>
      </c>
      <c r="E57" s="378"/>
      <c r="F57" s="98">
        <v>10</v>
      </c>
      <c r="G57" s="96">
        <v>43516</v>
      </c>
      <c r="H57" s="377" t="s">
        <v>351</v>
      </c>
      <c r="I57" s="378"/>
      <c r="J57" s="100"/>
      <c r="K57" s="96">
        <v>43533</v>
      </c>
      <c r="L57" s="377" t="s">
        <v>234</v>
      </c>
      <c r="M57" s="378"/>
      <c r="N57" s="100"/>
      <c r="O57" s="96">
        <v>43578</v>
      </c>
      <c r="P57" s="381" t="s">
        <v>388</v>
      </c>
      <c r="Q57" s="382"/>
      <c r="R57" s="100">
        <v>10</v>
      </c>
      <c r="S57" s="96"/>
      <c r="T57" s="377"/>
      <c r="U57" s="378"/>
      <c r="V57" s="100"/>
      <c r="W57" s="96"/>
      <c r="X57" s="377"/>
      <c r="Y57" s="378"/>
      <c r="Z57" s="100"/>
      <c r="AA57" s="96"/>
      <c r="AB57" s="394"/>
      <c r="AC57" s="395"/>
      <c r="AD57" s="100"/>
      <c r="AE57" s="96"/>
      <c r="AF57" s="377"/>
      <c r="AG57" s="378"/>
      <c r="AH57" s="100"/>
      <c r="AI57" s="96">
        <v>43733</v>
      </c>
      <c r="AJ57" s="388" t="s">
        <v>151</v>
      </c>
      <c r="AK57" s="389"/>
      <c r="AL57" s="100">
        <v>10</v>
      </c>
      <c r="AM57" s="96">
        <v>43762</v>
      </c>
      <c r="AN57" s="388" t="s">
        <v>151</v>
      </c>
      <c r="AO57" s="389"/>
      <c r="AP57" s="100" t="s">
        <v>779</v>
      </c>
      <c r="AQ57" s="96"/>
      <c r="AR57" s="377"/>
      <c r="AS57" s="378"/>
      <c r="AT57" s="100"/>
      <c r="AU57" s="96"/>
      <c r="AV57" s="377"/>
      <c r="AW57" s="378"/>
      <c r="AX57" s="100"/>
    </row>
    <row r="58" spans="1:62">
      <c r="C58" s="96">
        <v>43478</v>
      </c>
      <c r="D58" s="377" t="s">
        <v>242</v>
      </c>
      <c r="E58" s="378"/>
      <c r="F58" s="98"/>
      <c r="G58" s="96"/>
      <c r="H58" s="377"/>
      <c r="I58" s="378"/>
      <c r="J58" s="100"/>
      <c r="K58" s="96">
        <v>43536</v>
      </c>
      <c r="L58" s="377" t="s">
        <v>242</v>
      </c>
      <c r="M58" s="378"/>
      <c r="N58" s="100"/>
      <c r="O58" s="96"/>
      <c r="P58" s="377"/>
      <c r="Q58" s="378"/>
      <c r="R58" s="100"/>
      <c r="S58" s="96"/>
      <c r="T58" s="377"/>
      <c r="U58" s="378"/>
      <c r="V58" s="100"/>
      <c r="W58" s="96"/>
      <c r="X58" s="377"/>
      <c r="Y58" s="378"/>
      <c r="Z58" s="100"/>
      <c r="AA58" s="96"/>
      <c r="AB58" s="394"/>
      <c r="AC58" s="395"/>
      <c r="AD58" s="100"/>
      <c r="AE58" s="96"/>
      <c r="AF58" s="377"/>
      <c r="AG58" s="378"/>
      <c r="AH58" s="100"/>
      <c r="AI58" s="96"/>
      <c r="AJ58" s="390"/>
      <c r="AK58" s="391"/>
      <c r="AL58" s="100"/>
      <c r="AM58" s="96">
        <v>43749</v>
      </c>
      <c r="AN58" s="388" t="s">
        <v>234</v>
      </c>
      <c r="AO58" s="389"/>
      <c r="AP58" s="100"/>
      <c r="AQ58" s="96"/>
      <c r="AR58" s="377"/>
      <c r="AS58" s="378"/>
      <c r="AT58" s="100"/>
      <c r="AU58" s="96"/>
      <c r="AV58" s="377"/>
      <c r="AW58" s="378"/>
      <c r="AX58" s="100"/>
    </row>
    <row r="59" spans="1:62">
      <c r="C59" s="96">
        <v>43481</v>
      </c>
      <c r="D59" s="377" t="s">
        <v>270</v>
      </c>
      <c r="E59" s="378"/>
      <c r="F59" s="98">
        <v>50</v>
      </c>
      <c r="G59" s="96"/>
      <c r="H59" s="377"/>
      <c r="I59" s="378"/>
      <c r="J59" s="100"/>
      <c r="K59" s="96"/>
      <c r="L59" s="377" t="s">
        <v>384</v>
      </c>
      <c r="M59" s="378"/>
      <c r="N59" s="100">
        <f>3.1+10.5</f>
        <v>13.6</v>
      </c>
      <c r="O59" s="96"/>
      <c r="P59" s="377"/>
      <c r="Q59" s="378"/>
      <c r="R59" s="100"/>
      <c r="S59" s="96"/>
      <c r="T59" s="388"/>
      <c r="U59" s="389"/>
      <c r="V59" s="100"/>
      <c r="W59" s="96"/>
      <c r="X59" s="388"/>
      <c r="Y59" s="389"/>
      <c r="Z59" s="100"/>
      <c r="AA59" s="96"/>
      <c r="AB59" s="388"/>
      <c r="AC59" s="389"/>
      <c r="AD59" s="100"/>
      <c r="AE59" s="96"/>
      <c r="AF59" s="377"/>
      <c r="AG59" s="378"/>
      <c r="AH59" s="100"/>
      <c r="AI59" s="96"/>
      <c r="AJ59" s="390"/>
      <c r="AK59" s="391"/>
      <c r="AL59" s="100"/>
      <c r="AM59" s="96"/>
      <c r="AN59" s="398" t="s">
        <v>875</v>
      </c>
      <c r="AO59" s="399"/>
      <c r="AP59" s="100">
        <v>3352.93</v>
      </c>
      <c r="AQ59" s="96"/>
      <c r="AR59" s="377"/>
      <c r="AS59" s="378"/>
      <c r="AT59" s="100"/>
      <c r="AU59" s="96"/>
      <c r="AV59" s="377"/>
      <c r="AW59" s="378"/>
      <c r="AX59" s="100"/>
    </row>
    <row r="60" spans="1:62">
      <c r="C60" s="96">
        <v>43488</v>
      </c>
      <c r="D60" s="377" t="s">
        <v>289</v>
      </c>
      <c r="E60" s="378"/>
      <c r="F60" s="98"/>
      <c r="G60" s="96"/>
      <c r="H60" s="377"/>
      <c r="I60" s="378"/>
      <c r="J60" s="100"/>
      <c r="K60" s="235">
        <v>43549</v>
      </c>
      <c r="L60" s="381" t="s">
        <v>388</v>
      </c>
      <c r="M60" s="382"/>
      <c r="N60" s="236">
        <v>15</v>
      </c>
      <c r="O60" s="96"/>
      <c r="P60" s="377"/>
      <c r="Q60" s="378"/>
      <c r="R60" s="100"/>
      <c r="S60" s="96"/>
      <c r="T60" s="388"/>
      <c r="U60" s="389"/>
      <c r="V60" s="100"/>
      <c r="W60" s="96"/>
      <c r="X60" s="390"/>
      <c r="Y60" s="391"/>
      <c r="Z60" s="100"/>
      <c r="AA60" s="96"/>
      <c r="AB60" s="390"/>
      <c r="AC60" s="391"/>
      <c r="AD60" s="100"/>
      <c r="AE60" s="96"/>
      <c r="AF60" s="388"/>
      <c r="AG60" s="389"/>
      <c r="AH60" s="100"/>
      <c r="AI60" s="96"/>
      <c r="AJ60" s="390"/>
      <c r="AK60" s="391"/>
      <c r="AL60" s="100"/>
      <c r="AM60" s="96"/>
      <c r="AN60" s="390"/>
      <c r="AO60" s="391"/>
      <c r="AP60" s="100"/>
      <c r="AQ60" s="96"/>
      <c r="AR60" s="377"/>
      <c r="AS60" s="378"/>
      <c r="AT60" s="100"/>
      <c r="AU60" s="96"/>
      <c r="AV60" s="377"/>
      <c r="AW60" s="378"/>
      <c r="AX60" s="100"/>
    </row>
    <row r="61" spans="1:62">
      <c r="C61" s="96">
        <v>43490</v>
      </c>
      <c r="D61" s="377" t="s">
        <v>291</v>
      </c>
      <c r="E61" s="378"/>
      <c r="F61" s="98">
        <v>40</v>
      </c>
      <c r="G61" s="96"/>
      <c r="H61" s="377"/>
      <c r="I61" s="378"/>
      <c r="J61" s="100"/>
      <c r="K61" s="96"/>
      <c r="L61" s="383"/>
      <c r="M61" s="378"/>
      <c r="N61" s="100"/>
      <c r="O61" s="96"/>
      <c r="P61" s="377"/>
      <c r="Q61" s="378"/>
      <c r="R61" s="100"/>
      <c r="S61" s="96"/>
      <c r="T61" s="388"/>
      <c r="U61" s="389"/>
      <c r="V61" s="100"/>
      <c r="W61" s="96"/>
      <c r="X61" s="390"/>
      <c r="Y61" s="391"/>
      <c r="Z61" s="100"/>
      <c r="AA61" s="96"/>
      <c r="AB61" s="390"/>
      <c r="AC61" s="391"/>
      <c r="AD61" s="100"/>
      <c r="AE61" s="96"/>
      <c r="AF61" s="390"/>
      <c r="AG61" s="391"/>
      <c r="AH61" s="100"/>
      <c r="AI61" s="96"/>
      <c r="AJ61" s="390"/>
      <c r="AK61" s="391"/>
      <c r="AL61" s="100"/>
      <c r="AM61" s="96"/>
      <c r="AN61" s="390"/>
      <c r="AO61" s="391"/>
      <c r="AP61" s="100"/>
      <c r="AQ61" s="96"/>
      <c r="AR61" s="377"/>
      <c r="AS61" s="378"/>
      <c r="AT61" s="100"/>
      <c r="AU61" s="96"/>
      <c r="AV61" s="377"/>
      <c r="AW61" s="378"/>
      <c r="AX61" s="100"/>
    </row>
    <row r="62" spans="1:62">
      <c r="C62" s="96"/>
      <c r="D62" s="377"/>
      <c r="E62" s="378"/>
      <c r="F62" s="98"/>
      <c r="G62" s="96"/>
      <c r="H62" s="377"/>
      <c r="I62" s="378"/>
      <c r="J62" s="100"/>
      <c r="K62" s="96"/>
      <c r="L62" s="377"/>
      <c r="M62" s="378"/>
      <c r="N62" s="100"/>
      <c r="O62" s="96"/>
      <c r="P62" s="377"/>
      <c r="Q62" s="378"/>
      <c r="R62" s="100"/>
      <c r="S62" s="96"/>
      <c r="T62" s="388"/>
      <c r="U62" s="389"/>
      <c r="V62" s="100"/>
      <c r="W62" s="96"/>
      <c r="X62" s="390"/>
      <c r="Y62" s="391"/>
      <c r="Z62" s="100"/>
      <c r="AA62" s="96"/>
      <c r="AB62" s="390"/>
      <c r="AC62" s="391"/>
      <c r="AD62" s="100"/>
      <c r="AE62" s="96"/>
      <c r="AF62" s="390"/>
      <c r="AG62" s="391"/>
      <c r="AH62" s="100"/>
      <c r="AI62" s="96"/>
      <c r="AJ62" s="390"/>
      <c r="AK62" s="391"/>
      <c r="AL62" s="100"/>
      <c r="AM62" s="96"/>
      <c r="AN62" s="390"/>
      <c r="AO62" s="391"/>
      <c r="AP62" s="100"/>
      <c r="AQ62" s="96"/>
      <c r="AR62" s="377"/>
      <c r="AS62" s="378"/>
      <c r="AT62" s="100"/>
      <c r="AU62" s="96"/>
      <c r="AV62" s="377"/>
      <c r="AW62" s="378"/>
      <c r="AX62" s="100"/>
    </row>
    <row r="63" spans="1:62">
      <c r="C63" s="96"/>
      <c r="D63" s="377"/>
      <c r="E63" s="378"/>
      <c r="F63" s="98"/>
      <c r="G63" s="96"/>
      <c r="H63" s="377"/>
      <c r="I63" s="378"/>
      <c r="J63" s="100"/>
      <c r="K63" s="96"/>
      <c r="L63" s="377"/>
      <c r="M63" s="378"/>
      <c r="N63" s="100"/>
      <c r="O63" s="96"/>
      <c r="P63" s="377"/>
      <c r="Q63" s="378"/>
      <c r="R63" s="100"/>
      <c r="S63" s="96"/>
      <c r="T63" s="388"/>
      <c r="U63" s="389"/>
      <c r="V63" s="100"/>
      <c r="W63" s="96"/>
      <c r="X63" s="390"/>
      <c r="Y63" s="391"/>
      <c r="Z63" s="100"/>
      <c r="AA63" s="96"/>
      <c r="AB63" s="390"/>
      <c r="AC63" s="391"/>
      <c r="AD63" s="100"/>
      <c r="AE63" s="96"/>
      <c r="AF63" s="390"/>
      <c r="AG63" s="391"/>
      <c r="AH63" s="100"/>
      <c r="AI63" s="96"/>
      <c r="AJ63" s="390"/>
      <c r="AK63" s="391"/>
      <c r="AL63" s="100"/>
      <c r="AM63" s="96"/>
      <c r="AN63" s="390"/>
      <c r="AO63" s="391"/>
      <c r="AP63" s="100"/>
      <c r="AQ63" s="96"/>
      <c r="AR63" s="377"/>
      <c r="AS63" s="378"/>
      <c r="AT63" s="100"/>
      <c r="AU63" s="96"/>
      <c r="AV63" s="377"/>
      <c r="AW63" s="378"/>
      <c r="AX63" s="100"/>
    </row>
    <row r="64" spans="1:62">
      <c r="C64" s="96"/>
      <c r="D64" s="377"/>
      <c r="E64" s="378"/>
      <c r="F64" s="98"/>
      <c r="G64" s="96"/>
      <c r="H64" s="377"/>
      <c r="I64" s="378"/>
      <c r="J64" s="100"/>
      <c r="K64" s="96"/>
      <c r="L64" s="377"/>
      <c r="M64" s="378"/>
      <c r="N64" s="100"/>
      <c r="O64" s="96"/>
      <c r="P64" s="377"/>
      <c r="Q64" s="378"/>
      <c r="R64" s="100"/>
      <c r="S64" s="96"/>
      <c r="T64" s="388"/>
      <c r="U64" s="389"/>
      <c r="V64" s="100"/>
      <c r="W64" s="96"/>
      <c r="X64" s="390"/>
      <c r="Y64" s="391"/>
      <c r="Z64" s="100"/>
      <c r="AA64" s="96"/>
      <c r="AB64" s="390"/>
      <c r="AC64" s="391"/>
      <c r="AD64" s="100"/>
      <c r="AE64" s="96"/>
      <c r="AF64" s="390"/>
      <c r="AG64" s="391"/>
      <c r="AH64" s="100"/>
      <c r="AI64" s="96"/>
      <c r="AJ64" s="390"/>
      <c r="AK64" s="391"/>
      <c r="AL64" s="100"/>
      <c r="AM64" s="96"/>
      <c r="AN64" s="390"/>
      <c r="AO64" s="391"/>
      <c r="AP64" s="100"/>
      <c r="AQ64" s="96"/>
      <c r="AR64" s="377"/>
      <c r="AS64" s="378"/>
      <c r="AT64" s="100"/>
      <c r="AU64" s="96"/>
      <c r="AV64" s="377"/>
      <c r="AW64" s="378"/>
      <c r="AX64" s="100"/>
    </row>
    <row r="65" spans="1:50">
      <c r="C65" s="96"/>
      <c r="D65" s="377"/>
      <c r="E65" s="378"/>
      <c r="F65" s="98"/>
      <c r="G65" s="96"/>
      <c r="H65" s="377"/>
      <c r="I65" s="378"/>
      <c r="J65" s="100"/>
      <c r="K65" s="96"/>
      <c r="L65" s="377"/>
      <c r="M65" s="378"/>
      <c r="N65" s="100"/>
      <c r="O65" s="96"/>
      <c r="P65" s="377"/>
      <c r="Q65" s="378"/>
      <c r="R65" s="100"/>
      <c r="S65" s="96"/>
      <c r="T65" s="388"/>
      <c r="U65" s="389"/>
      <c r="V65" s="100"/>
      <c r="W65" s="96"/>
      <c r="X65" s="390"/>
      <c r="Y65" s="391"/>
      <c r="Z65" s="100"/>
      <c r="AA65" s="96"/>
      <c r="AB65" s="390"/>
      <c r="AC65" s="391"/>
      <c r="AD65" s="100"/>
      <c r="AE65" s="96"/>
      <c r="AF65" s="390"/>
      <c r="AG65" s="391"/>
      <c r="AH65" s="100"/>
      <c r="AI65" s="96"/>
      <c r="AJ65" s="390"/>
      <c r="AK65" s="391"/>
      <c r="AL65" s="100"/>
      <c r="AM65" s="96"/>
      <c r="AN65" s="390"/>
      <c r="AO65" s="391"/>
      <c r="AP65" s="100"/>
      <c r="AQ65" s="96"/>
      <c r="AR65" s="377"/>
      <c r="AS65" s="378"/>
      <c r="AT65" s="100"/>
      <c r="AU65" s="96"/>
      <c r="AV65" s="377"/>
      <c r="AW65" s="378"/>
      <c r="AX65" s="100"/>
    </row>
    <row r="66" spans="1:50">
      <c r="C66" s="96"/>
      <c r="D66" s="377"/>
      <c r="E66" s="378"/>
      <c r="F66" s="98"/>
      <c r="G66" s="96"/>
      <c r="H66" s="377"/>
      <c r="I66" s="378"/>
      <c r="J66" s="100"/>
      <c r="K66" s="96"/>
      <c r="L66" s="377"/>
      <c r="M66" s="378"/>
      <c r="N66" s="100"/>
      <c r="O66" s="96"/>
      <c r="P66" s="377"/>
      <c r="Q66" s="378"/>
      <c r="R66" s="100"/>
      <c r="S66" s="96"/>
      <c r="T66" s="390"/>
      <c r="U66" s="391"/>
      <c r="V66" s="100"/>
      <c r="W66" s="96"/>
      <c r="X66" s="390"/>
      <c r="Y66" s="391"/>
      <c r="Z66" s="100"/>
      <c r="AA66" s="96"/>
      <c r="AB66" s="390"/>
      <c r="AC66" s="391"/>
      <c r="AD66" s="100"/>
      <c r="AE66" s="96"/>
      <c r="AF66" s="390"/>
      <c r="AG66" s="391"/>
      <c r="AH66" s="100"/>
      <c r="AI66" s="96"/>
      <c r="AJ66" s="390"/>
      <c r="AK66" s="391"/>
      <c r="AL66" s="100"/>
      <c r="AM66" s="96"/>
      <c r="AN66" s="390"/>
      <c r="AO66" s="391"/>
      <c r="AP66" s="100"/>
      <c r="AQ66" s="96"/>
      <c r="AR66" s="377"/>
      <c r="AS66" s="378"/>
      <c r="AT66" s="100"/>
      <c r="AU66" s="96"/>
      <c r="AV66" s="377"/>
      <c r="AW66" s="378"/>
      <c r="AX66" s="100"/>
    </row>
    <row r="67" spans="1:50">
      <c r="C67" s="96"/>
      <c r="D67" s="377"/>
      <c r="E67" s="378"/>
      <c r="F67" s="98"/>
      <c r="G67" s="96"/>
      <c r="H67" s="377"/>
      <c r="I67" s="378"/>
      <c r="J67" s="100"/>
      <c r="K67" s="96"/>
      <c r="L67" s="377"/>
      <c r="M67" s="378"/>
      <c r="N67" s="100"/>
      <c r="O67" s="96"/>
      <c r="P67" s="377"/>
      <c r="Q67" s="378"/>
      <c r="R67" s="100"/>
      <c r="S67" s="96"/>
      <c r="T67" s="390"/>
      <c r="U67" s="391"/>
      <c r="V67" s="100"/>
      <c r="W67" s="96"/>
      <c r="X67" s="390"/>
      <c r="Y67" s="391"/>
      <c r="Z67" s="100"/>
      <c r="AA67" s="96"/>
      <c r="AB67" s="390"/>
      <c r="AC67" s="391"/>
      <c r="AD67" s="100"/>
      <c r="AE67" s="96"/>
      <c r="AF67" s="390"/>
      <c r="AG67" s="391"/>
      <c r="AH67" s="100"/>
      <c r="AI67" s="96"/>
      <c r="AJ67" s="390"/>
      <c r="AK67" s="391"/>
      <c r="AL67" s="100"/>
      <c r="AM67" s="96"/>
      <c r="AN67" s="390"/>
      <c r="AO67" s="391"/>
      <c r="AP67" s="100"/>
      <c r="AQ67" s="96"/>
      <c r="AR67" s="377"/>
      <c r="AS67" s="378"/>
      <c r="AT67" s="100"/>
      <c r="AU67" s="96"/>
      <c r="AV67" s="377"/>
      <c r="AW67" s="378"/>
      <c r="AX67" s="100"/>
    </row>
    <row r="68" spans="1:50">
      <c r="C68" s="96"/>
      <c r="D68" s="377"/>
      <c r="E68" s="378"/>
      <c r="F68" s="98"/>
      <c r="G68" s="96"/>
      <c r="H68" s="377"/>
      <c r="I68" s="378"/>
      <c r="J68" s="100"/>
      <c r="K68" s="96"/>
      <c r="L68" s="377"/>
      <c r="M68" s="378"/>
      <c r="N68" s="100"/>
      <c r="O68" s="96"/>
      <c r="P68" s="377"/>
      <c r="Q68" s="378"/>
      <c r="R68" s="100"/>
      <c r="S68" s="96"/>
      <c r="T68" s="390"/>
      <c r="U68" s="391"/>
      <c r="V68" s="100"/>
      <c r="W68" s="96"/>
      <c r="X68" s="390"/>
      <c r="Y68" s="391"/>
      <c r="Z68" s="100"/>
      <c r="AA68" s="96"/>
      <c r="AB68" s="390"/>
      <c r="AC68" s="391"/>
      <c r="AD68" s="100"/>
      <c r="AE68" s="96"/>
      <c r="AF68" s="390"/>
      <c r="AG68" s="391"/>
      <c r="AH68" s="100"/>
      <c r="AI68" s="96"/>
      <c r="AJ68" s="390"/>
      <c r="AK68" s="391"/>
      <c r="AL68" s="100"/>
      <c r="AM68" s="96"/>
      <c r="AN68" s="390"/>
      <c r="AO68" s="391"/>
      <c r="AP68" s="100"/>
      <c r="AQ68" s="96"/>
      <c r="AR68" s="377"/>
      <c r="AS68" s="378"/>
      <c r="AT68" s="100"/>
      <c r="AU68" s="96"/>
      <c r="AV68" s="377"/>
      <c r="AW68" s="378"/>
      <c r="AX68" s="100"/>
    </row>
    <row r="69" spans="1:50">
      <c r="C69" s="96"/>
      <c r="D69" s="377"/>
      <c r="E69" s="378"/>
      <c r="F69" s="98"/>
      <c r="G69" s="96"/>
      <c r="H69" s="377"/>
      <c r="I69" s="378"/>
      <c r="J69" s="100"/>
      <c r="K69" s="96"/>
      <c r="L69" s="377"/>
      <c r="M69" s="378"/>
      <c r="N69" s="100"/>
      <c r="O69" s="96"/>
      <c r="P69" s="377"/>
      <c r="Q69" s="378"/>
      <c r="R69" s="100"/>
      <c r="S69" s="96"/>
      <c r="T69" s="390"/>
      <c r="U69" s="391"/>
      <c r="V69" s="100"/>
      <c r="W69" s="96"/>
      <c r="X69" s="390"/>
      <c r="Y69" s="391"/>
      <c r="Z69" s="100"/>
      <c r="AA69" s="96"/>
      <c r="AB69" s="390"/>
      <c r="AC69" s="391"/>
      <c r="AD69" s="100"/>
      <c r="AE69" s="96"/>
      <c r="AF69" s="390"/>
      <c r="AG69" s="391"/>
      <c r="AH69" s="100"/>
      <c r="AI69" s="96"/>
      <c r="AJ69" s="390"/>
      <c r="AK69" s="391"/>
      <c r="AL69" s="100"/>
      <c r="AM69" s="96"/>
      <c r="AN69" s="390"/>
      <c r="AO69" s="391"/>
      <c r="AP69" s="100"/>
      <c r="AQ69" s="96"/>
      <c r="AR69" s="377"/>
      <c r="AS69" s="378"/>
      <c r="AT69" s="100"/>
      <c r="AU69" s="96"/>
      <c r="AV69" s="377"/>
      <c r="AW69" s="378"/>
      <c r="AX69" s="100"/>
    </row>
    <row r="70" spans="1:50">
      <c r="C70" s="96"/>
      <c r="D70" s="377"/>
      <c r="E70" s="378"/>
      <c r="F70" s="98"/>
      <c r="G70" s="96"/>
      <c r="H70" s="377"/>
      <c r="I70" s="378"/>
      <c r="J70" s="100"/>
      <c r="K70" s="96"/>
      <c r="L70" s="377"/>
      <c r="M70" s="378"/>
      <c r="N70" s="100"/>
      <c r="O70" s="96"/>
      <c r="P70" s="377"/>
      <c r="Q70" s="378"/>
      <c r="R70" s="100"/>
      <c r="S70" s="96"/>
      <c r="T70" s="377" t="s">
        <v>564</v>
      </c>
      <c r="U70" s="378"/>
      <c r="V70" s="100">
        <v>3742.92</v>
      </c>
      <c r="W70" s="96"/>
      <c r="X70" s="377" t="s">
        <v>562</v>
      </c>
      <c r="Y70" s="378"/>
      <c r="Z70" s="100">
        <f>3289.11+270.87</f>
        <v>3559.98</v>
      </c>
      <c r="AA70" s="96"/>
      <c r="AB70" s="390"/>
      <c r="AC70" s="391"/>
      <c r="AD70" s="100"/>
      <c r="AE70" s="96"/>
      <c r="AF70" s="390"/>
      <c r="AG70" s="391"/>
      <c r="AH70" s="100"/>
      <c r="AI70" s="96"/>
      <c r="AJ70" s="390"/>
      <c r="AK70" s="391"/>
      <c r="AL70" s="100"/>
      <c r="AM70" s="96"/>
      <c r="AN70" s="390"/>
      <c r="AO70" s="391"/>
      <c r="AP70" s="100"/>
      <c r="AQ70" s="96"/>
      <c r="AR70" s="377"/>
      <c r="AS70" s="378"/>
      <c r="AT70" s="100"/>
      <c r="AU70" s="96"/>
      <c r="AV70" s="377"/>
      <c r="AW70" s="378"/>
      <c r="AX70" s="100"/>
    </row>
    <row r="71" spans="1:50" ht="15" thickBot="1">
      <c r="C71" s="97"/>
      <c r="D71" s="375"/>
      <c r="E71" s="376"/>
      <c r="F71" s="99"/>
      <c r="G71" s="97"/>
      <c r="H71" s="375"/>
      <c r="I71" s="376"/>
      <c r="J71" s="101"/>
      <c r="K71" s="97"/>
      <c r="L71" s="375"/>
      <c r="M71" s="376"/>
      <c r="N71" s="101"/>
      <c r="O71" s="97"/>
      <c r="P71" s="375"/>
      <c r="Q71" s="376"/>
      <c r="R71" s="101"/>
      <c r="S71" s="97"/>
      <c r="T71" s="392" t="s">
        <v>565</v>
      </c>
      <c r="U71" s="393"/>
      <c r="V71" s="101">
        <v>1872.17</v>
      </c>
      <c r="W71" s="97"/>
      <c r="X71" s="392" t="s">
        <v>563</v>
      </c>
      <c r="Y71" s="393"/>
      <c r="Z71" s="101">
        <f>Z70-1484.91-429.89</f>
        <v>1645.1799999999998</v>
      </c>
      <c r="AA71" s="97"/>
      <c r="AB71" s="396"/>
      <c r="AC71" s="397"/>
      <c r="AD71" s="101"/>
      <c r="AE71" s="97"/>
      <c r="AF71" s="396"/>
      <c r="AG71" s="397"/>
      <c r="AH71" s="101"/>
      <c r="AI71" s="97"/>
      <c r="AJ71" s="396"/>
      <c r="AK71" s="397"/>
      <c r="AL71" s="101"/>
      <c r="AM71" s="97"/>
      <c r="AN71" s="396"/>
      <c r="AO71" s="397"/>
      <c r="AP71" s="101"/>
      <c r="AQ71" s="97"/>
      <c r="AR71" s="375"/>
      <c r="AS71" s="376"/>
      <c r="AT71" s="101"/>
      <c r="AU71" s="97"/>
      <c r="AV71" s="375"/>
      <c r="AW71" s="376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32</v>
      </c>
      <c r="F73">
        <f>F72*20</f>
        <v>21.799999999999997</v>
      </c>
      <c r="L73" s="119"/>
    </row>
    <row r="74" spans="1:50">
      <c r="A74" t="s">
        <v>253</v>
      </c>
      <c r="C74">
        <v>30</v>
      </c>
      <c r="D74">
        <f>100/C74</f>
        <v>3.3333333333333335</v>
      </c>
    </row>
    <row r="75" spans="1:50">
      <c r="A75" t="s">
        <v>254</v>
      </c>
      <c r="C75">
        <v>12</v>
      </c>
      <c r="D75">
        <f>C75*D74</f>
        <v>40</v>
      </c>
      <c r="Z75" s="111"/>
    </row>
    <row r="76" spans="1:50">
      <c r="D76">
        <f>D75-D73</f>
        <v>8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/>
    <hyperlink ref="C21" location="'01'!B22:G40" display="ENERO"/>
    <hyperlink ref="C22" location="'01'!B42:G60" display="ENERO"/>
    <hyperlink ref="C25" location="'01'!B102:G120" display="ENERO"/>
    <hyperlink ref="C27" location="'01'!B142:G160" display="ENERO"/>
    <hyperlink ref="C29" location="'01'!B182:G200" display="ENERO"/>
    <hyperlink ref="C31" location="'01'!B222:G240" display="ENERO"/>
    <hyperlink ref="C33" location="'01'!B262:G280" display="ENERO"/>
    <hyperlink ref="C35" location="'01'!B302:G320" display="ENERO"/>
    <hyperlink ref="C37" location="'01'!B342:G360" display="ENERO"/>
    <hyperlink ref="C39" location="'01'!B382:G400" display="ENERO"/>
    <hyperlink ref="C41" location="'01'!B422:G440" display="ENERO"/>
    <hyperlink ref="C43" location="'01'!B462:G480" display="ENERO"/>
    <hyperlink ref="C26" location="'01'!B122:G140" display="ENERO"/>
    <hyperlink ref="C30" location="'01'!B202:G220" display="ENERO"/>
    <hyperlink ref="C32" location="'01'!B242:G260" display="ENERO"/>
    <hyperlink ref="C34" location="'01'!B282:G300" display="ENERO"/>
    <hyperlink ref="C38" location="'01'!B362:G380" display="ENERO"/>
    <hyperlink ref="C40" location="'01'!B402:G420" display="ENERO"/>
    <hyperlink ref="C42" location="'01'!B442:G460" display="ENERO"/>
    <hyperlink ref="C36" location="'01'!B322:G340" display="ENERO"/>
    <hyperlink ref="C28" location="'01'!B162:G180" display="ENERO"/>
    <hyperlink ref="C45" location="'01'!B502:G520" display="ENERO"/>
    <hyperlink ref="C44" location="'01'!B482:G500" display="ENERO"/>
    <hyperlink ref="C4:F4" location="'01'!I2:L19" display="ENERO"/>
    <hyperlink ref="C23" location="'01'!B62:G80" display="ENERO"/>
    <hyperlink ref="C24" location="'01'!B82:G100" display="ENERO"/>
    <hyperlink ref="G4:J4" location="'02'!I2:L19" display="FEBRERO"/>
    <hyperlink ref="K4:N4" location="'03'!I2:L19" display="MARZO"/>
    <hyperlink ref="W4:Z4" location="'06'!I2:L19" display="JUNIO"/>
    <hyperlink ref="G24" location="'02'!B82:G100" display="ENERO"/>
    <hyperlink ref="G23" location="'02'!B62:G80" display="ENERO"/>
    <hyperlink ref="G44" location="'02'!B482:G500" display="ENERO"/>
    <hyperlink ref="G45" location="'02'!B502:G520" display="ENERO"/>
    <hyperlink ref="G28" location="'02'!B162:G180" display="ENERO"/>
    <hyperlink ref="G36" location="'02'!B322:G340" display="ENERO"/>
    <hyperlink ref="G42" location="'02'!B442:G460" display="ENERO"/>
    <hyperlink ref="G40" location="'02'!B402:G420" display="ENERO"/>
    <hyperlink ref="G38" location="'02'!B362:G380" display="ENERO"/>
    <hyperlink ref="G34" location="'02'!B282:G300" display="ENERO"/>
    <hyperlink ref="G32" location="'02'!B242:G260" display="ENERO"/>
    <hyperlink ref="G30" location="'02'!B202:G220" display="ENERO"/>
    <hyperlink ref="G26" location="'02'!B122:G140" display="ENERO"/>
    <hyperlink ref="G43" location="'02'!B462:G480" display="ENERO"/>
    <hyperlink ref="G41" location="'02'!B422:G440" display="ENERO"/>
    <hyperlink ref="G39" location="'02'!B382:G400" display="ENERO"/>
    <hyperlink ref="G37" location="'02'!B342:G360" display="ENERO"/>
    <hyperlink ref="G35" location="'02'!B302:G320" display="ENERO"/>
    <hyperlink ref="G33" location="'02'!B262:G280" display="ENERO"/>
    <hyperlink ref="G31" location="'02'!B222:G240" display="ENERO"/>
    <hyperlink ref="G29" location="'02'!B182:G200" display="ENERO"/>
    <hyperlink ref="G27" location="'02'!B142:G160" display="ENERO"/>
    <hyperlink ref="G25" location="'02'!B102:G120" display="ENERO"/>
    <hyperlink ref="G20" location="'02'!B2:G20" display="FEBRERO"/>
    <hyperlink ref="G21" location="'02'!B22:G40" display="FEBRERO"/>
    <hyperlink ref="G22" location="'02'!B42:G60" display="ENERO"/>
    <hyperlink ref="K24" location="'03'!B82:G100" display="FEBRERO"/>
    <hyperlink ref="K23" location="'03'!B62:G80" display="FEBRERO"/>
    <hyperlink ref="K44" location="'03'!B482:G500" display="MARZO"/>
    <hyperlink ref="K45" location="'03'!B502:G520" display="MARZO"/>
    <hyperlink ref="K28" location="'03'!B162:G180" display="FEBRERO"/>
    <hyperlink ref="K36" location="'03'!B322:G340" display="MARZO"/>
    <hyperlink ref="K42" location="'03'!B442:G460" display="MARZO"/>
    <hyperlink ref="K40" location="'03'!B402:G420" display="MARZO"/>
    <hyperlink ref="K38" location="'03'!B362:G380" display="MARZO"/>
    <hyperlink ref="K34" location="'03'!B282:G300" display="MARZO"/>
    <hyperlink ref="K32" location="'03'!B242:G260" display="MARZO"/>
    <hyperlink ref="K30" location="'03'!B202:G220" display="MARZO"/>
    <hyperlink ref="K26" location="'03'!B122:G140" display="FEBRERO"/>
    <hyperlink ref="K43" location="'03'!B462:G480" display="MARZO"/>
    <hyperlink ref="K41" location="'03'!B422:G440" display="MARZO"/>
    <hyperlink ref="K39" location="'03'!B382:G400" display="MARZO"/>
    <hyperlink ref="K37" location="'03'!B342:G360" display="MARZO"/>
    <hyperlink ref="K35" location="'03'!B302:G320" display="MARZO"/>
    <hyperlink ref="K31" location="'03'!B222:G240" display="MARZO"/>
    <hyperlink ref="K29" location="'03'!B182:G200" display="MARZO"/>
    <hyperlink ref="K27" location="'03'!B142:G160" display="FEBRERO"/>
    <hyperlink ref="K25" location="'03'!B102:G120" display="FEBRERO"/>
    <hyperlink ref="K20" location="'03'!B2:G20" display="FEBRERO"/>
    <hyperlink ref="K21" location="'03'!B22:G40" display="FEBRERO"/>
    <hyperlink ref="K22" location="'03'!B42:G60" display="FEBRERO"/>
    <hyperlink ref="K33" location="'03'!B262:G280" display="MARZO"/>
    <hyperlink ref="O24" location="'04'!B82:G100" display="MARZO"/>
    <hyperlink ref="O23" location="'04'!B62:G80" display="MARZO"/>
    <hyperlink ref="O44" location="'04'!B482:G500" display="MARZO"/>
    <hyperlink ref="O45" location="'04'!B502:G520" display="MARZO"/>
    <hyperlink ref="O28" location="'04'!B162:G180" display="MARZO"/>
    <hyperlink ref="O36" location="'04'!B322:G340" display="MARZO"/>
    <hyperlink ref="O42" location="'04'!B442:G460" display="MARZO"/>
    <hyperlink ref="O40" location="'04'!B402:G420" display="MARZO"/>
    <hyperlink ref="O38" location="'04'!B362:G380" display="MARZO"/>
    <hyperlink ref="O34" location="'04'!B282:G300" display="MARZO"/>
    <hyperlink ref="O32" location="'04'!B242:G260" display="MARZO"/>
    <hyperlink ref="O30" location="'04'!B202:G220" display="MARZO"/>
    <hyperlink ref="O26" location="'04'!B122:G140" display="MARZO"/>
    <hyperlink ref="O43" location="'04'!B462:G480" display="MARZO"/>
    <hyperlink ref="O41" location="'04'!B422:G440" display="MARZO"/>
    <hyperlink ref="O39" location="'04'!B382:G400" display="MARZO"/>
    <hyperlink ref="O37" location="'04'!B342:G360" display="MARZO"/>
    <hyperlink ref="O35" location="'04'!B302:G320" display="MARZO"/>
    <hyperlink ref="O31" location="'04'!B222:G240" display="MARZO"/>
    <hyperlink ref="O29" location="'04'!B182:G200" display="MARZO"/>
    <hyperlink ref="O27" location="'04'!B142:G160" display="MARZO"/>
    <hyperlink ref="O25" location="'04'!B102:G120" display="MARZO"/>
    <hyperlink ref="O20" location="'04'!B2:G20" display="MARZO"/>
    <hyperlink ref="O21" location="'04'!B22:G40" display="MARZO"/>
    <hyperlink ref="O22" location="'04'!B42:G60" display="MARZO"/>
    <hyperlink ref="O33" location="'04'!B262:G280" display="MARZO"/>
    <hyperlink ref="O4:R4" location="'04'!I2:L19" display="MARZO"/>
    <hyperlink ref="S24" location="'05'!B82:G100" display="ABRIL"/>
    <hyperlink ref="S23" location="'05'!B62:G80" display="ABRIL"/>
    <hyperlink ref="S44" location="'05'!B482:G500" display="ABRIL"/>
    <hyperlink ref="S45" location="'05'!B502:G520" display="ABRIL"/>
    <hyperlink ref="S28" location="'05'!B162:G180" display="ABRIL"/>
    <hyperlink ref="S36" location="'05'!B322:G340" display="ABRIL"/>
    <hyperlink ref="S42" location="'05'!B442:G460" display="ABRIL"/>
    <hyperlink ref="S40" location="'05'!B402:G420" display="ABRIL"/>
    <hyperlink ref="S38" location="'05'!B362:G380" display="ABRIL"/>
    <hyperlink ref="S34" location="'05'!B282:G300" display="ABRIL"/>
    <hyperlink ref="S32" location="'05'!B242:G260" display="ABRIL"/>
    <hyperlink ref="S30" location="'05'!B202:G220" display="ABRIL"/>
    <hyperlink ref="S26" location="'05'!B122:G140" display="ABRIL"/>
    <hyperlink ref="S43" location="'05'!B462:G480" display="ABRIL"/>
    <hyperlink ref="S41" location="'05'!B422:G440" display="ABRIL"/>
    <hyperlink ref="S39" location="'05'!B382:G400" display="ABRIL"/>
    <hyperlink ref="S37" location="'05'!B342:G360" display="ABRIL"/>
    <hyperlink ref="S35" location="'05'!B302:G320" display="ABRIL"/>
    <hyperlink ref="S31" location="'05'!B222:G240" display="ABRIL"/>
    <hyperlink ref="S29" location="'05'!B182:G200" display="ABRIL"/>
    <hyperlink ref="S27" location="'05'!B142:G160" display="ABRIL"/>
    <hyperlink ref="S25" location="'05'!B102:G120" display="ABRIL"/>
    <hyperlink ref="S33" location="'05'!B262:G280" display="ABRIL"/>
    <hyperlink ref="S4:V4" location="'05'!I2:L19" display="ABRIL"/>
    <hyperlink ref="AA24" location="'07'!B82:G100" display="JULIO"/>
    <hyperlink ref="AA23" location="'07'!B62:G80" display="JULIO"/>
    <hyperlink ref="AA44" location="'07'!B482:G500" display="JULIO"/>
    <hyperlink ref="AA45" location="'07'!B502:G520" display="JULIO"/>
    <hyperlink ref="AA28" location="'07'!B162:G180" display="JULIO"/>
    <hyperlink ref="AA36" location="'07'!B322:G340" display="JULIO"/>
    <hyperlink ref="AA42" location="'07'!B442:G460" display="JULIO"/>
    <hyperlink ref="AA40" location="'07'!B402:G420" display="JULIO"/>
    <hyperlink ref="AA38" location="'07'!B362:G380" display="JULIO"/>
    <hyperlink ref="AA34" location="'07'!B282:G300" display="JULIO"/>
    <hyperlink ref="AA32" location="'07'!B242:G260" display="JULIO"/>
    <hyperlink ref="AA30" location="'07'!B202:G220" display="JULIO"/>
    <hyperlink ref="AA26" location="'07'!B122:G140" display="JULIO"/>
    <hyperlink ref="AA43" location="'07'!B462:G480" display="JULIO"/>
    <hyperlink ref="AA41" location="'07'!B422:G440" display="JULIO"/>
    <hyperlink ref="AA39" location="'07'!B382:G400" display="JULIO"/>
    <hyperlink ref="AA37" location="'07'!B342:G360" display="JULIO"/>
    <hyperlink ref="AA35" location="'07'!B302:G320" display="JULIO"/>
    <hyperlink ref="AA31" location="'07'!B222:G240" display="JULIO"/>
    <hyperlink ref="AA29" location="'07'!B182:G200" display="JULIO"/>
    <hyperlink ref="AA27" location="'07'!B142:G160" display="JULIO"/>
    <hyperlink ref="AA25" location="'07'!B102:G120" display="JULIO"/>
    <hyperlink ref="AA20" location="'07'!B2:G20" display="JULIO"/>
    <hyperlink ref="AA21" location="'07'!B22:G40" display="JULIO"/>
    <hyperlink ref="AA22" location="'07'!B42:G60" display="JULIO"/>
    <hyperlink ref="AA33" location="'07'!B262:G280" display="JULIO"/>
    <hyperlink ref="AA4:AD4" location="'07'!I2:L19" display="JULIO"/>
    <hyperlink ref="AE24" location="'08'!B82:G100" display="AGOSTO"/>
    <hyperlink ref="AE23" location="'08'!B62:G80" display="AGOSTO"/>
    <hyperlink ref="AE44" location="'08'!B482:G500" display="AGOSTO"/>
    <hyperlink ref="AE45" location="'08'!B502:G520" display="AGOSTO"/>
    <hyperlink ref="AE28" location="'08'!B162:G180" display="AGOSTO"/>
    <hyperlink ref="AE36" location="'08'!B322:G340" display="AGOSTO"/>
    <hyperlink ref="AE42" location="'08'!B442:G460" display="AGOSTO"/>
    <hyperlink ref="AE40" location="'08'!B402:G420" display="AGOSTO"/>
    <hyperlink ref="AE38" location="'08'!B362:G380" display="AGOSTO"/>
    <hyperlink ref="AE34" location="'08'!B282:G300" display="AGOSTO"/>
    <hyperlink ref="AE32" location="'08'!B242:G260" display="AGOSTO"/>
    <hyperlink ref="AE30" location="'08'!B202:G220" display="AGOSTO"/>
    <hyperlink ref="AE26" location="'08'!B122:G140" display="AGOSTO"/>
    <hyperlink ref="AE43" location="'08'!B462:G480" display="AGOSTO"/>
    <hyperlink ref="AE41" location="'08'!B422:G440" display="AGOSTO"/>
    <hyperlink ref="AE39" location="'08'!B382:G400" display="AGOSTO"/>
    <hyperlink ref="AE37" location="'08'!B342:G360" display="AGOSTO"/>
    <hyperlink ref="AE35" location="'08'!B302:G320" display="AGOSTO"/>
    <hyperlink ref="AE31" location="'08'!B222:G240" display="AGOSTO"/>
    <hyperlink ref="AE29" location="'08'!B182:G200" display="AGOSTO"/>
    <hyperlink ref="AE27" location="'08'!B142:G160" display="AGOSTO"/>
    <hyperlink ref="AE25" location="'08'!B102:G120" display="AGOSTO"/>
    <hyperlink ref="AE20" location="'08'!B2:G20" display="AGOSTO"/>
    <hyperlink ref="AE21" location="'08'!B22:G40" display="AGOSTO"/>
    <hyperlink ref="AE22" location="'08'!B42:G60" display="AGOSTO"/>
    <hyperlink ref="AE33" location="'08'!B262:G280" display="AGOSTO"/>
    <hyperlink ref="AE4:AH4" location="'08'!I2:L19" display="AGOSTO"/>
    <hyperlink ref="AI24" location="'09'!B82:G100" display="SEPT…"/>
    <hyperlink ref="AI23" location="'09'!B62:G80" display="SEPT…"/>
    <hyperlink ref="AI44" location="'09'!B482:G500" display="SEPT…"/>
    <hyperlink ref="AI45" location="'09'!B502:G520" display="SEPT…"/>
    <hyperlink ref="AI28" location="'09'!B162:G180" display="SEPT…"/>
    <hyperlink ref="AI36" location="'09'!B322:G340" display="SEPT…"/>
    <hyperlink ref="AI42" location="'09'!B442:G460" display="SEPT…"/>
    <hyperlink ref="AI40" location="'09'!B402:G420" display="SEPT…"/>
    <hyperlink ref="AI38" location="'09'!B362:G380" display="SEPT…"/>
    <hyperlink ref="AI34" location="'09'!B282:G300" display="SEPT…"/>
    <hyperlink ref="AI32" location="'09'!B242:G260" display="SEPT…"/>
    <hyperlink ref="AI30" location="'09'!B202:G220" display="SEPT…"/>
    <hyperlink ref="AI26" location="'09'!B122:G140" display="SEPT…"/>
    <hyperlink ref="AI43" location="'09'!B462:G480" display="SEPT…"/>
    <hyperlink ref="AI41" location="'09'!B422:G440" display="SEPT…"/>
    <hyperlink ref="AI39" location="'09'!B382:G400" display="SEPT…"/>
    <hyperlink ref="AI37" location="'09'!B342:G360" display="SEPT…"/>
    <hyperlink ref="AI35" location="'09'!B302:G320" display="SEPT…"/>
    <hyperlink ref="AI31" location="'09'!B222:G240" display="SEPT…"/>
    <hyperlink ref="AI29" location="'09'!B182:G200" display="SEPT…"/>
    <hyperlink ref="AI27" location="'09'!B142:G160" display="SEPT…"/>
    <hyperlink ref="AI25" location="'09'!B102:G120" display="SEPT…"/>
    <hyperlink ref="AI20" location="'09'!B2:G20" display="SEPT…"/>
    <hyperlink ref="AI21" location="'09'!B22:G40" display="SEPT…"/>
    <hyperlink ref="AI22" location="'09'!B42:G60" display="SEPT…"/>
    <hyperlink ref="AI33" location="'09'!B262:G280" display="SEPT…"/>
    <hyperlink ref="AI4:AL4" location="'09'!I2:L19" display="SEPTIEMBRE"/>
    <hyperlink ref="AM24" location="'10'!B82:G100" display="OCTUBRE"/>
    <hyperlink ref="AM23" location="'10'!B62:G80" display="OCTUBRE"/>
    <hyperlink ref="AM44" location="'10'!B482:G500" display="OCTUBRE"/>
    <hyperlink ref="AM45" location="'10'!B502:G520" display="OCTUBRE"/>
    <hyperlink ref="AM28" location="'10'!B162:G180" display="OCTUBRE"/>
    <hyperlink ref="AM36" location="'10'!B322:G340" display="OCTUBRE"/>
    <hyperlink ref="AM42" location="'10'!B442:G460" display="OCTUBRE"/>
    <hyperlink ref="AM40" location="'10'!B402:G420" display="OCTUBRE"/>
    <hyperlink ref="AM38" location="'10'!B362:G380" display="OCTUBRE"/>
    <hyperlink ref="AM34" location="'10'!B282:G300" display="OCTUBRE"/>
    <hyperlink ref="AM32" location="'10'!B242:G260" display="OCTUBRE"/>
    <hyperlink ref="AM30" location="'10'!B202:G220" display="OCTUBRE"/>
    <hyperlink ref="AM26" location="'10'!B122:G140" display="OCTUBRE"/>
    <hyperlink ref="AM43" location="'10'!B462:G480" display="OCTUBRE"/>
    <hyperlink ref="AM41" location="'10'!B422:G440" display="OCTUBRE"/>
    <hyperlink ref="AM39" location="'10'!B382:G400" display="OCTUBRE"/>
    <hyperlink ref="AM37" location="'10'!B342:G360" display="OCTUBRE"/>
    <hyperlink ref="AM35" location="'10'!B302:G320" display="OCTUBRE"/>
    <hyperlink ref="AM31" location="'10'!B222:G240" display="OCTUBRE"/>
    <hyperlink ref="AM29" location="'10'!B182:G200" display="OCTUBRE"/>
    <hyperlink ref="AM27" location="'10'!B142:G160" display="OCTUBRE"/>
    <hyperlink ref="AM25" location="'10'!B102:G120" display="OCTUBRE"/>
    <hyperlink ref="AM20" location="'10'!B2:G20" display="OCTUBRE"/>
    <hyperlink ref="AM21" location="'10'!B22:G40" display="OCTUBRE"/>
    <hyperlink ref="AM22" location="'10'!B42:G60" display="OCTUBRE"/>
    <hyperlink ref="AM33" location="'10'!B262:G280" display="OCTUBRE"/>
    <hyperlink ref="AM4:AP4" location="'10'!I2:L19" display="OCTUBRE"/>
    <hyperlink ref="AQ20" location="'11'!B2:G20" display="NOV…"/>
    <hyperlink ref="AQ4:AT4" location="'11'!I2:L19" display="NOVIEMBRE"/>
    <hyperlink ref="W24" location="'06'!B82:G100" display="JUNIO"/>
    <hyperlink ref="W23" location="'06'!B62:G80" display="JUNIO"/>
    <hyperlink ref="W44" location="'06'!B482:G500" display="JUNIO"/>
    <hyperlink ref="W45" location="'06'!B502:G520" display="JUNIO"/>
    <hyperlink ref="W28" location="'06'!B162:G180" display="JUNIO"/>
    <hyperlink ref="W36" location="'06'!B322:G340" display="JUNIO"/>
    <hyperlink ref="W42" location="'06'!B442:G460" display="JUNIO"/>
    <hyperlink ref="W40" location="'06'!B402:G420" display="JUNIO"/>
    <hyperlink ref="W38" location="'06'!B362:G380" display="JUNIO"/>
    <hyperlink ref="W34" location="'06'!B282:G300" display="JUNIO"/>
    <hyperlink ref="W32" location="'06'!B242:G260" display="JUNIO"/>
    <hyperlink ref="W30" location="'06'!B202:G220" display="JUNIO"/>
    <hyperlink ref="W26" location="'06'!B122:G140" display="JUNIO"/>
    <hyperlink ref="W43" location="'06'!B462:G480" display="JUNIO"/>
    <hyperlink ref="W41" location="'06'!B422:G440" display="JUNIO"/>
    <hyperlink ref="W39" location="'06'!B382:G400" display="JUNIO"/>
    <hyperlink ref="W37" location="'06'!B342:G360" display="JUNIO"/>
    <hyperlink ref="W35" location="'06'!B302:G320" display="JUNIO"/>
    <hyperlink ref="W31" location="'06'!B222:G240" display="JUNIO"/>
    <hyperlink ref="W29" location="'06'!B182:G200" display="JUNIO"/>
    <hyperlink ref="W27" location="'06'!B142:G160" display="JUNIO"/>
    <hyperlink ref="W25" location="'06'!B102:G120" display="JUNIO"/>
    <hyperlink ref="W20" location="'06'!B2:G20" display="JUNIO"/>
    <hyperlink ref="W21" location="'06'!B22:G40" display="JUNIO"/>
    <hyperlink ref="W22" location="'06'!B42:G60" display="JUNIO"/>
    <hyperlink ref="W33" location="'06'!B262:G280" display="JUNIO"/>
    <hyperlink ref="AQ21" location="'11'!B22:G40" display="NOV…"/>
    <hyperlink ref="AQ24" location="'11'!B82:G100" display="NOV…"/>
    <hyperlink ref="AQ23" location="'11'!B62:G80" display="NOV…"/>
    <hyperlink ref="AQ44" location="'11'!B482:G500" display="NOV…"/>
    <hyperlink ref="AQ45" location="'11'!B502:G520" display="NOV…"/>
    <hyperlink ref="AQ28" location="'11'!B162:G180" display="NOV…"/>
    <hyperlink ref="AQ36" location="'11'!B322:G340" display="NOV…"/>
    <hyperlink ref="AQ42" location="'11'!B442:G460" display="NOV…"/>
    <hyperlink ref="AQ40" location="'11'!B402:G420" display="NOV…"/>
    <hyperlink ref="AQ38" location="'11'!B362:G380" display="NOV…"/>
    <hyperlink ref="AQ34" location="'11'!B282:G300" display="NOV…"/>
    <hyperlink ref="AQ32" location="'11'!B242:G260" display="NOV…"/>
    <hyperlink ref="AQ30" location="'11'!B202:G220" display="NOV…"/>
    <hyperlink ref="AQ26" location="'11'!B122:G140" display="NOV…"/>
    <hyperlink ref="AQ43" location="'11'!B462:G480" display="NOV…"/>
    <hyperlink ref="AQ41" location="'11'!B422:G440" display="NOV…"/>
    <hyperlink ref="AQ39" location="'11'!B382:G400" display="NOV…"/>
    <hyperlink ref="AQ37" location="'11'!B342:G360" display="NOV…"/>
    <hyperlink ref="AQ35" location="'11'!B302:G320" display="NOV…"/>
    <hyperlink ref="AQ31" location="'11'!B222:G240" display="NOV…"/>
    <hyperlink ref="AQ29" location="'11'!B182:G200" display="NOV…"/>
    <hyperlink ref="AQ27" location="'11'!B142:G160" display="NOV…"/>
    <hyperlink ref="AQ25" location="'11'!B102:G120" display="NOV…"/>
    <hyperlink ref="AQ22" location="'11'!B42:G60" display="NOV…"/>
    <hyperlink ref="AQ33" location="'11'!B262:G280" display="NOV…"/>
    <hyperlink ref="AU24" location="'12'!B82:G100" display="DICIEMBRE"/>
    <hyperlink ref="AU23" location="'12'!B62:G80" display="DICIEMBRE"/>
    <hyperlink ref="AU44" location="'12'!B482:G500" display="DICIEMBRE"/>
    <hyperlink ref="AU45" location="'12'!B502:G520" display="DICIEMBRE"/>
    <hyperlink ref="AU28" location="'12'!B162:G180" display="DICIEMBRE"/>
    <hyperlink ref="AU36" location="'12'!B322:G340" display="DICIEMBRE"/>
    <hyperlink ref="AU42" location="'12'!B442:G460" display="DICIEMBRE"/>
    <hyperlink ref="AU40" location="'12'!B402:G420" display="DICIEMBRE"/>
    <hyperlink ref="AU38" location="'12'!B362:G380" display="DICIEMBRE"/>
    <hyperlink ref="AU34" location="'12'!B282:G300" display="DICIEMBRE"/>
    <hyperlink ref="AU32" location="'12'!B242:G260" display="DICIEMBRE"/>
    <hyperlink ref="AU30" location="'12'!B202:G220" display="DICIEMBRE"/>
    <hyperlink ref="AU26" location="'12'!B122:G140" display="DICIEMBRE"/>
    <hyperlink ref="AU43" location="'12'!B462:G480" display="DICIEMBRE"/>
    <hyperlink ref="AU41" location="'12'!B422:G440" display="DICIEMBRE"/>
    <hyperlink ref="AU39" location="'12'!B382:G400" display="DICIEMBRE"/>
    <hyperlink ref="AU37" location="'12'!B342:G360" display="DICIEMBRE"/>
    <hyperlink ref="AU35" location="'12'!B302:G320" display="DICIEMBRE"/>
    <hyperlink ref="AU31" location="'12'!B222:G240" display="DICIEMBRE"/>
    <hyperlink ref="AU29" location="'12'!B182:G200" display="DICIEMBRE"/>
    <hyperlink ref="AU27" location="'12'!B142:G160" display="DICIEMBRE"/>
    <hyperlink ref="AU25" location="'12'!B102:G120" display="DICIEMBRE"/>
    <hyperlink ref="AU20" location="'12'!B2:G20" display="DICIEMBRE"/>
    <hyperlink ref="AU21" location="'12'!B22:G40" display="DICIEMBRE"/>
    <hyperlink ref="AU22" location="'12'!B42:G60" display="DICIEMBRE"/>
    <hyperlink ref="AU33" location="'12'!B262:G280" display="DICIEMBRE"/>
    <hyperlink ref="AU4:AX4" location="'12'!I2:L19" display="DICIEMBRE"/>
    <hyperlink ref="S22" location="'05'!B42:G60" display="ABRIL"/>
    <hyperlink ref="S21" location="'05'!B22:G40" display="ABRIL"/>
    <hyperlink ref="S20" location="'05'!B2:G20" display="ABRIL"/>
    <hyperlink ref="C7:F7" location="'01'!I22:L69" display="INGRESADO"/>
    <hyperlink ref="G7:J7" location="'02'!I22:L69" display="INGRESADO"/>
    <hyperlink ref="K7:N7" location="'03'!I22:L69" display="INGRESADO"/>
    <hyperlink ref="O7:R7" location="'04'!I22:L69" display="INGRESADO"/>
    <hyperlink ref="S7:V7" location="'05'!I22:L69" display="INGRESADO"/>
    <hyperlink ref="W7:Z7" location="'06'!I22:L69" display="INGRESADO"/>
    <hyperlink ref="AA7:AD7" location="'07'!I22:L69" display="INGRESADO"/>
    <hyperlink ref="AE7:AH7" location="'08'!I22:L69" display="INGRESADO"/>
    <hyperlink ref="AI7:AL7" location="'09'!I22:L69" display="INGRESADO"/>
    <hyperlink ref="AM7:AP7" location="'10'!I22:L69" display="INGRESADO"/>
    <hyperlink ref="AQ7:AT7" location="'11'!I22:L69" display="INGRESADO"/>
    <hyperlink ref="AU7:AX7" location="'12'!I22:L69" display="INGRESADO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6" workbookViewId="0">
      <selection activeCell="I22" sqref="I22:L23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3839.35</v>
      </c>
      <c r="L5" s="431"/>
      <c r="M5" s="1"/>
      <c r="N5" s="1"/>
      <c r="R5" s="3"/>
    </row>
    <row r="6" spans="1:22" ht="15.6">
      <c r="A6" s="112">
        <f>'08'!A6+(B6-SUM(D6:F6))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620.12</v>
      </c>
      <c r="L6" s="415"/>
      <c r="M6" s="1" t="s">
        <v>165</v>
      </c>
      <c r="N6" s="1"/>
      <c r="R6" s="3"/>
    </row>
    <row r="7" spans="1:22" ht="15.6">
      <c r="A7" s="112">
        <f>'08'!A7+(B7-SUM(D7:F7))</f>
        <v>304.39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7236.18</v>
      </c>
      <c r="L7" s="415"/>
      <c r="M7" s="1"/>
      <c r="N7" s="1"/>
      <c r="R7" s="3"/>
    </row>
    <row r="8" spans="1:22" ht="15.6">
      <c r="A8" s="112">
        <f>'08'!A8+(B8-SUM(D8:F8))</f>
        <v>0</v>
      </c>
      <c r="B8" s="134">
        <v>103.67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6">
      <c r="A9" s="112">
        <f>'08'!A9+(B9-SUM(D9:F9))</f>
        <v>0</v>
      </c>
      <c r="B9" s="134">
        <v>22.59</v>
      </c>
      <c r="C9" s="16" t="s">
        <v>37</v>
      </c>
      <c r="D9" s="137"/>
      <c r="E9" s="138">
        <v>22.59</v>
      </c>
      <c r="F9" s="138"/>
      <c r="G9" s="16" t="s">
        <v>37</v>
      </c>
      <c r="H9" s="112"/>
      <c r="I9" s="108" t="s">
        <v>63</v>
      </c>
      <c r="J9" s="107" t="s">
        <v>157</v>
      </c>
      <c r="K9" s="414">
        <v>163.63</v>
      </c>
      <c r="L9" s="415"/>
      <c r="M9" s="1"/>
      <c r="N9" s="1"/>
      <c r="R9" s="3"/>
    </row>
    <row r="10" spans="1:22" ht="15.6">
      <c r="A10" s="112">
        <f>'08'!A10+(B10-SUM(D10:F10))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'08'!A11+(B11-SUM(D11:F11))</f>
        <v>-9.9999999999980105E-3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105+50</f>
        <v>155</v>
      </c>
      <c r="L11" s="415"/>
      <c r="M11" s="1"/>
      <c r="N11" s="1"/>
      <c r="R11" s="3"/>
    </row>
    <row r="12" spans="1:22" ht="15.6">
      <c r="A12" s="112">
        <f>'08'!A12+(B12-SUM(D12:F12))</f>
        <v>263.04000000000002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6">
      <c r="A13" s="112">
        <f>'08'!A13+(B13-SUM(D13:F13))</f>
        <v>44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29258.260000000002</v>
      </c>
      <c r="L19" s="440"/>
      <c r="M19" s="1"/>
      <c r="N19" s="1"/>
      <c r="R19" s="3"/>
    </row>
    <row r="20" spans="1:18" ht="16.2" thickBot="1">
      <c r="A20" s="112">
        <f>SUM(A6:A15)</f>
        <v>629.42000000000007</v>
      </c>
      <c r="B20" s="135">
        <f>SUM(B6:B19)</f>
        <v>670.26</v>
      </c>
      <c r="C20" s="17" t="s">
        <v>53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18319.900000000001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2573.7399999999998</v>
      </c>
      <c r="M25" s="1"/>
      <c r="R25" s="3"/>
    </row>
    <row r="26" spans="1:18" ht="15.6">
      <c r="A26" s="112">
        <f>'08'!A26+(B26-SUM(D26:F26))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'08'!A27+(B27-SUM(D27:F27))</f>
        <v>42.059999999999945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'08'!A29+(B29-SUM(D29:F29))</f>
        <v>1.6300000000000061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327</v>
      </c>
      <c r="K30" s="423"/>
      <c r="L30" s="231">
        <v>291.60000000000002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 t="s">
        <v>799</v>
      </c>
      <c r="K35" s="423"/>
      <c r="L35" s="231">
        <v>48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>
        <v>119.95</v>
      </c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364.07999999999993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789</v>
      </c>
      <c r="K45" s="423"/>
      <c r="L45" s="231">
        <v>100</v>
      </c>
      <c r="M45" s="1"/>
      <c r="R45" s="3"/>
    </row>
    <row r="46" spans="1:18" ht="15.6">
      <c r="A46" s="1"/>
      <c r="B46" s="133">
        <v>300</v>
      </c>
      <c r="C46" s="19"/>
      <c r="D46" s="137">
        <v>85.2</v>
      </c>
      <c r="E46" s="138"/>
      <c r="F46" s="138"/>
      <c r="G46" s="30" t="s">
        <v>795</v>
      </c>
      <c r="H46" s="1"/>
      <c r="I46" s="420"/>
      <c r="J46" s="424" t="s">
        <v>831</v>
      </c>
      <c r="K46" s="425"/>
      <c r="L46" s="229">
        <v>100</v>
      </c>
      <c r="M46" s="1"/>
      <c r="R46" s="3"/>
    </row>
    <row r="47" spans="1:18" ht="15.6">
      <c r="A47" s="1"/>
      <c r="B47" s="134"/>
      <c r="C47" s="16" t="s">
        <v>78</v>
      </c>
      <c r="D47" s="137">
        <v>8.68</v>
      </c>
      <c r="E47" s="138"/>
      <c r="F47" s="138"/>
      <c r="G47" s="16" t="s">
        <v>800</v>
      </c>
      <c r="H47" s="1"/>
      <c r="I47" s="420"/>
      <c r="J47" s="424"/>
      <c r="K47" s="425"/>
      <c r="L47" s="229"/>
      <c r="M47" s="1"/>
      <c r="R47" s="3"/>
    </row>
    <row r="48" spans="1:18" ht="15.6">
      <c r="A48" s="1"/>
      <c r="B48" s="134"/>
      <c r="C48" s="16" t="s">
        <v>786</v>
      </c>
      <c r="D48" s="137">
        <v>67.47</v>
      </c>
      <c r="E48" s="138"/>
      <c r="F48" s="138"/>
      <c r="G48" s="16" t="s">
        <v>804</v>
      </c>
      <c r="H48" s="1">
        <f>21*8</f>
        <v>168</v>
      </c>
      <c r="I48" s="420"/>
      <c r="J48" s="424"/>
      <c r="K48" s="425"/>
      <c r="L48" s="229"/>
      <c r="M48" s="1"/>
      <c r="R48" s="3"/>
    </row>
    <row r="49" spans="1:18" ht="15.6">
      <c r="A49" s="1"/>
      <c r="B49" s="134"/>
      <c r="C49" s="16"/>
      <c r="D49" s="137">
        <v>25</v>
      </c>
      <c r="E49" s="138"/>
      <c r="F49" s="138"/>
      <c r="G49" s="16" t="s">
        <v>805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806</v>
      </c>
      <c r="H50" s="1"/>
      <c r="I50" s="419" t="str">
        <f>AÑO!A13</f>
        <v>Gubernamental</v>
      </c>
      <c r="J50" s="422" t="s">
        <v>797</v>
      </c>
      <c r="K50" s="423"/>
      <c r="L50" s="231">
        <v>1072.33</v>
      </c>
      <c r="M50" s="112"/>
      <c r="R50" s="3"/>
    </row>
    <row r="51" spans="1:18" ht="15.6">
      <c r="A51" s="1"/>
      <c r="B51" s="134"/>
      <c r="C51" s="16"/>
      <c r="D51" s="137">
        <v>3.4</v>
      </c>
      <c r="E51" s="138"/>
      <c r="F51" s="138"/>
      <c r="G51" s="16" t="s">
        <v>814</v>
      </c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>
        <v>7.9</v>
      </c>
      <c r="E52" s="138"/>
      <c r="F52" s="138"/>
      <c r="G52" s="16" t="s">
        <v>815</v>
      </c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>
        <v>65.930000000000007</v>
      </c>
      <c r="E53" s="138"/>
      <c r="F53" s="138"/>
      <c r="G53" s="16" t="s">
        <v>823</v>
      </c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798</v>
      </c>
      <c r="K60" s="423"/>
      <c r="L60" s="231">
        <v>676.35</v>
      </c>
      <c r="M60" s="1">
        <f>550+103.67+22.59</f>
        <v>676.26</v>
      </c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12">
        <f>'08'!A66+(B66-SUM(D66:F78))</f>
        <v>27.880000000000059</v>
      </c>
      <c r="B66" s="133">
        <v>175</v>
      </c>
      <c r="C66" s="19" t="s">
        <v>33</v>
      </c>
      <c r="D66" s="137"/>
      <c r="E66" s="138"/>
      <c r="F66" s="138">
        <f>4+4+5</f>
        <v>13</v>
      </c>
      <c r="G66" s="19" t="s">
        <v>783</v>
      </c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/>
      <c r="C67" s="16"/>
      <c r="D67" s="137">
        <v>15</v>
      </c>
      <c r="E67" s="138"/>
      <c r="F67" s="138"/>
      <c r="G67" s="31" t="s">
        <v>784</v>
      </c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/>
      <c r="C68" s="16"/>
      <c r="D68" s="137"/>
      <c r="E68" s="138">
        <v>36.049999999999997</v>
      </c>
      <c r="F68" s="138"/>
      <c r="G68" s="16" t="s">
        <v>793</v>
      </c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>
        <v>24.3</v>
      </c>
      <c r="E69" s="138"/>
      <c r="F69" s="138"/>
      <c r="G69" s="16" t="s">
        <v>807</v>
      </c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>
        <v>31</v>
      </c>
      <c r="G70" s="16" t="s">
        <v>810</v>
      </c>
      <c r="H70" s="1"/>
      <c r="M70" s="1"/>
      <c r="R70" s="3"/>
    </row>
    <row r="71" spans="1:18" ht="15.6">
      <c r="A71" s="1"/>
      <c r="B71" s="134"/>
      <c r="C71" s="16"/>
      <c r="D71" s="137">
        <v>30.6</v>
      </c>
      <c r="E71" s="138"/>
      <c r="F71" s="138"/>
      <c r="G71" s="16" t="s">
        <v>822</v>
      </c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'08'!A79+(B79-SUM(D79:F79))</f>
        <v>82.05</v>
      </c>
      <c r="B79" s="233">
        <f>5+100</f>
        <v>105</v>
      </c>
      <c r="C79" s="17" t="s">
        <v>830</v>
      </c>
      <c r="D79" s="135">
        <v>122.95</v>
      </c>
      <c r="E79" s="139"/>
      <c r="F79" s="139"/>
      <c r="G79" s="17" t="s">
        <v>824</v>
      </c>
      <c r="H79" s="1"/>
      <c r="M79" s="1"/>
      <c r="R79" s="3"/>
    </row>
    <row r="80" spans="1:18" ht="16.2" thickBot="1">
      <c r="A80" s="112">
        <f>SUM(A66:A79)</f>
        <v>109.93000000000006</v>
      </c>
      <c r="B80" s="233">
        <f>SUM(B66:B79)</f>
        <v>280</v>
      </c>
      <c r="C80" s="17" t="s">
        <v>53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150</v>
      </c>
      <c r="C86" s="19" t="s">
        <v>201</v>
      </c>
      <c r="D86" s="137">
        <v>51.07</v>
      </c>
      <c r="E86" s="138"/>
      <c r="F86" s="138"/>
      <c r="G86" s="16" t="s">
        <v>794</v>
      </c>
      <c r="H86" s="1"/>
      <c r="M86" s="1"/>
      <c r="R86" s="3"/>
    </row>
    <row r="87" spans="1:18" ht="15.6">
      <c r="A87" s="1"/>
      <c r="B87" s="134"/>
      <c r="C87" s="16"/>
      <c r="D87" s="137">
        <v>43.61</v>
      </c>
      <c r="E87" s="138"/>
      <c r="F87" s="138"/>
      <c r="G87" s="16" t="s">
        <v>801</v>
      </c>
      <c r="H87" s="1"/>
      <c r="M87" s="1"/>
      <c r="R87" s="3"/>
    </row>
    <row r="88" spans="1:18" ht="15.6">
      <c r="A88" s="1"/>
      <c r="B88" s="134"/>
      <c r="C88" s="16"/>
      <c r="D88" s="137">
        <v>59.98</v>
      </c>
      <c r="E88" s="138"/>
      <c r="F88" s="138"/>
      <c r="G88" s="16" t="s">
        <v>820</v>
      </c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150</v>
      </c>
      <c r="C100" s="17" t="s">
        <v>53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'08'!A106+(B106-SUM(D106:F106))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'08'!A107+(B107-SUM(D107:F107))</f>
        <v>2.2000000000000455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'08'!A109+(B109-SUM(D109:F109))</f>
        <v>3290.1800000000012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585.29999999999995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'08'!A126+(B126-SUM(D126:F126))</f>
        <v>15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'08'!A127+(B127-SUM(D127:F128))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D127+D128+'08'!I127</f>
        <v>140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'08'!A129+(B129-SUM(D129:F129))</f>
        <v>5.9999999999998721E-2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>
        <v>44</v>
      </c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/>
      <c r="E186" s="138">
        <f>55.89+95.49</f>
        <v>151.38</v>
      </c>
      <c r="F186" s="138"/>
      <c r="G186" s="16" t="s">
        <v>785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256.66000000000003</v>
      </c>
      <c r="C187" s="16" t="s">
        <v>214</v>
      </c>
      <c r="D187" s="137">
        <v>20.98</v>
      </c>
      <c r="E187" s="138"/>
      <c r="F187" s="138"/>
      <c r="G187" s="16" t="s">
        <v>790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>
        <v>89.02</v>
      </c>
      <c r="F188" s="138"/>
      <c r="G188" s="16" t="s">
        <v>812</v>
      </c>
      <c r="I188" s="1"/>
      <c r="J188" s="1"/>
      <c r="K188" s="1"/>
      <c r="L188" s="1"/>
    </row>
    <row r="189" spans="1:22" ht="15.6">
      <c r="B189" s="134"/>
      <c r="C189" s="16"/>
      <c r="D189" s="137">
        <v>32.94</v>
      </c>
      <c r="E189" s="138"/>
      <c r="F189" s="138"/>
      <c r="G189" s="16" t="s">
        <v>821</v>
      </c>
      <c r="H189" s="89">
        <f>9.99+8.99+6.99+3.99+7.99</f>
        <v>37.950000000000003</v>
      </c>
      <c r="I189" s="1" t="s">
        <v>819</v>
      </c>
      <c r="J189" s="1"/>
      <c r="K189" s="1"/>
      <c r="L189" s="1"/>
    </row>
    <row r="190" spans="1:22" ht="15.6">
      <c r="B190" s="134"/>
      <c r="C190" s="16"/>
      <c r="D190" s="137">
        <f>40.08-D288</f>
        <v>16.079999999999998</v>
      </c>
      <c r="E190" s="138"/>
      <c r="F190" s="138"/>
      <c r="G190" s="16" t="s">
        <v>825</v>
      </c>
      <c r="I190" s="1"/>
      <c r="J190" s="1"/>
      <c r="K190" s="1"/>
      <c r="L190" s="1"/>
    </row>
    <row r="191" spans="1:22" ht="15.6">
      <c r="B191" s="134"/>
      <c r="C191" s="16"/>
      <c r="D191" s="137">
        <v>12.09</v>
      </c>
      <c r="E191" s="138"/>
      <c r="F191" s="138"/>
      <c r="G191" s="16" t="s">
        <v>826</v>
      </c>
      <c r="I191" s="1"/>
      <c r="J191" s="1"/>
      <c r="K191" s="1"/>
      <c r="L191" s="1"/>
    </row>
    <row r="192" spans="1:22" ht="15.6">
      <c r="B192" s="134"/>
      <c r="C192" s="16"/>
      <c r="D192" s="137"/>
      <c r="E192" s="138">
        <f>33.98+86.92-E328-E249</f>
        <v>37.950000000000017</v>
      </c>
      <c r="F192" s="138"/>
      <c r="G192" s="16" t="s">
        <v>829</v>
      </c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326.66000000000003</v>
      </c>
      <c r="C200" s="17" t="s">
        <v>53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691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9" ht="15" thickBot="1">
      <c r="B241" s="5"/>
      <c r="C241" s="3"/>
      <c r="D241" s="5"/>
      <c r="E241" s="5"/>
    </row>
    <row r="242" spans="1:9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9" ht="15" customHeight="1" thickBot="1">
      <c r="B243" s="411"/>
      <c r="C243" s="412"/>
      <c r="D243" s="412"/>
      <c r="E243" s="412"/>
      <c r="F243" s="412"/>
      <c r="G243" s="413"/>
    </row>
    <row r="244" spans="1:9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9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401</v>
      </c>
      <c r="D246" s="137">
        <v>105.14</v>
      </c>
      <c r="E246" s="138"/>
      <c r="F246" s="138"/>
      <c r="G246" s="16" t="s">
        <v>787</v>
      </c>
    </row>
    <row r="247" spans="1:9" ht="15" customHeight="1">
      <c r="A247" s="112"/>
      <c r="B247" s="134">
        <v>343.08</v>
      </c>
      <c r="C247" s="16" t="s">
        <v>214</v>
      </c>
      <c r="D247" s="137">
        <v>203.92</v>
      </c>
      <c r="E247" s="138"/>
      <c r="F247" s="138"/>
      <c r="G247" s="16" t="s">
        <v>811</v>
      </c>
    </row>
    <row r="248" spans="1:9" ht="15.6">
      <c r="A248" s="112"/>
      <c r="B248" s="134"/>
      <c r="C248" s="16"/>
      <c r="D248" s="137">
        <v>48.05</v>
      </c>
      <c r="E248" s="138"/>
      <c r="F248" s="138"/>
      <c r="G248" s="16" t="s">
        <v>827</v>
      </c>
      <c r="H248" s="89">
        <f>33.98+1.99</f>
        <v>35.97</v>
      </c>
      <c r="I248" s="89" t="s">
        <v>819</v>
      </c>
    </row>
    <row r="249" spans="1:9" ht="15.6">
      <c r="A249" s="112"/>
      <c r="B249" s="134"/>
      <c r="C249" s="16"/>
      <c r="D249" s="137"/>
      <c r="E249" s="138">
        <v>35.97</v>
      </c>
      <c r="F249" s="138"/>
      <c r="G249" s="16" t="s">
        <v>829</v>
      </c>
    </row>
    <row r="250" spans="1:9" ht="15.6">
      <c r="A250" s="112"/>
      <c r="B250" s="134"/>
      <c r="C250" s="16"/>
      <c r="D250" s="137"/>
      <c r="E250" s="138"/>
      <c r="F250" s="138"/>
      <c r="G250" s="16"/>
    </row>
    <row r="251" spans="1:9" ht="15.6">
      <c r="A251" s="112"/>
      <c r="B251" s="134"/>
      <c r="C251" s="16"/>
      <c r="D251" s="137"/>
      <c r="E251" s="138"/>
      <c r="F251" s="138"/>
      <c r="G251" s="16"/>
    </row>
    <row r="252" spans="1:9" ht="15.6">
      <c r="A252" s="112"/>
      <c r="B252" s="134"/>
      <c r="C252" s="16"/>
      <c r="D252" s="137"/>
      <c r="E252" s="138"/>
      <c r="F252" s="138"/>
      <c r="G252" s="16"/>
    </row>
    <row r="253" spans="1:9" ht="15.6">
      <c r="A253" s="112"/>
      <c r="B253" s="134"/>
      <c r="C253" s="16"/>
      <c r="D253" s="137"/>
      <c r="E253" s="138"/>
      <c r="F253" s="138"/>
      <c r="G253" s="16"/>
    </row>
    <row r="254" spans="1:9" ht="15.6">
      <c r="A254" s="112"/>
      <c r="B254" s="134"/>
      <c r="C254" s="16"/>
      <c r="D254" s="137"/>
      <c r="E254" s="138"/>
      <c r="F254" s="138"/>
      <c r="G254" s="16"/>
    </row>
    <row r="255" spans="1:9" ht="15.6">
      <c r="A255" s="112"/>
      <c r="B255" s="134"/>
      <c r="C255" s="16"/>
      <c r="D255" s="137"/>
      <c r="E255" s="138"/>
      <c r="F255" s="138"/>
      <c r="G255" s="16"/>
    </row>
    <row r="256" spans="1:9" ht="15.6">
      <c r="A256" s="112">
        <f>'08'!A256+(B256-SUM(D256:F256))</f>
        <v>40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6">
      <c r="A257" s="112">
        <f>'08'!A257+(B257-SUM(D257:F257))</f>
        <v>444.78000000000009</v>
      </c>
      <c r="B257" s="134">
        <v>40</v>
      </c>
      <c r="C257" s="16" t="s">
        <v>735</v>
      </c>
      <c r="D257" s="137"/>
      <c r="E257" s="138">
        <f>100.67+100.67</f>
        <v>201.34</v>
      </c>
      <c r="F257" s="138"/>
      <c r="G257" s="16" t="s">
        <v>404</v>
      </c>
      <c r="H257" s="89">
        <f>1208-(100.67*4)</f>
        <v>805.31999999999994</v>
      </c>
    </row>
    <row r="258" spans="1:8" ht="15.6">
      <c r="A258" s="112"/>
      <c r="B258" s="134"/>
      <c r="C258" s="16"/>
      <c r="D258" s="137"/>
      <c r="E258" s="138"/>
      <c r="F258" s="138"/>
      <c r="G258" s="16"/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484.78000000000009</v>
      </c>
      <c r="B260" s="135">
        <f>SUM(B246:B259)</f>
        <v>438.08</v>
      </c>
      <c r="C260" s="17" t="s">
        <v>53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782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" thickBot="1">
      <c r="B279" s="135"/>
      <c r="C279" s="17"/>
      <c r="D279" s="135"/>
      <c r="E279" s="139"/>
      <c r="F279" s="139"/>
      <c r="G279" s="17"/>
    </row>
    <row r="280" spans="1:8" ht="15" thickBot="1">
      <c r="B280" s="135">
        <f>SUM(B266:B279)</f>
        <v>60</v>
      </c>
      <c r="C280" s="17" t="s">
        <v>53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" thickBot="1">
      <c r="B281" s="5"/>
      <c r="C281" s="3"/>
      <c r="D281" s="5"/>
      <c r="E281" s="5"/>
    </row>
    <row r="282" spans="1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6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6">
      <c r="A286" s="112">
        <f>'08'!A286+(SUM(B286:B298)-SUM(D286:F298))</f>
        <v>24.359999999999808</v>
      </c>
      <c r="B286" s="133">
        <v>50</v>
      </c>
      <c r="C286" s="19" t="s">
        <v>33</v>
      </c>
      <c r="D286" s="137"/>
      <c r="E286" s="138">
        <v>44</v>
      </c>
      <c r="F286" s="138"/>
      <c r="G286" s="16" t="s">
        <v>690</v>
      </c>
      <c r="H286" s="113"/>
    </row>
    <row r="287" spans="1:8" ht="15.6">
      <c r="A287" s="112"/>
      <c r="B287" s="134"/>
      <c r="C287" s="16"/>
      <c r="D287" s="137"/>
      <c r="E287" s="138"/>
      <c r="F287" s="138">
        <v>3</v>
      </c>
      <c r="G287" s="16" t="s">
        <v>809</v>
      </c>
      <c r="H287" s="92"/>
    </row>
    <row r="288" spans="1:8" ht="15.6">
      <c r="A288" s="112"/>
      <c r="B288" s="134"/>
      <c r="C288" s="16"/>
      <c r="D288" s="137">
        <v>24</v>
      </c>
      <c r="E288" s="138"/>
      <c r="F288" s="138"/>
      <c r="G288" s="16" t="s">
        <v>828</v>
      </c>
    </row>
    <row r="289" spans="1:8" ht="15.6">
      <c r="A289" s="112"/>
      <c r="B289" s="134"/>
      <c r="C289" s="16"/>
      <c r="D289" s="137"/>
      <c r="E289" s="138"/>
      <c r="F289" s="138"/>
      <c r="G289" s="16"/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6.2" thickBot="1">
      <c r="A299" s="112">
        <f>'08'!A299+(B299-SUM(D299:F299))</f>
        <v>60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2" thickBot="1">
      <c r="A300" s="112">
        <f>SUM(A286:A299)</f>
        <v>84.359999999999815</v>
      </c>
      <c r="B300" s="135">
        <f>SUM(B286:B299)</f>
        <v>90</v>
      </c>
      <c r="C300" s="17" t="s">
        <v>53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53</v>
      </c>
    </row>
    <row r="301" spans="1:8" ht="15" thickBot="1">
      <c r="B301" s="5"/>
      <c r="C301" s="3"/>
      <c r="D301" s="5"/>
      <c r="E301" s="5"/>
    </row>
    <row r="302" spans="1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>
        <v>60</v>
      </c>
      <c r="G306" s="16" t="s">
        <v>802</v>
      </c>
    </row>
    <row r="307" spans="2:7">
      <c r="B307" s="134"/>
      <c r="C307" s="27"/>
      <c r="D307" s="137">
        <v>35.96</v>
      </c>
      <c r="E307" s="138"/>
      <c r="F307" s="138"/>
      <c r="G307" s="16" t="s">
        <v>803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808</v>
      </c>
    </row>
    <row r="309" spans="2:7">
      <c r="B309" s="134"/>
      <c r="C309" s="16"/>
      <c r="D309" s="137"/>
      <c r="E309" s="138"/>
      <c r="F309" s="138">
        <v>60</v>
      </c>
      <c r="G309" s="16" t="s">
        <v>832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130</v>
      </c>
      <c r="C320" s="17" t="s">
        <v>53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53</v>
      </c>
    </row>
    <row r="321" spans="2:9" ht="15" thickBot="1"/>
    <row r="322" spans="2:9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9" ht="15" customHeight="1" thickBot="1">
      <c r="B323" s="405"/>
      <c r="C323" s="406"/>
      <c r="D323" s="406"/>
      <c r="E323" s="406"/>
      <c r="F323" s="406"/>
      <c r="G323" s="407"/>
    </row>
    <row r="324" spans="2:9">
      <c r="B324" s="400" t="s">
        <v>8</v>
      </c>
      <c r="C324" s="401"/>
      <c r="D324" s="400" t="s">
        <v>9</v>
      </c>
      <c r="E324" s="408"/>
      <c r="F324" s="408"/>
      <c r="G324" s="401"/>
    </row>
    <row r="325" spans="2:9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788</v>
      </c>
    </row>
    <row r="327" spans="2:9">
      <c r="B327" s="134">
        <v>100</v>
      </c>
      <c r="C327" s="16" t="s">
        <v>789</v>
      </c>
      <c r="D327" s="137">
        <v>15</v>
      </c>
      <c r="E327" s="138"/>
      <c r="F327" s="138"/>
      <c r="G327" s="16" t="s">
        <v>816</v>
      </c>
    </row>
    <row r="328" spans="2:9">
      <c r="B328" s="134">
        <v>155.97</v>
      </c>
      <c r="C328" s="16" t="s">
        <v>214</v>
      </c>
      <c r="D328" s="137"/>
      <c r="E328" s="138">
        <v>46.98</v>
      </c>
      <c r="F328" s="138"/>
      <c r="G328" s="16" t="s">
        <v>829</v>
      </c>
      <c r="H328" s="89">
        <f>9.99+34.99+2</f>
        <v>46.980000000000004</v>
      </c>
      <c r="I328" s="89" t="s">
        <v>819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345.97</v>
      </c>
      <c r="C340" s="17" t="s">
        <v>53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'08'!A346+(B346-SUM(D346:F357))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'08'!A358+(B358-SUM(D358:F358))</f>
        <v>70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2" thickBot="1">
      <c r="A359" s="112">
        <f>'08'!A359+(B359-SUM(D359:F359))</f>
        <v>20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2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3+3.5+4.5+4.5+4.5+3.5+4+4.7+2.8+4.5+3.5</f>
        <v>43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791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50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AÑO!AI17</f>
        <v>4981.9699999999993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0</v>
      </c>
      <c r="C426" s="19" t="s">
        <v>233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'08'!A466+(B466-SUM(D466:F466))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'08'!A467+(B467-SUM(D467:F467))</f>
        <v>25.230000000000018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6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5</v>
      </c>
      <c r="G506" s="16" t="s">
        <v>813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AI4:AL5" display="SALDO REAL"/>
    <hyperlink ref="I22" location="Trimestre!C39:F40" display="TELÉFONO"/>
    <hyperlink ref="I22:L23" location="AÑO!AI7:AL17" display="INGRESOS"/>
    <hyperlink ref="B2" location="Trimestre!C25:F26" display="HIPOTECA"/>
    <hyperlink ref="B2:G3" location="AÑO!AI20:AL20" display="AÑO!AI20:AL20"/>
    <hyperlink ref="B22" location="Trimestre!C25:F26" display="HIPOTECA"/>
    <hyperlink ref="B22:G23" location="AÑO!AI21:AL21" display="AÑO!AI21:AL21"/>
    <hyperlink ref="B42" location="Trimestre!C25:F26" display="HIPOTECA"/>
    <hyperlink ref="B42:G43" location="AÑO!AI22:AL22" display="AÑO!AI22:AL22"/>
    <hyperlink ref="B62" location="Trimestre!C25:F26" display="HIPOTECA"/>
    <hyperlink ref="B62:G63" location="AÑO!AI23:AL23" display="AÑO!AI23:AL23"/>
    <hyperlink ref="B82" location="Trimestre!C25:F26" display="HIPOTECA"/>
    <hyperlink ref="B82:G83" location="AÑO!AI24:AL24" display="AÑO!AI24:AL24"/>
    <hyperlink ref="B102" location="Trimestre!C25:F26" display="HIPOTECA"/>
    <hyperlink ref="B102:G103" location="AÑO!AI25:AL25" display="AÑO!AI25:AL25"/>
    <hyperlink ref="B122" location="Trimestre!C25:F26" display="HIPOTECA"/>
    <hyperlink ref="B122:G123" location="AÑO!AI26:AL26" display="AÑO!AI26:AL26"/>
    <hyperlink ref="B142" location="Trimestre!C25:F26" display="HIPOTECA"/>
    <hyperlink ref="B142:G143" location="AÑO!AI27:AL27" display="AÑO!AI27:AL27"/>
    <hyperlink ref="B162" location="Trimestre!C25:F26" display="HIPOTECA"/>
    <hyperlink ref="B162:G163" location="AÑO!AI28:AL28" display="AÑO!AI28:AL28"/>
    <hyperlink ref="B182" location="Trimestre!C25:F26" display="HIPOTECA"/>
    <hyperlink ref="B182:G183" location="AÑO!AI29:AL29" display="AÑO!AI29:AL29"/>
    <hyperlink ref="B202" location="Trimestre!C25:F26" display="HIPOTECA"/>
    <hyperlink ref="B202:G203" location="AÑO!AI30:AL30" display="AÑO!AI30:AL30"/>
    <hyperlink ref="B222" location="Trimestre!C25:F26" display="HIPOTECA"/>
    <hyperlink ref="B222:G223" location="AÑO!AI31:AL31" display="AÑO!AI31:AL31"/>
    <hyperlink ref="B242" location="Trimestre!C25:F26" display="HIPOTECA"/>
    <hyperlink ref="B242:G243" location="AÑO!AI32:AL32" display="AÑO!AI32:AL32"/>
    <hyperlink ref="B262" location="Trimestre!C25:F26" display="HIPOTECA"/>
    <hyperlink ref="B262:G263" location="AÑO!AI33:AL33" display="AÑO!AI33:AL33"/>
    <hyperlink ref="B282" location="Trimestre!C25:F26" display="HIPOTECA"/>
    <hyperlink ref="B282:G283" location="AÑO!AI34:AL34" display="AÑO!AI34:AL34"/>
    <hyperlink ref="B302" location="Trimestre!C25:F26" display="HIPOTECA"/>
    <hyperlink ref="B302:G303" location="AÑO!AI35:AL35" display="AÑO!AI35:AL35"/>
    <hyperlink ref="B322" location="Trimestre!C25:F26" display="HIPOTECA"/>
    <hyperlink ref="B322:G323" location="AÑO!AI36:AL36" display="AÑO!AI36:AL36"/>
    <hyperlink ref="B342" location="Trimestre!C25:F26" display="HIPOTECA"/>
    <hyperlink ref="B342:G343" location="AÑO!AI37:AL37" display="AÑO!AI37:AL37"/>
    <hyperlink ref="B362" location="Trimestre!C25:F26" display="HIPOTECA"/>
    <hyperlink ref="B362:G363" location="AÑO!AI38:AL38" display="AÑO!AI38:AL38"/>
    <hyperlink ref="B382" location="Trimestre!C25:F26" display="HIPOTECA"/>
    <hyperlink ref="B382:G383" location="AÑO!AI39:AL39" display="AÑO!AI39:AL39"/>
    <hyperlink ref="B402" location="Trimestre!C25:F26" display="HIPOTECA"/>
    <hyperlink ref="B402:G403" location="AÑO!AI40:AL40" display="AÑO!AI40:AL40"/>
    <hyperlink ref="B422" location="Trimestre!C25:F26" display="HIPOTECA"/>
    <hyperlink ref="B422:G423" location="AÑO!AI41:AL41" display="AÑO!AI41:AL41"/>
    <hyperlink ref="B442" location="Trimestre!C25:F26" display="HIPOTECA"/>
    <hyperlink ref="B442:G443" location="AÑO!AI42:AL42" display="AÑO!AI42:AL42"/>
    <hyperlink ref="B462" location="Trimestre!C25:F26" display="HIPOTECA"/>
    <hyperlink ref="B462:G463" location="AÑO!AI43:AL43" display="AÑO!AI43:AL43"/>
    <hyperlink ref="B482" location="Trimestre!C25:F26" display="HIPOTECA"/>
    <hyperlink ref="B482:G483" location="AÑO!AI44:AL44" display="AÑO!AI44:AL44"/>
    <hyperlink ref="B502" location="Trimestre!C25:F26" display="HIPOTECA"/>
    <hyperlink ref="B502:G503" location="AÑO!AI45:AL45" display="AÑO!AI45:AL45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42" workbookViewId="0">
      <selection activeCell="L55" sqref="L55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2" style="89" bestFit="1" customWidth="1"/>
    <col min="10" max="10" width="31.33203125" style="89" customWidth="1"/>
    <col min="11" max="16384" width="11.44140625" style="89"/>
  </cols>
  <sheetData>
    <row r="1" spans="1:22" ht="16.2" thickBot="1">
      <c r="A1" s="112" t="s">
        <v>228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14">
        <v>3984.38</v>
      </c>
      <c r="L5" s="415"/>
      <c r="M5" s="1"/>
      <c r="N5" s="1"/>
      <c r="R5" s="3"/>
    </row>
    <row r="6" spans="1:22" ht="15.6">
      <c r="A6" s="112">
        <f>'09'!A6+(B6-SUM(D6:F6))</f>
        <v>6</v>
      </c>
      <c r="B6" s="133">
        <v>389.26</v>
      </c>
      <c r="C6" s="19" t="s">
        <v>833</v>
      </c>
      <c r="D6" s="137"/>
      <c r="E6" s="138">
        <v>389.26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620.12</v>
      </c>
      <c r="L6" s="415"/>
      <c r="M6" s="1" t="s">
        <v>165</v>
      </c>
      <c r="N6" s="1"/>
      <c r="R6" s="3"/>
    </row>
    <row r="7" spans="1:22" ht="15.6">
      <c r="A7" s="112">
        <f>'09'!A7+(B7-SUM(D7:F7))</f>
        <v>371.57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8003.5599999999995</v>
      </c>
      <c r="L7" s="415"/>
      <c r="M7" s="1"/>
      <c r="N7" s="1"/>
      <c r="R7" s="3"/>
    </row>
    <row r="8" spans="1:22" ht="15.6">
      <c r="A8" s="112">
        <f>'09'!A8+(B8-SUM(D8:F8))</f>
        <v>-97.88</v>
      </c>
      <c r="B8" s="134">
        <v>0</v>
      </c>
      <c r="C8" s="16" t="s">
        <v>35</v>
      </c>
      <c r="D8" s="137"/>
      <c r="E8" s="113">
        <v>97.88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6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157.43</v>
      </c>
      <c r="L9" s="415"/>
      <c r="M9" s="1"/>
      <c r="N9" s="1"/>
      <c r="R9" s="3"/>
    </row>
    <row r="10" spans="1:22" ht="15.6">
      <c r="A10" s="112">
        <f>'09'!A10+(B10-SUM(D10:F10))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'09'!A11+(B11-SUM(D11:F11))</f>
        <v>-9.9999999999980105E-3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60+20</f>
        <v>80</v>
      </c>
      <c r="L11" s="415"/>
      <c r="M11" s="1"/>
      <c r="N11" s="1"/>
      <c r="R11" s="3"/>
    </row>
    <row r="12" spans="1:22" ht="15.6">
      <c r="A12" s="112">
        <f>'09'!A12+(B12-SUM(D12:F12))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6">
      <c r="A13" s="112">
        <f>'09'!A13+(B13-SUM(D13:F13))</f>
        <v>50.5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30089.47</v>
      </c>
      <c r="L19" s="440"/>
      <c r="M19" s="1"/>
      <c r="N19" s="1"/>
      <c r="R19" s="3"/>
    </row>
    <row r="20" spans="1:18" ht="16.2" thickBot="1">
      <c r="A20" s="112">
        <f>SUM(A6:A15)</f>
        <v>605.22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19151.11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/>
      <c r="K25" s="423"/>
      <c r="L25" s="231">
        <v>2617.69</v>
      </c>
      <c r="M25" s="1"/>
      <c r="R25" s="3"/>
    </row>
    <row r="26" spans="1:18" ht="15.6">
      <c r="A26" s="112">
        <f>'09'!A26+(B26-SUM(D26:F26))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'09'!A27+(B27-SUM(D27:F27))</f>
        <v>46.069999999999936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'09'!A28+(B28-SUM(D28:F28))</f>
        <v>69.920000000000016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'09'!A29+(B29-SUM(D29:F29))</f>
        <v>1.6800000000000068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>
        <v>374.86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625</v>
      </c>
      <c r="K31" s="425"/>
      <c r="L31" s="229">
        <v>30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860</v>
      </c>
      <c r="K32" s="425"/>
      <c r="L32" s="229">
        <f>10.59</f>
        <v>10.59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 t="s">
        <v>327</v>
      </c>
      <c r="K33" s="425"/>
      <c r="L33" s="229">
        <v>183.6</v>
      </c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303.94999999999993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423</v>
      </c>
      <c r="K40" s="423"/>
      <c r="L40" s="231">
        <v>0.89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60</v>
      </c>
      <c r="K41" s="425"/>
      <c r="L41" s="229">
        <v>0.02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 t="s">
        <v>863</v>
      </c>
      <c r="K42" s="425"/>
      <c r="L42" s="229">
        <v>52.06</v>
      </c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6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838</v>
      </c>
      <c r="H46" s="1"/>
      <c r="I46" s="420"/>
      <c r="J46" s="424"/>
      <c r="K46" s="425"/>
      <c r="L46" s="229"/>
      <c r="M46" s="1"/>
      <c r="R46" s="3"/>
    </row>
    <row r="47" spans="1:18" ht="15.6">
      <c r="A47" s="1"/>
      <c r="B47" s="134"/>
      <c r="C47" s="16"/>
      <c r="D47" s="137">
        <v>41.73</v>
      </c>
      <c r="E47" s="138"/>
      <c r="F47" s="138"/>
      <c r="G47" s="16" t="s">
        <v>841</v>
      </c>
      <c r="H47" s="1"/>
      <c r="I47" s="420"/>
      <c r="J47" s="424"/>
      <c r="K47" s="425"/>
      <c r="L47" s="229"/>
      <c r="M47" s="1"/>
      <c r="R47" s="3"/>
    </row>
    <row r="48" spans="1:18" ht="15.6">
      <c r="A48" s="1"/>
      <c r="B48" s="134"/>
      <c r="C48" s="16"/>
      <c r="D48" s="137">
        <v>6.18</v>
      </c>
      <c r="E48" s="138"/>
      <c r="F48" s="138"/>
      <c r="G48" s="16" t="s">
        <v>842</v>
      </c>
      <c r="H48" s="1"/>
      <c r="I48" s="420"/>
      <c r="J48" s="424"/>
      <c r="K48" s="425"/>
      <c r="L48" s="229"/>
      <c r="M48" s="1"/>
      <c r="R48" s="3"/>
    </row>
    <row r="49" spans="1:18" ht="15.6">
      <c r="A49" s="1"/>
      <c r="B49" s="134"/>
      <c r="C49" s="16"/>
      <c r="D49" s="137">
        <v>52.88</v>
      </c>
      <c r="E49" s="138"/>
      <c r="F49" s="138"/>
      <c r="G49" s="16" t="s">
        <v>849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856</v>
      </c>
      <c r="H50" s="1"/>
      <c r="I50" s="419" t="str">
        <f>AÑO!A13</f>
        <v>Gubernamental</v>
      </c>
      <c r="J50" s="422" t="s">
        <v>797</v>
      </c>
      <c r="K50" s="423"/>
      <c r="L50" s="231">
        <v>95.8</v>
      </c>
      <c r="M50" s="1"/>
      <c r="R50" s="3"/>
    </row>
    <row r="51" spans="1:18" ht="15.6">
      <c r="A51" s="1"/>
      <c r="B51" s="134"/>
      <c r="C51" s="16"/>
      <c r="D51" s="137">
        <v>3.34</v>
      </c>
      <c r="E51" s="138"/>
      <c r="F51" s="138"/>
      <c r="G51" s="16" t="s">
        <v>857</v>
      </c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>
        <v>40.39</v>
      </c>
      <c r="E52" s="138"/>
      <c r="F52" s="138"/>
      <c r="G52" s="16" t="s">
        <v>858</v>
      </c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>
        <v>9.61</v>
      </c>
      <c r="E53" s="138"/>
      <c r="F53" s="138"/>
      <c r="G53" s="16" t="s">
        <v>859</v>
      </c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>
        <v>16.88</v>
      </c>
      <c r="E54" s="138"/>
      <c r="F54" s="138"/>
      <c r="G54" s="16" t="s">
        <v>861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869</v>
      </c>
      <c r="H55" s="1"/>
      <c r="I55" s="419" t="str">
        <f>AÑO!A14</f>
        <v>Mutualite/DKV</v>
      </c>
      <c r="J55" s="422" t="s">
        <v>465</v>
      </c>
      <c r="K55" s="423"/>
      <c r="L55" s="231">
        <f>14.27+14.27+14.27+14.27</f>
        <v>57.08</v>
      </c>
      <c r="M55" s="1"/>
      <c r="R55" s="3"/>
    </row>
    <row r="56" spans="1:18" ht="15.6">
      <c r="A56" s="1"/>
      <c r="B56" s="134"/>
      <c r="C56" s="16"/>
      <c r="D56" s="137">
        <v>94.69</v>
      </c>
      <c r="E56" s="138"/>
      <c r="F56" s="138"/>
      <c r="G56" s="16" t="s">
        <v>870</v>
      </c>
      <c r="H56" s="1"/>
      <c r="I56" s="420"/>
      <c r="J56" s="424"/>
      <c r="K56" s="425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39</v>
      </c>
      <c r="K60" s="423"/>
      <c r="L60" s="231">
        <v>550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12">
        <f>'09'!A66+(B66-SUM(D66:F78))+B67</f>
        <v>82.730000000000047</v>
      </c>
      <c r="B66" s="133">
        <v>175</v>
      </c>
      <c r="C66" s="19" t="s">
        <v>33</v>
      </c>
      <c r="D66" s="137">
        <v>13.5</v>
      </c>
      <c r="E66" s="138"/>
      <c r="F66" s="138"/>
      <c r="G66" s="16" t="s">
        <v>840</v>
      </c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/>
      <c r="C67" s="16"/>
      <c r="D67" s="137">
        <v>42</v>
      </c>
      <c r="E67" s="138"/>
      <c r="F67" s="138"/>
      <c r="G67" s="31" t="s">
        <v>850</v>
      </c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/>
      <c r="C68" s="16"/>
      <c r="D68" s="137">
        <v>31</v>
      </c>
      <c r="E68" s="138"/>
      <c r="F68" s="138"/>
      <c r="G68" s="16" t="s">
        <v>855</v>
      </c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>
        <v>33.65</v>
      </c>
      <c r="E69" s="138"/>
      <c r="F69" s="138"/>
      <c r="G69" s="16" t="s">
        <v>888</v>
      </c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'09'!A79+(B79-SUM(D79:F79))</f>
        <v>43.819999999999993</v>
      </c>
      <c r="B79" s="233">
        <v>10</v>
      </c>
      <c r="C79" s="17" t="s">
        <v>236</v>
      </c>
      <c r="D79" s="135">
        <f>22.3+25.93</f>
        <v>48.230000000000004</v>
      </c>
      <c r="E79" s="139"/>
      <c r="F79" s="139"/>
      <c r="G79" s="17" t="s">
        <v>883</v>
      </c>
      <c r="H79" s="1"/>
      <c r="M79" s="1"/>
      <c r="R79" s="3"/>
    </row>
    <row r="80" spans="1:18" ht="16.2" thickBot="1">
      <c r="A80" s="112">
        <f>SUM(A66:A79)</f>
        <v>126.55000000000004</v>
      </c>
      <c r="B80" s="233">
        <f>SUM(B66:B79)</f>
        <v>185</v>
      </c>
      <c r="C80" s="17" t="s">
        <v>53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150</v>
      </c>
      <c r="C86" s="19" t="s">
        <v>201</v>
      </c>
      <c r="D86" s="137">
        <v>1</v>
      </c>
      <c r="E86" s="138"/>
      <c r="F86" s="138"/>
      <c r="G86" s="16" t="s">
        <v>837</v>
      </c>
      <c r="H86" s="1"/>
      <c r="M86" s="1"/>
      <c r="R86" s="3"/>
    </row>
    <row r="87" spans="1:18" ht="15.6">
      <c r="A87" s="1"/>
      <c r="B87" s="134"/>
      <c r="C87" s="16"/>
      <c r="D87" s="137">
        <v>48.95</v>
      </c>
      <c r="E87" s="138"/>
      <c r="F87" s="138"/>
      <c r="G87" s="16" t="s">
        <v>846</v>
      </c>
      <c r="H87" s="1"/>
      <c r="M87" s="1"/>
      <c r="R87" s="3"/>
    </row>
    <row r="88" spans="1:18" ht="15.6">
      <c r="A88" s="1"/>
      <c r="B88" s="134"/>
      <c r="C88" s="16"/>
      <c r="D88" s="137"/>
      <c r="E88" s="138">
        <v>2</v>
      </c>
      <c r="F88" s="138"/>
      <c r="G88" s="16" t="s">
        <v>848</v>
      </c>
      <c r="H88" s="1"/>
      <c r="M88" s="1"/>
      <c r="R88" s="3"/>
    </row>
    <row r="89" spans="1:18" ht="15.6">
      <c r="A89" s="1"/>
      <c r="B89" s="134"/>
      <c r="C89" s="16"/>
      <c r="D89" s="137">
        <v>49.91</v>
      </c>
      <c r="E89" s="138"/>
      <c r="F89" s="138"/>
      <c r="G89" s="16" t="s">
        <v>867</v>
      </c>
      <c r="H89" s="1"/>
      <c r="M89" s="1"/>
      <c r="R89" s="3"/>
    </row>
    <row r="90" spans="1:18" ht="15.6">
      <c r="A90" s="1"/>
      <c r="B90" s="134"/>
      <c r="C90" s="16"/>
      <c r="D90" s="137">
        <v>2</v>
      </c>
      <c r="E90" s="138"/>
      <c r="F90" s="138"/>
      <c r="G90" s="16" t="s">
        <v>868</v>
      </c>
      <c r="H90" s="1"/>
      <c r="M90" s="1"/>
      <c r="R90" s="3"/>
    </row>
    <row r="91" spans="1:18" ht="15.6">
      <c r="A91" s="1"/>
      <c r="B91" s="134"/>
      <c r="C91" s="16"/>
      <c r="D91" s="137">
        <v>49.91</v>
      </c>
      <c r="E91" s="138"/>
      <c r="F91" s="138"/>
      <c r="G91" s="16" t="s">
        <v>871</v>
      </c>
      <c r="H91" s="1"/>
      <c r="M91" s="1"/>
      <c r="R91" s="3"/>
    </row>
    <row r="92" spans="1:18" ht="15.6">
      <c r="A92" s="1"/>
      <c r="B92" s="134"/>
      <c r="C92" s="16"/>
      <c r="D92" s="137">
        <v>44.51</v>
      </c>
      <c r="E92" s="138"/>
      <c r="F92" s="138"/>
      <c r="G92" s="16" t="s">
        <v>892</v>
      </c>
      <c r="H92" s="1"/>
      <c r="M92" s="1"/>
      <c r="R92" s="3"/>
    </row>
    <row r="93" spans="1:18" ht="15.6">
      <c r="A93" s="1"/>
      <c r="B93" s="134"/>
      <c r="C93" s="16"/>
      <c r="D93" s="137"/>
      <c r="E93" s="138">
        <v>11.9</v>
      </c>
      <c r="F93" s="138"/>
      <c r="G93" s="16" t="s">
        <v>894</v>
      </c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150</v>
      </c>
      <c r="C100" s="17" t="s">
        <v>53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'09'!A106+(B106-SUM(D106:F106))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'09'!A107+(B107-SUM(D107:F107))</f>
        <v>2.2900000000000489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'09'!A109+(B109-SUM(D109:F109))+B110+B111</f>
        <v>3674.0415974244993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>
        <v>300</v>
      </c>
      <c r="C110" s="16" t="s">
        <v>411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>
        <v>3.8615974244978917</v>
      </c>
      <c r="C111" s="16" t="s">
        <v>863</v>
      </c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635.39</v>
      </c>
      <c r="B120" s="135">
        <f>SUM(B106:B119)</f>
        <v>761.33159742449789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'09'!A126+(B126-SUM(D126:F126))</f>
        <v>15</v>
      </c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'09'!A127+(B127-SUM(D127:F128))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D127+D128+'09'!I127</f>
        <v>150</v>
      </c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I128" s="113"/>
      <c r="M128" s="1"/>
      <c r="R128" s="3"/>
    </row>
    <row r="129" spans="1:18" ht="15.6">
      <c r="A129" s="112">
        <f>'09'!A129+(B129-SUM(D129:F129))</f>
        <v>6.9999999999998508E-2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A130" s="112">
        <f>'09'!A130+(B130-SUM(D130:F130))</f>
        <v>-62.5</v>
      </c>
      <c r="B130" s="134">
        <v>2.5</v>
      </c>
      <c r="C130" s="16" t="s">
        <v>886</v>
      </c>
      <c r="D130" s="137">
        <v>65</v>
      </c>
      <c r="E130" s="138"/>
      <c r="F130" s="138"/>
      <c r="G130" s="16" t="s">
        <v>887</v>
      </c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32.5</v>
      </c>
      <c r="B140" s="135">
        <f>SUM(B126:B139)</f>
        <v>53</v>
      </c>
      <c r="C140" s="17" t="s">
        <v>53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f>29.38+32.98-7.35-8.25</f>
        <v>46.76</v>
      </c>
      <c r="E146" s="138"/>
      <c r="F146" s="138"/>
      <c r="G146" s="16" t="s">
        <v>838</v>
      </c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f>38</f>
        <v>38</v>
      </c>
      <c r="E186" s="138"/>
      <c r="F186" s="138"/>
      <c r="G186" s="16" t="s">
        <v>843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>
        <v>37.46</v>
      </c>
      <c r="E187" s="138"/>
      <c r="F187" s="138"/>
      <c r="G187" s="16" t="s">
        <v>851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>
        <v>14.98</v>
      </c>
      <c r="E188" s="138"/>
      <c r="F188" s="138"/>
      <c r="G188" s="16" t="s">
        <v>854</v>
      </c>
      <c r="I188" s="1"/>
      <c r="J188" s="1"/>
      <c r="K188" s="1"/>
      <c r="L188" s="1"/>
    </row>
    <row r="189" spans="1:22" ht="15.6">
      <c r="B189" s="134"/>
      <c r="C189" s="16"/>
      <c r="D189" s="137">
        <v>28.95</v>
      </c>
      <c r="E189" s="138"/>
      <c r="F189" s="138"/>
      <c r="G189" s="16" t="s">
        <v>879</v>
      </c>
      <c r="I189" s="1"/>
      <c r="J189" s="1"/>
      <c r="K189" s="1"/>
      <c r="L189" s="1"/>
    </row>
    <row r="190" spans="1:22" ht="15.6">
      <c r="B190" s="134"/>
      <c r="C190" s="16"/>
      <c r="D190" s="137">
        <v>14.4</v>
      </c>
      <c r="E190" s="138"/>
      <c r="F190" s="138"/>
      <c r="G190" s="16" t="s">
        <v>880</v>
      </c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884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401</v>
      </c>
      <c r="D246" s="137">
        <f>2.99+15.99-2.4</f>
        <v>16.580000000000002</v>
      </c>
      <c r="E246" s="138"/>
      <c r="F246" s="138"/>
      <c r="G246" s="16" t="s">
        <v>838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859</v>
      </c>
    </row>
    <row r="248" spans="1:7" ht="15.6">
      <c r="A248" s="112"/>
      <c r="B248" s="134"/>
      <c r="C248" s="16"/>
      <c r="D248" s="137">
        <v>15.24</v>
      </c>
      <c r="E248" s="138"/>
      <c r="F248" s="138"/>
      <c r="G248" s="16" t="s">
        <v>866</v>
      </c>
    </row>
    <row r="249" spans="1:7" ht="15.6">
      <c r="A249" s="112"/>
      <c r="B249" s="134"/>
      <c r="C249" s="16"/>
      <c r="D249" s="137">
        <v>6.29</v>
      </c>
      <c r="E249" s="138"/>
      <c r="F249" s="138"/>
      <c r="G249" s="16" t="s">
        <v>881</v>
      </c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'09'!A256+(B256-SUM(D256:F256))</f>
        <v>45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9" ht="15.6">
      <c r="A257" s="112">
        <f>'09'!A257+(B257-SUM(D257:F257))</f>
        <v>384.11000000000007</v>
      </c>
      <c r="B257" s="134">
        <v>40</v>
      </c>
      <c r="C257" s="16" t="s">
        <v>796</v>
      </c>
      <c r="D257" s="137"/>
      <c r="E257" s="138">
        <v>100.67</v>
      </c>
      <c r="F257" s="138"/>
      <c r="G257" s="16" t="s">
        <v>404</v>
      </c>
      <c r="H257" s="89">
        <f>1208-(100.67*5)</f>
        <v>704.65</v>
      </c>
      <c r="I257" s="113"/>
    </row>
    <row r="258" spans="1:9" ht="15.6">
      <c r="A258" s="112"/>
      <c r="B258" s="134"/>
      <c r="C258" s="16"/>
      <c r="D258" s="137"/>
      <c r="E258" s="138"/>
      <c r="F258" s="138"/>
      <c r="G258" s="16"/>
    </row>
    <row r="259" spans="1:9" ht="16.2" thickBot="1">
      <c r="A259" s="112"/>
      <c r="B259" s="135"/>
      <c r="C259" s="17"/>
      <c r="D259" s="135"/>
      <c r="E259" s="139"/>
      <c r="F259" s="139"/>
      <c r="G259" s="17"/>
    </row>
    <row r="260" spans="1:9" ht="16.2" thickBot="1">
      <c r="A260" s="112">
        <f>SUM(A246:A259)</f>
        <v>407.58000000000004</v>
      </c>
      <c r="B260" s="135">
        <f>SUM(B246:B259)</f>
        <v>95</v>
      </c>
      <c r="C260" s="17" t="s">
        <v>53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9" ht="15" thickBot="1">
      <c r="B261" s="5"/>
      <c r="C261" s="3"/>
      <c r="D261" s="5"/>
      <c r="E261" s="5"/>
    </row>
    <row r="262" spans="1:9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9" ht="15" customHeight="1" thickBot="1">
      <c r="B263" s="411"/>
      <c r="C263" s="412"/>
      <c r="D263" s="412"/>
      <c r="E263" s="412"/>
      <c r="F263" s="412"/>
      <c r="G263" s="413"/>
    </row>
    <row r="264" spans="1:9">
      <c r="B264" s="400" t="s">
        <v>8</v>
      </c>
      <c r="C264" s="401"/>
      <c r="D264" s="400" t="s">
        <v>9</v>
      </c>
      <c r="E264" s="408"/>
      <c r="F264" s="408"/>
      <c r="G264" s="401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836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" thickBot="1">
      <c r="B279" s="135"/>
      <c r="C279" s="17"/>
      <c r="D279" s="135"/>
      <c r="E279" s="139"/>
      <c r="F279" s="139"/>
      <c r="G279" s="17"/>
    </row>
    <row r="280" spans="1:8" ht="15" thickBot="1">
      <c r="B280" s="135">
        <f>SUM(B266:B279)</f>
        <v>60</v>
      </c>
      <c r="C280" s="17" t="s">
        <v>53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" thickBot="1">
      <c r="B281" s="5"/>
      <c r="C281" s="3"/>
      <c r="D281" s="5"/>
      <c r="E281" s="5"/>
    </row>
    <row r="282" spans="1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6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6">
      <c r="A286" s="112">
        <f>'09'!A286+(SUM(B286:B298)-SUM(D286:F298))</f>
        <v>28.459999999999809</v>
      </c>
      <c r="B286" s="133">
        <v>50</v>
      </c>
      <c r="C286" s="19" t="s">
        <v>33</v>
      </c>
      <c r="D286" s="137">
        <v>8.5</v>
      </c>
      <c r="E286" s="138"/>
      <c r="F286" s="138"/>
      <c r="G286" s="16" t="s">
        <v>844</v>
      </c>
      <c r="H286" s="113"/>
    </row>
    <row r="287" spans="1:8" ht="15.6">
      <c r="A287" s="112"/>
      <c r="B287" s="134"/>
      <c r="C287" s="16"/>
      <c r="D287" s="137">
        <v>17.95</v>
      </c>
      <c r="E287" s="138"/>
      <c r="F287" s="138"/>
      <c r="G287" s="16" t="s">
        <v>845</v>
      </c>
      <c r="H287" s="92"/>
    </row>
    <row r="288" spans="1:8" ht="15.6">
      <c r="A288" s="112"/>
      <c r="B288" s="134"/>
      <c r="C288" s="16"/>
      <c r="D288" s="137">
        <v>10.45</v>
      </c>
      <c r="E288" s="138"/>
      <c r="F288" s="138"/>
      <c r="G288" s="16" t="s">
        <v>882</v>
      </c>
    </row>
    <row r="289" spans="1:8" ht="15.6">
      <c r="A289" s="112"/>
      <c r="B289" s="134"/>
      <c r="C289" s="16"/>
      <c r="D289" s="137">
        <v>9</v>
      </c>
      <c r="E289" s="138"/>
      <c r="F289" s="138"/>
      <c r="G289" s="16" t="s">
        <v>885</v>
      </c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6.2" thickBot="1">
      <c r="A299" s="112">
        <f>'09'!A299+(B299-SUM(D299:F299))</f>
        <v>100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2" thickBot="1">
      <c r="A300" s="112">
        <f>SUM(A286:A299)</f>
        <v>128.45999999999981</v>
      </c>
      <c r="B300" s="135">
        <f>SUM(B286:B299)</f>
        <v>90</v>
      </c>
      <c r="C300" s="17" t="s">
        <v>53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" thickBot="1">
      <c r="B301" s="5"/>
      <c r="C301" s="3"/>
      <c r="D301" s="5"/>
      <c r="E301" s="5"/>
    </row>
    <row r="302" spans="1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>
        <f>37.5+37.5</f>
        <v>75</v>
      </c>
      <c r="E306" s="138"/>
      <c r="F306" s="138"/>
      <c r="G306" s="16" t="s">
        <v>847</v>
      </c>
    </row>
    <row r="307" spans="2:7">
      <c r="B307" s="134">
        <f>28.54*2</f>
        <v>57.08</v>
      </c>
      <c r="C307" s="27" t="s">
        <v>465</v>
      </c>
      <c r="D307" s="137"/>
      <c r="E307" s="138"/>
      <c r="F307" s="138">
        <v>50</v>
      </c>
      <c r="G307" s="16" t="s">
        <v>852</v>
      </c>
    </row>
    <row r="308" spans="2:7">
      <c r="B308" s="134"/>
      <c r="C308" s="27"/>
      <c r="D308" s="137">
        <v>35.96</v>
      </c>
      <c r="E308" s="138"/>
      <c r="F308" s="138"/>
      <c r="G308" s="16" t="s">
        <v>853</v>
      </c>
    </row>
    <row r="309" spans="2:7">
      <c r="B309" s="134"/>
      <c r="C309" s="16"/>
      <c r="D309" s="137">
        <v>16.21</v>
      </c>
      <c r="E309" s="138"/>
      <c r="F309" s="138"/>
      <c r="G309" s="16" t="s">
        <v>873</v>
      </c>
    </row>
    <row r="310" spans="2:7">
      <c r="B310" s="134"/>
      <c r="C310" s="16"/>
      <c r="D310" s="137"/>
      <c r="E310" s="138"/>
      <c r="F310" s="138">
        <v>50</v>
      </c>
      <c r="G310" s="16" t="s">
        <v>872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874</v>
      </c>
    </row>
    <row r="312" spans="2:7">
      <c r="B312" s="134"/>
      <c r="C312" s="16"/>
      <c r="D312" s="137"/>
      <c r="E312" s="138"/>
      <c r="F312" s="138">
        <v>60</v>
      </c>
      <c r="G312" s="16" t="s">
        <v>876</v>
      </c>
    </row>
    <row r="313" spans="2:7">
      <c r="B313" s="134"/>
      <c r="C313" s="16"/>
      <c r="D313" s="137">
        <v>5.3</v>
      </c>
      <c r="E313" s="138"/>
      <c r="F313" s="138"/>
      <c r="G313" s="16" t="s">
        <v>878</v>
      </c>
    </row>
    <row r="314" spans="2:7">
      <c r="B314" s="134"/>
      <c r="C314" s="16"/>
      <c r="D314" s="137">
        <v>12.95</v>
      </c>
      <c r="E314" s="138"/>
      <c r="F314" s="138"/>
      <c r="G314" s="16" t="s">
        <v>891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889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890</v>
      </c>
    </row>
    <row r="317" spans="2:7">
      <c r="B317" s="134"/>
      <c r="C317" s="16"/>
      <c r="D317" s="137"/>
      <c r="E317" s="138"/>
      <c r="F317" s="138">
        <v>4.5</v>
      </c>
      <c r="G317" s="16" t="s">
        <v>895</v>
      </c>
    </row>
    <row r="318" spans="2:7">
      <c r="B318" s="134"/>
      <c r="C318" s="16"/>
      <c r="D318" s="137"/>
      <c r="E318" s="138"/>
      <c r="F318" s="138">
        <v>84.93</v>
      </c>
      <c r="G318" s="16" t="s">
        <v>896</v>
      </c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187.07999999999998</v>
      </c>
      <c r="C320" s="17" t="s">
        <v>53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839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'09'!A346+(B346-SUM(D346:F357))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'09'!A358+(B358-SUM(D358:F358))</f>
        <v>105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2" thickBot="1">
      <c r="A359" s="112">
        <f>'09'!A359+(B359-SUM(D359:F359))</f>
        <v>30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2" thickBot="1">
      <c r="A360" s="112">
        <f>SUM(A346:A359)</f>
        <v>365.73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>
        <f>4.5</f>
        <v>4.5</v>
      </c>
      <c r="E366" s="138"/>
      <c r="F366" s="138">
        <f>4+4.5+4.5</f>
        <v>13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65</v>
      </c>
      <c r="C380" s="17" t="s">
        <v>53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411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863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1433.0207879809902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835</v>
      </c>
    </row>
    <row r="407" spans="2:7">
      <c r="B407" s="134">
        <v>0.89</v>
      </c>
      <c r="C407" s="16" t="s">
        <v>423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1244.26</v>
      </c>
      <c r="C409" s="16" t="s">
        <v>411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863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1311.1861040380193</v>
      </c>
      <c r="C420" s="17" t="s">
        <v>53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AÑO!AM17</f>
        <v>3972.5899999999997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-37.460000000000036</v>
      </c>
      <c r="C426" s="19" t="s">
        <v>233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-37.460000000000036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-4044.26</v>
      </c>
      <c r="C446" s="19" t="s">
        <v>411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-4044.26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'09'!A466+(B466-SUM(D466:F466))+(B469-550)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'09'!A467+(B467-SUM(D467:F467))+(B469-550)+B470</f>
        <v>660.7391905564923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6">
      <c r="A468" s="112">
        <f>'09'!A468+(B468-SUM(D468:F468))</f>
        <v>213.4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1100</v>
      </c>
      <c r="C469" s="16" t="s">
        <v>411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863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1424.1391905564924</v>
      </c>
      <c r="B480" s="135">
        <f>SUM(B466:B479)</f>
        <v>1200.5091905564923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>
        <v>81.98</v>
      </c>
      <c r="F506" s="138"/>
      <c r="G506" s="16" t="s">
        <v>893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AM4:AP5" display="SALDO REAL"/>
    <hyperlink ref="I22" location="Trimestre!C39:F40" display="TELÉFONO"/>
    <hyperlink ref="I22:L23" location="AÑO!AM7:AP17" display="INGRESOS"/>
    <hyperlink ref="B2" location="Trimestre!C25:F26" display="HIPOTECA"/>
    <hyperlink ref="B2:G3" location="AÑO!AM20:AP20" display="AÑO!AM20:AP20"/>
    <hyperlink ref="B22" location="Trimestre!C25:F26" display="HIPOTECA"/>
    <hyperlink ref="B22:G23" location="AÑO!AM21:AP21" display="AÑO!AM21:AP21"/>
    <hyperlink ref="B42" location="Trimestre!C25:F26" display="HIPOTECA"/>
    <hyperlink ref="B42:G43" location="AÑO!AM22:AP22" display="AÑO!AM22:AP22"/>
    <hyperlink ref="B62" location="Trimestre!C25:F26" display="HIPOTECA"/>
    <hyperlink ref="B62:G63" location="AÑO!AM23:AP23" display="AÑO!AM23:AP23"/>
    <hyperlink ref="B82" location="Trimestre!C25:F26" display="HIPOTECA"/>
    <hyperlink ref="B82:G83" location="AÑO!AM24:AP24" display="AÑO!AM24:AP24"/>
    <hyperlink ref="B102" location="Trimestre!C25:F26" display="HIPOTECA"/>
    <hyperlink ref="B102:G103" location="AÑO!AM25:AP25" display="AÑO!AM25:AP25"/>
    <hyperlink ref="B122" location="Trimestre!C25:F26" display="HIPOTECA"/>
    <hyperlink ref="B122:G123" location="AÑO!AM26:AP26" display="AÑO!AM26:AP26"/>
    <hyperlink ref="B142" location="Trimestre!C25:F26" display="HIPOTECA"/>
    <hyperlink ref="B142:G143" location="AÑO!AM27:AP27" display="AÑO!AM27:AP27"/>
    <hyperlink ref="B162" location="Trimestre!C25:F26" display="HIPOTECA"/>
    <hyperlink ref="B162:G163" location="AÑO!AM28:AP28" display="AÑO!AM28:AP28"/>
    <hyperlink ref="B182" location="Trimestre!C25:F26" display="HIPOTECA"/>
    <hyperlink ref="B182:G183" location="AÑO!AM29:AP29" display="AÑO!AM29:AP29"/>
    <hyperlink ref="B202" location="Trimestre!C25:F26" display="HIPOTECA"/>
    <hyperlink ref="B202:G203" location="AÑO!AM30:AP30" display="AÑO!AM30:AP30"/>
    <hyperlink ref="B222" location="Trimestre!C25:F26" display="HIPOTECA"/>
    <hyperlink ref="B222:G223" location="AÑO!AM31:AP31" display="AÑO!AM31:AP31"/>
    <hyperlink ref="B242" location="Trimestre!C25:F26" display="HIPOTECA"/>
    <hyperlink ref="B242:G243" location="AÑO!AM32:AP32" display="AÑO!AM32:AP32"/>
    <hyperlink ref="B262" location="Trimestre!C25:F26" display="HIPOTECA"/>
    <hyperlink ref="B262:G263" location="AÑO!AM33:AP33" display="AÑO!AM33:AP33"/>
    <hyperlink ref="B282" location="Trimestre!C25:F26" display="HIPOTECA"/>
    <hyperlink ref="B282:G283" location="AÑO!AM34:AP34" display="AÑO!AM34:AP34"/>
    <hyperlink ref="B302" location="Trimestre!C25:F26" display="HIPOTECA"/>
    <hyperlink ref="B302:G303" location="AÑO!AM35:AP35" display="AÑO!AM35:AP35"/>
    <hyperlink ref="B322" location="Trimestre!C25:F26" display="HIPOTECA"/>
    <hyperlink ref="B322:G323" location="AÑO!AM36:AP36" display="AÑO!AM36:AP36"/>
    <hyperlink ref="B342" location="Trimestre!C25:F26" display="HIPOTECA"/>
    <hyperlink ref="B342:G343" location="AÑO!AM37:AP37" display="AÑO!AM37:AP37"/>
    <hyperlink ref="B362" location="Trimestre!C25:F26" display="HIPOTECA"/>
    <hyperlink ref="B362:G363" location="AÑO!AM38:AP38" display="AÑO!AM38:AP38"/>
    <hyperlink ref="B382" location="Trimestre!C25:F26" display="HIPOTECA"/>
    <hyperlink ref="B382:G383" location="AÑO!AM39:AP39" display="AÑO!AM39:AP39"/>
    <hyperlink ref="B402" location="Trimestre!C25:F26" display="HIPOTECA"/>
    <hyperlink ref="B402:G403" location="AÑO!AM40:AP40" display="AÑO!AM40:AP40"/>
    <hyperlink ref="B422" location="Trimestre!C25:F26" display="HIPOTECA"/>
    <hyperlink ref="B422:G423" location="AÑO!AM41:AP41" display="AÑO!AM41:AP41"/>
    <hyperlink ref="B442" location="Trimestre!C25:F26" display="HIPOTECA"/>
    <hyperlink ref="B442:G443" location="AÑO!AM42:AP42" display="AÑO!AM42:AP42"/>
    <hyperlink ref="B462" location="Trimestre!C25:F26" display="HIPOTECA"/>
    <hyperlink ref="B462:G463" location="AÑO!AM43:AP43" display="AÑO!AM43:AP43"/>
    <hyperlink ref="B482" location="Trimestre!C25:F26" display="HIPOTECA"/>
    <hyperlink ref="B482:G483" location="AÑO!AM44:AP44" display="AÑO!AM44:AP44"/>
    <hyperlink ref="B502" location="Trimestre!C25:F26" display="HIPOTECA"/>
    <hyperlink ref="B502:G503" location="AÑO!AM45:AP45" display="AÑO!AM45:AP45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7" workbookViewId="0">
      <selection activeCell="I22" sqref="I22:L23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194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4501.8900000000003</v>
      </c>
      <c r="L5" s="431"/>
      <c r="M5" s="1"/>
      <c r="N5" s="1"/>
      <c r="R5" s="3"/>
    </row>
    <row r="6" spans="1:22" ht="15.6">
      <c r="A6" s="112">
        <f>'10'!A6+(B6-SUM(D6:F6))</f>
        <v>395.26</v>
      </c>
      <c r="B6" s="133">
        <v>389.26</v>
      </c>
      <c r="C6" s="19" t="s">
        <v>833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4">
        <v>620.14</v>
      </c>
      <c r="L6" s="415"/>
      <c r="M6" s="1" t="s">
        <v>165</v>
      </c>
      <c r="N6" s="1"/>
      <c r="R6" s="3"/>
    </row>
    <row r="7" spans="1:22" ht="15.6">
      <c r="A7" s="112">
        <f>'10'!A7+(B7-SUM(D7:F7))</f>
        <v>438.75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f>7374.65</f>
        <v>7374.65</v>
      </c>
      <c r="L7" s="415"/>
      <c r="M7" s="1"/>
      <c r="N7" s="1"/>
      <c r="R7" s="3"/>
    </row>
    <row r="8" spans="1:22" ht="15.6">
      <c r="A8" s="112">
        <f>'10'!A8+(B8-SUM(D8:F8))</f>
        <v>0</v>
      </c>
      <c r="B8" s="134">
        <v>97.88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6307.51</v>
      </c>
      <c r="L8" s="415"/>
      <c r="M8" s="1"/>
      <c r="N8" s="1"/>
      <c r="R8" s="3"/>
    </row>
    <row r="9" spans="1:22" ht="15.6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f>4292.78+2.31</f>
        <v>4295.09</v>
      </c>
      <c r="L9" s="415"/>
      <c r="M9" s="1"/>
      <c r="N9" s="1"/>
      <c r="R9" s="3"/>
    </row>
    <row r="10" spans="1:22" ht="15.6">
      <c r="A10" s="112">
        <f>'10'!A10+(B10-SUM(D10:F10))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'10'!A11+(B11-SUM(D11:F11))</f>
        <v>0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40+70</f>
        <v>110</v>
      </c>
      <c r="L11" s="415"/>
      <c r="M11" s="1"/>
      <c r="N11" s="1"/>
      <c r="R11" s="3"/>
    </row>
    <row r="12" spans="1:22" ht="15.6">
      <c r="A12" s="112">
        <f>'10'!A12+(B12-SUM(D12:F12))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</f>
        <v>5092.08</v>
      </c>
      <c r="L12" s="415"/>
      <c r="M12" s="92"/>
      <c r="N12" s="1"/>
      <c r="R12" s="3"/>
    </row>
    <row r="13" spans="1:22" ht="15.6">
      <c r="A13" s="112">
        <f>'10'!A13+(B13-SUM(D13:F13))</f>
        <v>57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30103.380000000005</v>
      </c>
      <c r="L19" s="440"/>
      <c r="M19" s="1"/>
      <c r="N19" s="1"/>
      <c r="R19" s="3"/>
    </row>
    <row r="20" spans="1:18" ht="16.2" thickBot="1">
      <c r="A20" s="112">
        <f>SUM(A6:A15)</f>
        <v>1166.05</v>
      </c>
      <c r="B20" s="135">
        <f>SUM(B6:B19)</f>
        <v>603.05999999999995</v>
      </c>
      <c r="C20" s="17" t="s">
        <v>53</v>
      </c>
      <c r="D20" s="135">
        <f>SUM(D6:D19)</f>
        <v>0</v>
      </c>
      <c r="E20" s="135">
        <f>SUM(E6:E19)</f>
        <v>42.230000000000004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23209.280000000006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/>
      <c r="K25" s="423"/>
      <c r="L25" s="231"/>
      <c r="M25" s="1"/>
      <c r="R25" s="3"/>
    </row>
    <row r="26" spans="1:18" ht="15.6">
      <c r="A26" s="112">
        <f>'10'!A26+(B26-SUM(D26:F26))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'10'!A27+(B27-SUM(D27:F27))</f>
        <v>50.079999999999927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'10'!A28+(B28-SUM(D28:F28))</f>
        <v>109.92000000000002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'10'!A29+(B29-SUM(D29:F29))</f>
        <v>1.0600000000000058</v>
      </c>
      <c r="B29" s="134">
        <v>18</v>
      </c>
      <c r="C29" s="27" t="s">
        <v>38</v>
      </c>
      <c r="D29" s="137">
        <v>18.62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>
        <v>151.59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687</v>
      </c>
      <c r="K31" s="425"/>
      <c r="L31" s="229">
        <v>151.19999999999999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347.33999999999992</v>
      </c>
      <c r="B40" s="135">
        <f>SUM(B26:B39)</f>
        <v>1148</v>
      </c>
      <c r="C40" s="17" t="s">
        <v>53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899</v>
      </c>
      <c r="K40" s="423"/>
      <c r="L40" s="231">
        <f>21.42+21.42</f>
        <v>42.84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905</v>
      </c>
      <c r="K45" s="423"/>
      <c r="L45" s="231">
        <v>30</v>
      </c>
      <c r="M45" s="1"/>
      <c r="R45" s="3"/>
    </row>
    <row r="46" spans="1:18" ht="15.6">
      <c r="A46" s="1"/>
      <c r="B46" s="133">
        <v>300</v>
      </c>
      <c r="C46" s="19"/>
      <c r="D46" s="137">
        <v>17.73</v>
      </c>
      <c r="E46" s="138"/>
      <c r="F46" s="138"/>
      <c r="G46" s="30" t="s">
        <v>904</v>
      </c>
      <c r="H46" s="1"/>
      <c r="I46" s="420"/>
      <c r="J46" s="424" t="s">
        <v>920</v>
      </c>
      <c r="K46" s="425"/>
      <c r="L46" s="229">
        <v>250</v>
      </c>
      <c r="M46" s="1"/>
      <c r="R46" s="3"/>
    </row>
    <row r="47" spans="1:18" ht="15.6">
      <c r="A47" s="1"/>
      <c r="B47" s="134"/>
      <c r="C47" s="16"/>
      <c r="D47" s="137">
        <v>37.79</v>
      </c>
      <c r="E47" s="138"/>
      <c r="F47" s="138"/>
      <c r="G47" s="16" t="s">
        <v>916</v>
      </c>
      <c r="H47" s="1"/>
      <c r="I47" s="420"/>
      <c r="J47" s="424" t="s">
        <v>921</v>
      </c>
      <c r="K47" s="425"/>
      <c r="L47" s="229">
        <v>150</v>
      </c>
      <c r="M47" s="1"/>
      <c r="R47" s="3"/>
    </row>
    <row r="48" spans="1:18" ht="15.6">
      <c r="A48" s="1"/>
      <c r="B48" s="134"/>
      <c r="C48" s="16"/>
      <c r="D48" s="137">
        <v>38.520000000000003</v>
      </c>
      <c r="E48" s="138"/>
      <c r="F48" s="138"/>
      <c r="G48" s="16" t="s">
        <v>918</v>
      </c>
      <c r="H48" s="1"/>
      <c r="I48" s="420"/>
      <c r="J48" s="424"/>
      <c r="K48" s="425"/>
      <c r="L48" s="229"/>
      <c r="M48" s="1"/>
      <c r="R48" s="3"/>
    </row>
    <row r="49" spans="1:18" ht="15.6">
      <c r="A49" s="1"/>
      <c r="B49" s="134"/>
      <c r="C49" s="16"/>
      <c r="D49" s="137">
        <v>54.99</v>
      </c>
      <c r="E49" s="138"/>
      <c r="F49" s="138"/>
      <c r="G49" s="16" t="s">
        <v>924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929</v>
      </c>
      <c r="H50" s="1"/>
      <c r="I50" s="419" t="str">
        <f>AÑO!A13</f>
        <v>Gubernamental</v>
      </c>
      <c r="J50" s="422" t="s">
        <v>910</v>
      </c>
      <c r="K50" s="423"/>
      <c r="L50" s="231">
        <v>95.8</v>
      </c>
      <c r="M50" s="1"/>
      <c r="R50" s="3"/>
    </row>
    <row r="51" spans="1:18" ht="15.6">
      <c r="A51" s="1"/>
      <c r="B51" s="134"/>
      <c r="C51" s="16"/>
      <c r="D51" s="137">
        <v>49.94</v>
      </c>
      <c r="E51" s="138"/>
      <c r="F51" s="138"/>
      <c r="G51" s="16" t="s">
        <v>934</v>
      </c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 t="s">
        <v>909</v>
      </c>
      <c r="K55" s="423"/>
      <c r="L55" s="231">
        <v>300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24" t="s">
        <v>688</v>
      </c>
      <c r="K56" s="425"/>
      <c r="L56" s="229">
        <f>20.27+14.27+21.94+14.27+22.27</f>
        <v>93.02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242.68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902</v>
      </c>
      <c r="K60" s="423"/>
      <c r="L60" s="231">
        <v>647.88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12">
        <f>'10'!A66+(B66-SUM(D66:F78))+B67</f>
        <v>131.33000000000004</v>
      </c>
      <c r="B66" s="133">
        <v>175</v>
      </c>
      <c r="C66" s="19" t="s">
        <v>33</v>
      </c>
      <c r="D66" s="137">
        <v>17.45</v>
      </c>
      <c r="E66" s="138"/>
      <c r="F66" s="138"/>
      <c r="G66" s="19" t="s">
        <v>903</v>
      </c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/>
      <c r="C67" s="16"/>
      <c r="D67" s="137">
        <v>41</v>
      </c>
      <c r="E67" s="138"/>
      <c r="F67" s="138"/>
      <c r="G67" s="31" t="s">
        <v>919</v>
      </c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/>
      <c r="C68" s="16"/>
      <c r="D68" s="137">
        <v>17.8</v>
      </c>
      <c r="E68" s="138"/>
      <c r="F68" s="138"/>
      <c r="G68" s="16" t="s">
        <v>923</v>
      </c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>
        <v>24.35</v>
      </c>
      <c r="E69" s="138"/>
      <c r="F69" s="138"/>
      <c r="G69" s="16" t="s">
        <v>931</v>
      </c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>
        <v>25.8</v>
      </c>
      <c r="E70" s="138"/>
      <c r="F70" s="138"/>
      <c r="G70" s="16" t="s">
        <v>930</v>
      </c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'10'!A79+(B79-SUM(D79:F79))</f>
        <v>53.819999999999993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185.15000000000003</v>
      </c>
      <c r="B80" s="233">
        <f>SUM(B66:B79)</f>
        <v>185</v>
      </c>
      <c r="C80" s="17" t="s">
        <v>53</v>
      </c>
      <c r="D80" s="135">
        <f>SUM(D66:D79)</f>
        <v>126.39999999999999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150</v>
      </c>
      <c r="C86" s="19" t="s">
        <v>201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150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'10'!A106+(B106-SUM(D106:F106))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'10'!A107+(B107-SUM(D107:F107))</f>
        <v>2.3800000000000523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'10'!A109+(B109-SUM(D109:F109))</f>
        <v>3754.0415974244993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685.48</v>
      </c>
      <c r="B120" s="135">
        <f>SUM(B106:B119)</f>
        <v>457.47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'10'!A126+(B126-SUM(D126:F126))</f>
        <v>42.5</v>
      </c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'10'!A127+(B127-SUM(D127:F128))</f>
        <v>32.5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D127+D128+'10'!I127</f>
        <v>150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'10'!A129+(B129-SUM(D129:F129))</f>
        <v>7.9999999999998295E-2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A130" s="112">
        <f>'10'!A130+(B130-SUM(D130:F130))</f>
        <v>-60</v>
      </c>
      <c r="B130" s="134">
        <v>2.5</v>
      </c>
      <c r="C130" s="16" t="s">
        <v>886</v>
      </c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75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926</v>
      </c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64.16</v>
      </c>
      <c r="E186" s="138"/>
      <c r="F186" s="138"/>
      <c r="G186" s="16" t="s">
        <v>932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'10'!A256+(B256-SUM(D256:F256))</f>
        <v>50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6">
      <c r="A257" s="112">
        <f>'10'!A257+(B257-SUM(D257:F257))</f>
        <v>424.11000000000007</v>
      </c>
      <c r="B257" s="134">
        <v>40</v>
      </c>
      <c r="C257" s="16" t="s">
        <v>865</v>
      </c>
      <c r="D257" s="137"/>
      <c r="E257" s="138"/>
      <c r="F257" s="138"/>
      <c r="G257" s="16" t="s">
        <v>404</v>
      </c>
      <c r="H257" s="89">
        <f>1208-(100.67*6)</f>
        <v>603.98</v>
      </c>
    </row>
    <row r="258" spans="1:8" ht="15.6">
      <c r="A258" s="112"/>
      <c r="B258" s="134"/>
      <c r="C258" s="16"/>
      <c r="D258" s="137"/>
      <c r="E258" s="138"/>
      <c r="F258" s="138"/>
      <c r="G258" s="16"/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502.58000000000004</v>
      </c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" thickBot="1">
      <c r="B279" s="135"/>
      <c r="C279" s="17"/>
      <c r="D279" s="135"/>
      <c r="E279" s="139"/>
      <c r="F279" s="139"/>
      <c r="G279" s="17"/>
    </row>
    <row r="280" spans="1:8" ht="1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" thickBot="1">
      <c r="B281" s="5"/>
      <c r="C281" s="3"/>
      <c r="D281" s="5"/>
      <c r="E281" s="5"/>
    </row>
    <row r="282" spans="1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6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6">
      <c r="A286" s="112">
        <f>'10'!A286+(SUM(B286:B298)-SUM(D286:F298))</f>
        <v>78.459999999999809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6">
      <c r="A287" s="112"/>
      <c r="B287" s="134"/>
      <c r="C287" s="16"/>
      <c r="D287" s="137"/>
      <c r="E287" s="138"/>
      <c r="F287" s="138"/>
      <c r="G287" s="16"/>
      <c r="H287" s="92"/>
    </row>
    <row r="288" spans="1:8" ht="15.6">
      <c r="A288" s="112"/>
      <c r="B288" s="134"/>
      <c r="C288" s="16"/>
      <c r="D288" s="137"/>
      <c r="E288" s="138"/>
      <c r="F288" s="138"/>
      <c r="G288" s="16"/>
    </row>
    <row r="289" spans="1:8" ht="15.6">
      <c r="A289" s="112"/>
      <c r="B289" s="134"/>
      <c r="C289" s="16"/>
      <c r="D289" s="137"/>
      <c r="E289" s="138"/>
      <c r="F289" s="138"/>
      <c r="G289" s="16"/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6.2" thickBot="1">
      <c r="A299" s="112">
        <f>'10'!A299+(B299-SUM(D299:F299))</f>
        <v>140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2" thickBot="1">
      <c r="A300" s="112">
        <f>SUM(A286:A299)</f>
        <v>218.45999999999981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" thickBot="1">
      <c r="B301" s="5"/>
      <c r="C301" s="3"/>
      <c r="D301" s="5"/>
      <c r="E301" s="5"/>
    </row>
    <row r="302" spans="1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8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8">
      <c r="B306" s="133">
        <v>130</v>
      </c>
      <c r="C306" s="19" t="s">
        <v>721</v>
      </c>
      <c r="D306" s="137"/>
      <c r="E306" s="138"/>
      <c r="F306" s="138">
        <v>80</v>
      </c>
      <c r="G306" s="16" t="s">
        <v>908</v>
      </c>
    </row>
    <row r="307" spans="2:8">
      <c r="B307" s="134">
        <v>300</v>
      </c>
      <c r="C307" s="27" t="s">
        <v>912</v>
      </c>
      <c r="D307" s="137">
        <v>82.87</v>
      </c>
      <c r="E307" s="138"/>
      <c r="F307" s="138"/>
      <c r="G307" s="16" t="s">
        <v>911</v>
      </c>
    </row>
    <row r="308" spans="2:8">
      <c r="B308" s="134">
        <f>L56</f>
        <v>93.02</v>
      </c>
      <c r="C308" s="27" t="s">
        <v>465</v>
      </c>
      <c r="D308" s="137">
        <v>33</v>
      </c>
      <c r="E308" s="138"/>
      <c r="F308" s="138"/>
      <c r="G308" s="16" t="s">
        <v>915</v>
      </c>
    </row>
    <row r="309" spans="2:8">
      <c r="B309" s="134"/>
      <c r="C309" s="16"/>
      <c r="D309" s="137">
        <v>40.18</v>
      </c>
      <c r="E309" s="138"/>
      <c r="F309" s="138"/>
      <c r="G309" s="16" t="s">
        <v>917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922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925</v>
      </c>
    </row>
    <row r="312" spans="2:8">
      <c r="B312" s="134"/>
      <c r="C312" s="16"/>
      <c r="D312" s="137">
        <v>50</v>
      </c>
      <c r="E312" s="138"/>
      <c r="F312" s="138"/>
      <c r="G312" s="16" t="s">
        <v>928</v>
      </c>
    </row>
    <row r="313" spans="2:8">
      <c r="B313" s="134"/>
      <c r="C313" s="16"/>
      <c r="D313" s="137"/>
      <c r="E313" s="138"/>
      <c r="F313" s="138"/>
      <c r="G313" s="16"/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" thickBot="1">
      <c r="B319" s="135"/>
      <c r="C319" s="17"/>
      <c r="D319" s="135"/>
      <c r="E319" s="139"/>
      <c r="F319" s="139"/>
      <c r="G319" s="17"/>
    </row>
    <row r="320" spans="2:8" ht="15" thickBot="1">
      <c r="B320" s="135">
        <f>SUM(B306:B319)</f>
        <v>523.02</v>
      </c>
      <c r="C320" s="17" t="s">
        <v>53</v>
      </c>
      <c r="D320" s="135">
        <f>SUM(D306:D319)</f>
        <v>239.05</v>
      </c>
      <c r="E320" s="135">
        <f>SUM(E306:E319)</f>
        <v>0</v>
      </c>
      <c r="F320" s="135">
        <f>SUM(F306:F319)</f>
        <v>230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907</v>
      </c>
    </row>
    <row r="327" spans="2:7">
      <c r="B327" s="134">
        <v>30</v>
      </c>
      <c r="C327" s="16" t="s">
        <v>906</v>
      </c>
      <c r="D327" s="137"/>
      <c r="E327" s="138"/>
      <c r="F327" s="138"/>
      <c r="G327" s="16"/>
    </row>
    <row r="328" spans="2:7">
      <c r="B328" s="134">
        <v>250</v>
      </c>
      <c r="C328" s="16" t="s">
        <v>920</v>
      </c>
      <c r="D328" s="137"/>
      <c r="E328" s="138"/>
      <c r="F328" s="138"/>
      <c r="G328" s="16"/>
    </row>
    <row r="329" spans="2:7">
      <c r="B329" s="134">
        <v>150</v>
      </c>
      <c r="C329" s="16" t="s">
        <v>921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520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'10'!A346+(B346-SUM(D346:F357))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'10'!A358+(B358-SUM(D358:F358))</f>
        <v>140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2" thickBot="1">
      <c r="A359" s="112">
        <f>'10'!A359+(B359-SUM(D359:F359))</f>
        <v>-25</v>
      </c>
      <c r="B359" s="135">
        <v>10</v>
      </c>
      <c r="C359" s="17" t="s">
        <v>864</v>
      </c>
      <c r="D359" s="135">
        <v>65</v>
      </c>
      <c r="E359" s="139"/>
      <c r="F359" s="139"/>
      <c r="G359" s="17" t="s">
        <v>898</v>
      </c>
    </row>
    <row r="360" spans="1:7" ht="16.2" thickBot="1">
      <c r="A360" s="112">
        <f>SUM(A346:A359)</f>
        <v>345.73</v>
      </c>
      <c r="B360" s="135">
        <f>SUM(B346:B359)</f>
        <v>45</v>
      </c>
      <c r="C360" s="17" t="s">
        <v>53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/>
      <c r="G366" s="31" t="s">
        <v>67</v>
      </c>
    </row>
    <row r="367" spans="1:7">
      <c r="B367" s="134"/>
      <c r="C367" s="16"/>
      <c r="D367" s="137">
        <v>44.53</v>
      </c>
      <c r="E367" s="138"/>
      <c r="F367" s="138"/>
      <c r="G367" s="31" t="s">
        <v>927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65</v>
      </c>
      <c r="C380" s="17" t="s">
        <v>53</v>
      </c>
      <c r="D380" s="135">
        <f>SUM(D366:D379)</f>
        <v>44.53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897</v>
      </c>
    </row>
    <row r="407" spans="2:7">
      <c r="B407" s="134">
        <v>42.84</v>
      </c>
      <c r="C407" s="16" t="s">
        <v>899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92.84</v>
      </c>
      <c r="C420" s="17" t="s">
        <v>53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AÑO!AQ17</f>
        <v>1912.33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-2951.4100000000008</v>
      </c>
      <c r="C426" s="19" t="s">
        <v>233</v>
      </c>
      <c r="D426" s="137"/>
      <c r="E426" s="138"/>
      <c r="F426" s="138"/>
      <c r="G426" s="16"/>
    </row>
    <row r="427" spans="1:7">
      <c r="A427" s="113">
        <v>42.84</v>
      </c>
      <c r="B427" s="134"/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93.02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-2951.4100000000008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'10'!A466+(B466-SUM(D466:F466))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'10'!A467+(B467-SUM(D467:F467))</f>
        <v>732.08919055649233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6">
      <c r="A468" s="112">
        <f>'10'!A468+(B468-SUM(D468:F468))</f>
        <v>228.4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1510.4891905564923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AQ4:AT5" display="SALDO REAL"/>
    <hyperlink ref="I22" location="Trimestre!C39:F40" display="TELÉFONO"/>
    <hyperlink ref="I22:L23" location="AÑO!AQ7:AT17" display="INGRESOS"/>
    <hyperlink ref="B2" location="Trimestre!C25:F26" display="HIPOTECA"/>
    <hyperlink ref="B2:G3" location="AÑO!AQ20:AT20" display="AÑO!AQ20:AT20"/>
    <hyperlink ref="B22" location="Trimestre!C25:F26" display="HIPOTECA"/>
    <hyperlink ref="B22:G23" location="AÑO!AQ21:AT21" display="AÑO!AQ21:AT21"/>
    <hyperlink ref="B42" location="Trimestre!C25:F26" display="HIPOTECA"/>
    <hyperlink ref="B42:G43" location="AÑO!AQ22:AT22" display="AÑO!AQ22:AT22"/>
    <hyperlink ref="B62" location="Trimestre!C25:F26" display="HIPOTECA"/>
    <hyperlink ref="B62:G63" location="AÑO!AQ23:AT23" display="AÑO!AQ23:AT23"/>
    <hyperlink ref="B82" location="Trimestre!C25:F26" display="HIPOTECA"/>
    <hyperlink ref="B82:G83" location="AÑO!AQ24:AT24" display="AÑO!AQ24:AT24"/>
    <hyperlink ref="B102" location="Trimestre!C25:F26" display="HIPOTECA"/>
    <hyperlink ref="B102:G103" location="AÑO!AQ25:AT25" display="AÑO!AQ25:AT25"/>
    <hyperlink ref="B122" location="Trimestre!C25:F26" display="HIPOTECA"/>
    <hyperlink ref="B122:G123" location="AÑO!AQ26:AT26" display="AÑO!AQ26:AT26"/>
    <hyperlink ref="B142" location="Trimestre!C25:F26" display="HIPOTECA"/>
    <hyperlink ref="B142:G143" location="AÑO!AQ27:AT27" display="AÑO!AQ27:AT27"/>
    <hyperlink ref="B162" location="Trimestre!C25:F26" display="HIPOTECA"/>
    <hyperlink ref="B162:G163" location="AÑO!AQ28:AT28" display="AÑO!AQ28:AT28"/>
    <hyperlink ref="B182" location="Trimestre!C25:F26" display="HIPOTECA"/>
    <hyperlink ref="B182:G183" location="AÑO!AQ29:AT29" display="AÑO!AQ29:AT29"/>
    <hyperlink ref="B202" location="Trimestre!C25:F26" display="HIPOTECA"/>
    <hyperlink ref="B202:G203" location="AÑO!AQ30:AT30" display="AÑO!AQ30:AT30"/>
    <hyperlink ref="B222" location="Trimestre!C25:F26" display="HIPOTECA"/>
    <hyperlink ref="B222:G223" location="AÑO!AQ31:AT31" display="AÑO!AQ31:AT31"/>
    <hyperlink ref="B242" location="Trimestre!C25:F26" display="HIPOTECA"/>
    <hyperlink ref="B242:G243" location="AÑO!AQ32:AT32" display="AÑO!AQ32:AT32"/>
    <hyperlink ref="B262" location="Trimestre!C25:F26" display="HIPOTECA"/>
    <hyperlink ref="B262:G263" location="AÑO!AQ33:AT33" display="AÑO!AQ33:AT33"/>
    <hyperlink ref="B282" location="Trimestre!C25:F26" display="HIPOTECA"/>
    <hyperlink ref="B282:G283" location="AÑO!AQ34:AT34" display="AÑO!AQ34:AT34"/>
    <hyperlink ref="B302" location="Trimestre!C25:F26" display="HIPOTECA"/>
    <hyperlink ref="B302:G303" location="AÑO!AQ35:AT35" display="AÑO!AQ35:AT35"/>
    <hyperlink ref="B322" location="Trimestre!C25:F26" display="HIPOTECA"/>
    <hyperlink ref="B322:G323" location="AÑO!AQ36:AT36" display="AÑO!AQ36:AT36"/>
    <hyperlink ref="B342" location="Trimestre!C25:F26" display="HIPOTECA"/>
    <hyperlink ref="B342:G343" location="AÑO!AQ37:AT37" display="AÑO!AQ37:AT37"/>
    <hyperlink ref="B362" location="Trimestre!C25:F26" display="HIPOTECA"/>
    <hyperlink ref="B362:G363" location="AÑO!AQ38:AT38" display="AÑO!AQ38:AT38"/>
    <hyperlink ref="B382" location="Trimestre!C25:F26" display="HIPOTECA"/>
    <hyperlink ref="B382:G383" location="AÑO!AQ39:AT39" display="AÑO!AQ39:AT39"/>
    <hyperlink ref="B402" location="Trimestre!C25:F26" display="HIPOTECA"/>
    <hyperlink ref="B402:G403" location="AÑO!AQ40:AT40" display="AÑO!AQ40:AT40"/>
    <hyperlink ref="B422" location="Trimestre!C25:F26" display="HIPOTECA"/>
    <hyperlink ref="B422:G423" location="AÑO!AQ41:AT41" display="AÑO!AQ41:AT41"/>
    <hyperlink ref="B442" location="Trimestre!C25:F26" display="HIPOTECA"/>
    <hyperlink ref="B442:G443" location="AÑO!AQ42:AT42" display="AÑO!AQ42:AT42"/>
    <hyperlink ref="B462" location="Trimestre!C25:F26" display="HIPOTECA"/>
    <hyperlink ref="B462:G463" location="AÑO!AQ43:AT43" display="AÑO!AQ43:AT43"/>
    <hyperlink ref="B482" location="Trimestre!C25:F26" display="HIPOTECA"/>
    <hyperlink ref="B482:G483" location="AÑO!AQ44:AT44" display="AÑO!AQ44:AT44"/>
    <hyperlink ref="B502" location="Trimestre!C25:F26" display="HIPOTECA"/>
    <hyperlink ref="B502:G503" location="AÑO!AQ45:AT45" display="AÑO!AQ45:AT45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2" workbookViewId="0">
      <selection activeCell="B2" sqref="B2:G3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197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4501.8900000000003</v>
      </c>
      <c r="L5" s="431"/>
      <c r="M5" s="1"/>
      <c r="N5" s="1"/>
      <c r="R5" s="3"/>
    </row>
    <row r="6" spans="1:22" ht="15.6">
      <c r="A6" s="112">
        <f>'11'!A6+(B6-SUM(D6:F6))</f>
        <v>784.52</v>
      </c>
      <c r="B6" s="133">
        <v>389.26</v>
      </c>
      <c r="C6" s="19" t="s">
        <v>833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4">
        <v>620.14</v>
      </c>
      <c r="L6" s="415"/>
      <c r="M6" s="1" t="s">
        <v>165</v>
      </c>
      <c r="N6" s="1"/>
      <c r="R6" s="3"/>
    </row>
    <row r="7" spans="1:22" ht="15.6">
      <c r="A7" s="112">
        <f>'11'!A7+(B7-SUM(D7:F7))</f>
        <v>505.93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f>7374.65</f>
        <v>7374.65</v>
      </c>
      <c r="L7" s="415"/>
      <c r="M7" s="1"/>
      <c r="N7" s="1"/>
      <c r="R7" s="3"/>
    </row>
    <row r="8" spans="1:22" ht="15.6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6307.51</v>
      </c>
      <c r="L8" s="415"/>
      <c r="M8" s="1"/>
      <c r="N8" s="1"/>
      <c r="R8" s="3"/>
    </row>
    <row r="9" spans="1:22" ht="15.6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f>4292.78+2.31</f>
        <v>4295.09</v>
      </c>
      <c r="L9" s="415"/>
      <c r="M9" s="1"/>
      <c r="N9" s="1"/>
      <c r="R9" s="3"/>
    </row>
    <row r="10" spans="1:22" ht="15.6">
      <c r="A10" s="112">
        <f>'11'!A10+(B10-SUM(D10:F10))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'11'!A11+(B11-SUM(D11:F11))</f>
        <v>30.24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4">
        <f>40+70</f>
        <v>110</v>
      </c>
      <c r="L11" s="415"/>
      <c r="M11" s="1"/>
      <c r="N11" s="1"/>
      <c r="R11" s="3"/>
    </row>
    <row r="12" spans="1:22" ht="15.6">
      <c r="A12" s="112">
        <f>'11'!A12+(B12-SUM(D12:F12))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</f>
        <v>5092.08</v>
      </c>
      <c r="L12" s="415"/>
      <c r="M12" s="92"/>
      <c r="N12" s="1"/>
      <c r="R12" s="3"/>
    </row>
    <row r="13" spans="1:22" ht="15.6">
      <c r="A13" s="112">
        <f>'11'!A13+(B13-SUM(D13:F13))</f>
        <v>63.5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30103.380000000005</v>
      </c>
      <c r="L19" s="440"/>
      <c r="M19" s="1"/>
      <c r="N19" s="1"/>
      <c r="R19" s="3"/>
    </row>
    <row r="20" spans="1:18" ht="16.2" thickBot="1">
      <c r="A20" s="112">
        <f>SUM(A6:A15)</f>
        <v>1671.23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23209.280000000006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/>
      <c r="K25" s="423"/>
      <c r="L25" s="231"/>
      <c r="M25" s="1"/>
      <c r="R25" s="3"/>
    </row>
    <row r="26" spans="1:18" ht="15.6">
      <c r="A26" s="112">
        <f>'11'!A26+(B26-SUM(D26:F26))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'11'!A27+(B27-SUM(D27:F27))</f>
        <v>240.07999999999993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'11'!A28+(B28-SUM(D28:F28))</f>
        <v>149.92000000000002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'11'!A29+(B29-SUM(D29:F29))</f>
        <v>19.060000000000006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1495.34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6">
      <c r="A46" s="1"/>
      <c r="B46" s="133">
        <v>300</v>
      </c>
      <c r="C46" s="19"/>
      <c r="D46" s="137"/>
      <c r="E46" s="138"/>
      <c r="F46" s="138"/>
      <c r="G46" s="30"/>
      <c r="H46" s="1"/>
      <c r="I46" s="420"/>
      <c r="J46" s="424"/>
      <c r="K46" s="425"/>
      <c r="L46" s="229"/>
      <c r="M46" s="1"/>
      <c r="R46" s="3"/>
    </row>
    <row r="47" spans="1:18" ht="15.6">
      <c r="A47" s="1"/>
      <c r="B47" s="134"/>
      <c r="C47" s="16"/>
      <c r="D47" s="137"/>
      <c r="E47" s="138"/>
      <c r="F47" s="138"/>
      <c r="G47" s="16"/>
      <c r="H47" s="1"/>
      <c r="I47" s="420"/>
      <c r="J47" s="424"/>
      <c r="K47" s="425"/>
      <c r="L47" s="22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420"/>
      <c r="J48" s="424"/>
      <c r="K48" s="425"/>
      <c r="L48" s="22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19" t="str">
        <f>AÑO!A13</f>
        <v>Gubernamental</v>
      </c>
      <c r="J50" s="422" t="s">
        <v>910</v>
      </c>
      <c r="K50" s="423"/>
      <c r="L50" s="231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39</v>
      </c>
      <c r="K60" s="423"/>
      <c r="L60" s="231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"/>
      <c r="B66" s="133">
        <v>175</v>
      </c>
      <c r="C66" s="19" t="s">
        <v>33</v>
      </c>
      <c r="D66" s="137"/>
      <c r="E66" s="138"/>
      <c r="F66" s="138"/>
      <c r="G66" s="19"/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"/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"/>
      <c r="B80" s="233">
        <f>SUM(B66:B79)</f>
        <v>185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150</v>
      </c>
      <c r="C86" s="19" t="s">
        <v>201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150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'11'!A106+(B106-SUM(D106:F106))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'11'!A107+(B107-SUM(D107:F107))</f>
        <v>71.380000000000052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'11'!A109+(B109-SUM(D109:F109))</f>
        <v>3834.0415974244993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1062.95</v>
      </c>
      <c r="B120" s="135">
        <f>SUM(B106:B119)</f>
        <v>457.47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D127+D128+'11'!I127</f>
        <v>150</v>
      </c>
      <c r="M127" s="1"/>
      <c r="R127" s="3"/>
    </row>
    <row r="128" spans="1:18" ht="15.6">
      <c r="A128" s="1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>
        <v>2.5</v>
      </c>
      <c r="C130" s="16" t="s">
        <v>886</v>
      </c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2:7" ht="15" customHeight="1" thickBot="1">
      <c r="B243" s="411"/>
      <c r="C243" s="412"/>
      <c r="D243" s="412"/>
      <c r="E243" s="412"/>
      <c r="F243" s="412"/>
      <c r="G243" s="413"/>
    </row>
    <row r="244" spans="2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 t="s">
        <v>401</v>
      </c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>
        <v>5</v>
      </c>
      <c r="C256" s="16" t="s">
        <v>408</v>
      </c>
      <c r="D256" s="137"/>
      <c r="E256" s="138"/>
      <c r="F256" s="138"/>
      <c r="G256" s="16"/>
    </row>
    <row r="257" spans="2:8">
      <c r="B257" s="134">
        <v>40</v>
      </c>
      <c r="C257" s="16" t="s">
        <v>914</v>
      </c>
      <c r="D257" s="137"/>
      <c r="E257" s="138"/>
      <c r="F257" s="138"/>
      <c r="G257" s="16" t="s">
        <v>404</v>
      </c>
      <c r="H257" s="89">
        <f>1208-(100.67*7)</f>
        <v>503.30999999999995</v>
      </c>
    </row>
    <row r="258" spans="2:8">
      <c r="B258" s="134"/>
      <c r="C258" s="16"/>
      <c r="D258" s="137"/>
      <c r="E258" s="138"/>
      <c r="F258" s="138"/>
      <c r="G258" s="16"/>
    </row>
    <row r="259" spans="2:8" ht="15" thickBot="1">
      <c r="B259" s="135"/>
      <c r="C259" s="17"/>
      <c r="D259" s="135"/>
      <c r="E259" s="139"/>
      <c r="F259" s="139"/>
      <c r="G259" s="17"/>
    </row>
    <row r="260" spans="2:8" ht="15" thickBot="1"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8" ht="15" thickBot="1">
      <c r="B261" s="5"/>
      <c r="C261" s="3"/>
      <c r="D261" s="5"/>
      <c r="E261" s="5"/>
    </row>
    <row r="262" spans="2:8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2:8" ht="15" customHeight="1" thickBot="1">
      <c r="B263" s="411"/>
      <c r="C263" s="412"/>
      <c r="D263" s="412"/>
      <c r="E263" s="412"/>
      <c r="F263" s="412"/>
      <c r="G263" s="413"/>
    </row>
    <row r="264" spans="2:8">
      <c r="B264" s="400" t="s">
        <v>8</v>
      </c>
      <c r="C264" s="401"/>
      <c r="D264" s="400" t="s">
        <v>9</v>
      </c>
      <c r="E264" s="408"/>
      <c r="F264" s="408"/>
      <c r="G264" s="401"/>
    </row>
    <row r="265" spans="2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8">
      <c r="B266" s="133">
        <v>50</v>
      </c>
      <c r="C266" s="19"/>
      <c r="D266" s="137"/>
      <c r="E266" s="138"/>
      <c r="F266" s="138"/>
      <c r="G266" s="16"/>
    </row>
    <row r="267" spans="2:8">
      <c r="B267" s="134">
        <v>10</v>
      </c>
      <c r="C267" s="16"/>
      <c r="D267" s="137"/>
      <c r="E267" s="138"/>
      <c r="F267" s="138"/>
      <c r="G267" s="16"/>
    </row>
    <row r="268" spans="2:8">
      <c r="B268" s="134"/>
      <c r="C268" s="16"/>
      <c r="D268" s="137"/>
      <c r="E268" s="138"/>
      <c r="F268" s="138"/>
      <c r="G268" s="16"/>
    </row>
    <row r="269" spans="2:8">
      <c r="B269" s="134"/>
      <c r="C269" s="16"/>
      <c r="D269" s="137"/>
      <c r="E269" s="138"/>
      <c r="F269" s="138"/>
      <c r="G269" s="16"/>
    </row>
    <row r="270" spans="2:8">
      <c r="B270" s="134"/>
      <c r="C270" s="16"/>
      <c r="D270" s="137"/>
      <c r="E270" s="138"/>
      <c r="F270" s="138"/>
      <c r="G270" s="16"/>
    </row>
    <row r="271" spans="2:8">
      <c r="B271" s="134"/>
      <c r="C271" s="16"/>
      <c r="D271" s="137"/>
      <c r="E271" s="138"/>
      <c r="F271" s="138"/>
      <c r="G271" s="16"/>
    </row>
    <row r="272" spans="2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>
        <v>40</v>
      </c>
      <c r="C299" s="17" t="s">
        <v>765</v>
      </c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0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0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>
        <v>35</v>
      </c>
      <c r="C358" s="16" t="s">
        <v>732</v>
      </c>
      <c r="D358" s="137"/>
      <c r="E358" s="138"/>
      <c r="F358" s="138"/>
      <c r="G358" s="16"/>
    </row>
    <row r="359" spans="2:7" ht="15" thickBot="1">
      <c r="B359" s="135">
        <v>10</v>
      </c>
      <c r="C359" s="17" t="s">
        <v>864</v>
      </c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0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65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-3900</v>
      </c>
      <c r="C426" s="19" t="s">
        <v>233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'11'!A466+(B466-SUM(D466:F466))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'11'!A467+(B467-SUM(D467:F467))</f>
        <v>803.43919055649235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6">
      <c r="A468" s="112">
        <f>'11'!A468+(B468-SUM(D468:F468))</f>
        <v>243.4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1596.8391905564924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AQ4:AT5" display="SALDO REAL"/>
    <hyperlink ref="I22" location="Trimestre!C39:F40" display="TELÉFONO"/>
    <hyperlink ref="I22:L23" location="AÑO!AQ7:AT17" display="INGRESOS"/>
    <hyperlink ref="B2" location="Trimestre!C25:F26" display="HIPOTECA"/>
    <hyperlink ref="B2:G3" location="AÑO!AQ20:AT20" display="AÑO!AQ20:AT20"/>
    <hyperlink ref="B22" location="Trimestre!C25:F26" display="HIPOTECA"/>
    <hyperlink ref="B22:G23" location="AÑO!AQ21:AT21" display="AÑO!AQ21:AT21"/>
    <hyperlink ref="B42" location="Trimestre!C25:F26" display="HIPOTECA"/>
    <hyperlink ref="B42:G43" location="AÑO!AQ22:AT22" display="AÑO!AQ22:AT22"/>
    <hyperlink ref="B62" location="Trimestre!C25:F26" display="HIPOTECA"/>
    <hyperlink ref="B62:G63" location="AÑO!AQ23:AT23" display="AÑO!AQ23:AT23"/>
    <hyperlink ref="B82" location="Trimestre!C25:F26" display="HIPOTECA"/>
    <hyperlink ref="B82:G83" location="AÑO!AQ24:AT24" display="AÑO!AQ24:AT24"/>
    <hyperlink ref="B102" location="Trimestre!C25:F26" display="HIPOTECA"/>
    <hyperlink ref="B102:G103" location="AÑO!AQ25:AT25" display="AÑO!AQ25:AT25"/>
    <hyperlink ref="B122" location="Trimestre!C25:F26" display="HIPOTECA"/>
    <hyperlink ref="B122:G123" location="AÑO!AQ26:AT26" display="AÑO!AQ26:AT26"/>
    <hyperlink ref="B142" location="Trimestre!C25:F26" display="HIPOTECA"/>
    <hyperlink ref="B142:G143" location="AÑO!AQ27:AT27" display="AÑO!AQ27:AT27"/>
    <hyperlink ref="B162" location="Trimestre!C25:F26" display="HIPOTECA"/>
    <hyperlink ref="B162:G163" location="AÑO!AQ28:AT28" display="AÑO!AQ28:AT28"/>
    <hyperlink ref="B182" location="Trimestre!C25:F26" display="HIPOTECA"/>
    <hyperlink ref="B182:G183" location="AÑO!AQ29:AT29" display="AÑO!AQ29:AT29"/>
    <hyperlink ref="B202" location="Trimestre!C25:F26" display="HIPOTECA"/>
    <hyperlink ref="B202:G203" location="AÑO!AQ30:AT30" display="AÑO!AQ30:AT30"/>
    <hyperlink ref="B222" location="Trimestre!C25:F26" display="HIPOTECA"/>
    <hyperlink ref="B222:G223" location="AÑO!AQ31:AT31" display="AÑO!AQ31:AT31"/>
    <hyperlink ref="B242" location="Trimestre!C25:F26" display="HIPOTECA"/>
    <hyperlink ref="B242:G243" location="AÑO!AQ32:AT32" display="AÑO!AQ32:AT32"/>
    <hyperlink ref="B262" location="Trimestre!C25:F26" display="HIPOTECA"/>
    <hyperlink ref="B262:G263" location="AÑO!AQ33:AT33" display="AÑO!AQ33:AT33"/>
    <hyperlink ref="B282" location="Trimestre!C25:F26" display="HIPOTECA"/>
    <hyperlink ref="B282:G283" location="AÑO!AQ34:AT34" display="AÑO!AQ34:AT34"/>
    <hyperlink ref="B302" location="Trimestre!C25:F26" display="HIPOTECA"/>
    <hyperlink ref="B302:G303" location="AÑO!AQ35:AT35" display="AÑO!AQ35:AT35"/>
    <hyperlink ref="B322" location="Trimestre!C25:F26" display="HIPOTECA"/>
    <hyperlink ref="B322:G323" location="AÑO!AQ36:AT36" display="AÑO!AQ36:AT36"/>
    <hyperlink ref="B342" location="Trimestre!C25:F26" display="HIPOTECA"/>
    <hyperlink ref="B342:G343" location="AÑO!AQ37:AT37" display="AÑO!AQ37:AT37"/>
    <hyperlink ref="B362" location="Trimestre!C25:F26" display="HIPOTECA"/>
    <hyperlink ref="B362:G363" location="AÑO!AQ38:AT38" display="AÑO!AQ38:AT38"/>
    <hyperlink ref="B382" location="Trimestre!C25:F26" display="HIPOTECA"/>
    <hyperlink ref="B382:G383" location="AÑO!AQ39:AT39" display="AÑO!AQ39:AT39"/>
    <hyperlink ref="B402" location="Trimestre!C25:F26" display="HIPOTECA"/>
    <hyperlink ref="B402:G403" location="AÑO!AQ40:AT40" display="AÑO!AQ40:AT40"/>
    <hyperlink ref="B422" location="Trimestre!C25:F26" display="HIPOTECA"/>
    <hyperlink ref="B422:G423" location="AÑO!AQ41:AT41" display="AÑO!AQ41:AT41"/>
    <hyperlink ref="B442" location="Trimestre!C25:F26" display="HIPOTECA"/>
    <hyperlink ref="B442:G443" location="AÑO!AQ42:AT42" display="AÑO!AQ42:AT42"/>
    <hyperlink ref="B462" location="Trimestre!C25:F26" display="HIPOTECA"/>
    <hyperlink ref="B462:G463" location="AÑO!AQ43:AT43" display="AÑO!AQ43:AT43"/>
    <hyperlink ref="B482" location="Trimestre!C25:F26" display="HIPOTECA"/>
    <hyperlink ref="B482:G483" location="AÑO!AQ44:AT44" display="AÑO!AQ44:AT44"/>
    <hyperlink ref="B502" location="Trimestre!C25:F26" display="HIPOTECA"/>
    <hyperlink ref="B502:G503" location="AÑO!AQ45:AT45" display="AÑO!AQ45:AT45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opLeftCell="A13" workbookViewId="0">
      <selection activeCell="F27" sqref="F27"/>
    </sheetView>
  </sheetViews>
  <sheetFormatPr baseColWidth="10" defaultColWidth="11" defaultRowHeight="14.4"/>
  <cols>
    <col min="3" max="3" width="14.109375" customWidth="1"/>
    <col min="4" max="4" width="18" customWidth="1"/>
    <col min="8" max="8" width="17.6640625" bestFit="1" customWidth="1"/>
    <col min="11" max="11" width="12" bestFit="1" customWidth="1"/>
  </cols>
  <sheetData>
    <row r="1" spans="1:5" ht="15" thickBot="1">
      <c r="A1" s="90">
        <v>258.47000000000003</v>
      </c>
    </row>
    <row r="2" spans="1:5" ht="1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148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148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148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workbookViewId="0">
      <selection activeCell="N6" sqref="N6"/>
    </sheetView>
  </sheetViews>
  <sheetFormatPr baseColWidth="10" defaultColWidth="11.6640625" defaultRowHeight="14.4"/>
  <cols>
    <col min="1" max="1" width="30.109375" customWidth="1"/>
    <col min="2" max="2" width="15" customWidth="1"/>
    <col min="3" max="3" width="14.44140625" customWidth="1"/>
    <col min="4" max="4" width="29.109375" customWidth="1"/>
    <col min="5" max="5" width="24.5546875" customWidth="1"/>
    <col min="6" max="6" width="13.109375" customWidth="1"/>
    <col min="7" max="7" width="8.6640625" customWidth="1"/>
    <col min="8" max="8" width="8" customWidth="1"/>
    <col min="9" max="9" width="12.33203125" customWidth="1"/>
    <col min="10" max="10" width="20.33203125" customWidth="1"/>
    <col min="11" max="11" width="13.88671875" customWidth="1"/>
    <col min="12" max="12" width="8.6640625" customWidth="1"/>
    <col min="14" max="15" width="12" bestFit="1" customWidth="1"/>
    <col min="257" max="257" width="30.109375" customWidth="1"/>
    <col min="258" max="258" width="15" customWidth="1"/>
    <col min="259" max="259" width="14.44140625" customWidth="1"/>
    <col min="260" max="260" width="29.109375" customWidth="1"/>
    <col min="261" max="261" width="24.5546875" customWidth="1"/>
    <col min="262" max="262" width="13.109375" customWidth="1"/>
    <col min="263" max="263" width="8.6640625" customWidth="1"/>
    <col min="264" max="264" width="8" customWidth="1"/>
    <col min="265" max="265" width="12.33203125" customWidth="1"/>
    <col min="266" max="266" width="20.33203125" customWidth="1"/>
    <col min="267" max="267" width="13.88671875" customWidth="1"/>
    <col min="268" max="268" width="8" customWidth="1"/>
    <col min="513" max="513" width="30.109375" customWidth="1"/>
    <col min="514" max="514" width="15" customWidth="1"/>
    <col min="515" max="515" width="14.44140625" customWidth="1"/>
    <col min="516" max="516" width="29.109375" customWidth="1"/>
    <col min="517" max="517" width="24.5546875" customWidth="1"/>
    <col min="518" max="518" width="13.109375" customWidth="1"/>
    <col min="519" max="519" width="8.6640625" customWidth="1"/>
    <col min="520" max="520" width="8" customWidth="1"/>
    <col min="521" max="521" width="12.33203125" customWidth="1"/>
    <col min="522" max="522" width="20.33203125" customWidth="1"/>
    <col min="523" max="523" width="13.88671875" customWidth="1"/>
    <col min="524" max="524" width="8" customWidth="1"/>
    <col min="769" max="769" width="30.109375" customWidth="1"/>
    <col min="770" max="770" width="15" customWidth="1"/>
    <col min="771" max="771" width="14.44140625" customWidth="1"/>
    <col min="772" max="772" width="29.109375" customWidth="1"/>
    <col min="773" max="773" width="24.5546875" customWidth="1"/>
    <col min="774" max="774" width="13.109375" customWidth="1"/>
    <col min="775" max="775" width="8.6640625" customWidth="1"/>
    <col min="776" max="776" width="8" customWidth="1"/>
    <col min="777" max="777" width="12.33203125" customWidth="1"/>
    <col min="778" max="778" width="20.33203125" customWidth="1"/>
    <col min="779" max="779" width="13.88671875" customWidth="1"/>
    <col min="780" max="780" width="8" customWidth="1"/>
    <col min="1025" max="1025" width="30.109375" customWidth="1"/>
    <col min="1026" max="1026" width="15" customWidth="1"/>
    <col min="1027" max="1027" width="14.44140625" customWidth="1"/>
    <col min="1028" max="1028" width="29.109375" customWidth="1"/>
    <col min="1029" max="1029" width="24.5546875" customWidth="1"/>
    <col min="1030" max="1030" width="13.109375" customWidth="1"/>
    <col min="1031" max="1031" width="8.6640625" customWidth="1"/>
    <col min="1032" max="1032" width="8" customWidth="1"/>
    <col min="1033" max="1033" width="12.33203125" customWidth="1"/>
    <col min="1034" max="1034" width="20.33203125" customWidth="1"/>
    <col min="1035" max="1035" width="13.88671875" customWidth="1"/>
    <col min="1036" max="1036" width="8" customWidth="1"/>
    <col min="1281" max="1281" width="30.109375" customWidth="1"/>
    <col min="1282" max="1282" width="15" customWidth="1"/>
    <col min="1283" max="1283" width="14.44140625" customWidth="1"/>
    <col min="1284" max="1284" width="29.109375" customWidth="1"/>
    <col min="1285" max="1285" width="24.5546875" customWidth="1"/>
    <col min="1286" max="1286" width="13.109375" customWidth="1"/>
    <col min="1287" max="1287" width="8.6640625" customWidth="1"/>
    <col min="1288" max="1288" width="8" customWidth="1"/>
    <col min="1289" max="1289" width="12.33203125" customWidth="1"/>
    <col min="1290" max="1290" width="20.33203125" customWidth="1"/>
    <col min="1291" max="1291" width="13.88671875" customWidth="1"/>
    <col min="1292" max="1292" width="8" customWidth="1"/>
    <col min="1537" max="1537" width="30.109375" customWidth="1"/>
    <col min="1538" max="1538" width="15" customWidth="1"/>
    <col min="1539" max="1539" width="14.44140625" customWidth="1"/>
    <col min="1540" max="1540" width="29.109375" customWidth="1"/>
    <col min="1541" max="1541" width="24.5546875" customWidth="1"/>
    <col min="1542" max="1542" width="13.109375" customWidth="1"/>
    <col min="1543" max="1543" width="8.6640625" customWidth="1"/>
    <col min="1544" max="1544" width="8" customWidth="1"/>
    <col min="1545" max="1545" width="12.33203125" customWidth="1"/>
    <col min="1546" max="1546" width="20.33203125" customWidth="1"/>
    <col min="1547" max="1547" width="13.88671875" customWidth="1"/>
    <col min="1548" max="1548" width="8" customWidth="1"/>
    <col min="1793" max="1793" width="30.109375" customWidth="1"/>
    <col min="1794" max="1794" width="15" customWidth="1"/>
    <col min="1795" max="1795" width="14.44140625" customWidth="1"/>
    <col min="1796" max="1796" width="29.109375" customWidth="1"/>
    <col min="1797" max="1797" width="24.5546875" customWidth="1"/>
    <col min="1798" max="1798" width="13.109375" customWidth="1"/>
    <col min="1799" max="1799" width="8.6640625" customWidth="1"/>
    <col min="1800" max="1800" width="8" customWidth="1"/>
    <col min="1801" max="1801" width="12.33203125" customWidth="1"/>
    <col min="1802" max="1802" width="20.33203125" customWidth="1"/>
    <col min="1803" max="1803" width="13.88671875" customWidth="1"/>
    <col min="1804" max="1804" width="8" customWidth="1"/>
    <col min="2049" max="2049" width="30.109375" customWidth="1"/>
    <col min="2050" max="2050" width="15" customWidth="1"/>
    <col min="2051" max="2051" width="14.44140625" customWidth="1"/>
    <col min="2052" max="2052" width="29.109375" customWidth="1"/>
    <col min="2053" max="2053" width="24.5546875" customWidth="1"/>
    <col min="2054" max="2054" width="13.109375" customWidth="1"/>
    <col min="2055" max="2055" width="8.6640625" customWidth="1"/>
    <col min="2056" max="2056" width="8" customWidth="1"/>
    <col min="2057" max="2057" width="12.33203125" customWidth="1"/>
    <col min="2058" max="2058" width="20.33203125" customWidth="1"/>
    <col min="2059" max="2059" width="13.88671875" customWidth="1"/>
    <col min="2060" max="2060" width="8" customWidth="1"/>
    <col min="2305" max="2305" width="30.109375" customWidth="1"/>
    <col min="2306" max="2306" width="15" customWidth="1"/>
    <col min="2307" max="2307" width="14.44140625" customWidth="1"/>
    <col min="2308" max="2308" width="29.109375" customWidth="1"/>
    <col min="2309" max="2309" width="24.5546875" customWidth="1"/>
    <col min="2310" max="2310" width="13.109375" customWidth="1"/>
    <col min="2311" max="2311" width="8.6640625" customWidth="1"/>
    <col min="2312" max="2312" width="8" customWidth="1"/>
    <col min="2313" max="2313" width="12.33203125" customWidth="1"/>
    <col min="2314" max="2314" width="20.33203125" customWidth="1"/>
    <col min="2315" max="2315" width="13.88671875" customWidth="1"/>
    <col min="2316" max="2316" width="8" customWidth="1"/>
    <col min="2561" max="2561" width="30.109375" customWidth="1"/>
    <col min="2562" max="2562" width="15" customWidth="1"/>
    <col min="2563" max="2563" width="14.44140625" customWidth="1"/>
    <col min="2564" max="2564" width="29.109375" customWidth="1"/>
    <col min="2565" max="2565" width="24.5546875" customWidth="1"/>
    <col min="2566" max="2566" width="13.109375" customWidth="1"/>
    <col min="2567" max="2567" width="8.6640625" customWidth="1"/>
    <col min="2568" max="2568" width="8" customWidth="1"/>
    <col min="2569" max="2569" width="12.33203125" customWidth="1"/>
    <col min="2570" max="2570" width="20.33203125" customWidth="1"/>
    <col min="2571" max="2571" width="13.88671875" customWidth="1"/>
    <col min="2572" max="2572" width="8" customWidth="1"/>
    <col min="2817" max="2817" width="30.109375" customWidth="1"/>
    <col min="2818" max="2818" width="15" customWidth="1"/>
    <col min="2819" max="2819" width="14.44140625" customWidth="1"/>
    <col min="2820" max="2820" width="29.109375" customWidth="1"/>
    <col min="2821" max="2821" width="24.5546875" customWidth="1"/>
    <col min="2822" max="2822" width="13.109375" customWidth="1"/>
    <col min="2823" max="2823" width="8.6640625" customWidth="1"/>
    <col min="2824" max="2824" width="8" customWidth="1"/>
    <col min="2825" max="2825" width="12.33203125" customWidth="1"/>
    <col min="2826" max="2826" width="20.33203125" customWidth="1"/>
    <col min="2827" max="2827" width="13.88671875" customWidth="1"/>
    <col min="2828" max="2828" width="8" customWidth="1"/>
    <col min="3073" max="3073" width="30.109375" customWidth="1"/>
    <col min="3074" max="3074" width="15" customWidth="1"/>
    <col min="3075" max="3075" width="14.44140625" customWidth="1"/>
    <col min="3076" max="3076" width="29.109375" customWidth="1"/>
    <col min="3077" max="3077" width="24.5546875" customWidth="1"/>
    <col min="3078" max="3078" width="13.109375" customWidth="1"/>
    <col min="3079" max="3079" width="8.6640625" customWidth="1"/>
    <col min="3080" max="3080" width="8" customWidth="1"/>
    <col min="3081" max="3081" width="12.33203125" customWidth="1"/>
    <col min="3082" max="3082" width="20.33203125" customWidth="1"/>
    <col min="3083" max="3083" width="13.88671875" customWidth="1"/>
    <col min="3084" max="3084" width="8" customWidth="1"/>
    <col min="3329" max="3329" width="30.109375" customWidth="1"/>
    <col min="3330" max="3330" width="15" customWidth="1"/>
    <col min="3331" max="3331" width="14.44140625" customWidth="1"/>
    <col min="3332" max="3332" width="29.109375" customWidth="1"/>
    <col min="3333" max="3333" width="24.5546875" customWidth="1"/>
    <col min="3334" max="3334" width="13.109375" customWidth="1"/>
    <col min="3335" max="3335" width="8.6640625" customWidth="1"/>
    <col min="3336" max="3336" width="8" customWidth="1"/>
    <col min="3337" max="3337" width="12.33203125" customWidth="1"/>
    <col min="3338" max="3338" width="20.33203125" customWidth="1"/>
    <col min="3339" max="3339" width="13.88671875" customWidth="1"/>
    <col min="3340" max="3340" width="8" customWidth="1"/>
    <col min="3585" max="3585" width="30.109375" customWidth="1"/>
    <col min="3586" max="3586" width="15" customWidth="1"/>
    <col min="3587" max="3587" width="14.44140625" customWidth="1"/>
    <col min="3588" max="3588" width="29.109375" customWidth="1"/>
    <col min="3589" max="3589" width="24.5546875" customWidth="1"/>
    <col min="3590" max="3590" width="13.109375" customWidth="1"/>
    <col min="3591" max="3591" width="8.6640625" customWidth="1"/>
    <col min="3592" max="3592" width="8" customWidth="1"/>
    <col min="3593" max="3593" width="12.33203125" customWidth="1"/>
    <col min="3594" max="3594" width="20.33203125" customWidth="1"/>
    <col min="3595" max="3595" width="13.88671875" customWidth="1"/>
    <col min="3596" max="3596" width="8" customWidth="1"/>
    <col min="3841" max="3841" width="30.109375" customWidth="1"/>
    <col min="3842" max="3842" width="15" customWidth="1"/>
    <col min="3843" max="3843" width="14.44140625" customWidth="1"/>
    <col min="3844" max="3844" width="29.109375" customWidth="1"/>
    <col min="3845" max="3845" width="24.5546875" customWidth="1"/>
    <col min="3846" max="3846" width="13.109375" customWidth="1"/>
    <col min="3847" max="3847" width="8.6640625" customWidth="1"/>
    <col min="3848" max="3848" width="8" customWidth="1"/>
    <col min="3849" max="3849" width="12.33203125" customWidth="1"/>
    <col min="3850" max="3850" width="20.33203125" customWidth="1"/>
    <col min="3851" max="3851" width="13.88671875" customWidth="1"/>
    <col min="3852" max="3852" width="8" customWidth="1"/>
    <col min="4097" max="4097" width="30.109375" customWidth="1"/>
    <col min="4098" max="4098" width="15" customWidth="1"/>
    <col min="4099" max="4099" width="14.44140625" customWidth="1"/>
    <col min="4100" max="4100" width="29.109375" customWidth="1"/>
    <col min="4101" max="4101" width="24.5546875" customWidth="1"/>
    <col min="4102" max="4102" width="13.109375" customWidth="1"/>
    <col min="4103" max="4103" width="8.6640625" customWidth="1"/>
    <col min="4104" max="4104" width="8" customWidth="1"/>
    <col min="4105" max="4105" width="12.33203125" customWidth="1"/>
    <col min="4106" max="4106" width="20.33203125" customWidth="1"/>
    <col min="4107" max="4107" width="13.88671875" customWidth="1"/>
    <col min="4108" max="4108" width="8" customWidth="1"/>
    <col min="4353" max="4353" width="30.109375" customWidth="1"/>
    <col min="4354" max="4354" width="15" customWidth="1"/>
    <col min="4355" max="4355" width="14.44140625" customWidth="1"/>
    <col min="4356" max="4356" width="29.109375" customWidth="1"/>
    <col min="4357" max="4357" width="24.5546875" customWidth="1"/>
    <col min="4358" max="4358" width="13.109375" customWidth="1"/>
    <col min="4359" max="4359" width="8.6640625" customWidth="1"/>
    <col min="4360" max="4360" width="8" customWidth="1"/>
    <col min="4361" max="4361" width="12.33203125" customWidth="1"/>
    <col min="4362" max="4362" width="20.33203125" customWidth="1"/>
    <col min="4363" max="4363" width="13.88671875" customWidth="1"/>
    <col min="4364" max="4364" width="8" customWidth="1"/>
    <col min="4609" max="4609" width="30.109375" customWidth="1"/>
    <col min="4610" max="4610" width="15" customWidth="1"/>
    <col min="4611" max="4611" width="14.44140625" customWidth="1"/>
    <col min="4612" max="4612" width="29.109375" customWidth="1"/>
    <col min="4613" max="4613" width="24.5546875" customWidth="1"/>
    <col min="4614" max="4614" width="13.109375" customWidth="1"/>
    <col min="4615" max="4615" width="8.6640625" customWidth="1"/>
    <col min="4616" max="4616" width="8" customWidth="1"/>
    <col min="4617" max="4617" width="12.33203125" customWidth="1"/>
    <col min="4618" max="4618" width="20.33203125" customWidth="1"/>
    <col min="4619" max="4619" width="13.88671875" customWidth="1"/>
    <col min="4620" max="4620" width="8" customWidth="1"/>
    <col min="4865" max="4865" width="30.109375" customWidth="1"/>
    <col min="4866" max="4866" width="15" customWidth="1"/>
    <col min="4867" max="4867" width="14.44140625" customWidth="1"/>
    <col min="4868" max="4868" width="29.109375" customWidth="1"/>
    <col min="4869" max="4869" width="24.5546875" customWidth="1"/>
    <col min="4870" max="4870" width="13.109375" customWidth="1"/>
    <col min="4871" max="4871" width="8.6640625" customWidth="1"/>
    <col min="4872" max="4872" width="8" customWidth="1"/>
    <col min="4873" max="4873" width="12.33203125" customWidth="1"/>
    <col min="4874" max="4874" width="20.33203125" customWidth="1"/>
    <col min="4875" max="4875" width="13.88671875" customWidth="1"/>
    <col min="4876" max="4876" width="8" customWidth="1"/>
    <col min="5121" max="5121" width="30.109375" customWidth="1"/>
    <col min="5122" max="5122" width="15" customWidth="1"/>
    <col min="5123" max="5123" width="14.44140625" customWidth="1"/>
    <col min="5124" max="5124" width="29.109375" customWidth="1"/>
    <col min="5125" max="5125" width="24.5546875" customWidth="1"/>
    <col min="5126" max="5126" width="13.109375" customWidth="1"/>
    <col min="5127" max="5127" width="8.6640625" customWidth="1"/>
    <col min="5128" max="5128" width="8" customWidth="1"/>
    <col min="5129" max="5129" width="12.33203125" customWidth="1"/>
    <col min="5130" max="5130" width="20.33203125" customWidth="1"/>
    <col min="5131" max="5131" width="13.88671875" customWidth="1"/>
    <col min="5132" max="5132" width="8" customWidth="1"/>
    <col min="5377" max="5377" width="30.109375" customWidth="1"/>
    <col min="5378" max="5378" width="15" customWidth="1"/>
    <col min="5379" max="5379" width="14.44140625" customWidth="1"/>
    <col min="5380" max="5380" width="29.109375" customWidth="1"/>
    <col min="5381" max="5381" width="24.5546875" customWidth="1"/>
    <col min="5382" max="5382" width="13.109375" customWidth="1"/>
    <col min="5383" max="5383" width="8.6640625" customWidth="1"/>
    <col min="5384" max="5384" width="8" customWidth="1"/>
    <col min="5385" max="5385" width="12.33203125" customWidth="1"/>
    <col min="5386" max="5386" width="20.33203125" customWidth="1"/>
    <col min="5387" max="5387" width="13.88671875" customWidth="1"/>
    <col min="5388" max="5388" width="8" customWidth="1"/>
    <col min="5633" max="5633" width="30.109375" customWidth="1"/>
    <col min="5634" max="5634" width="15" customWidth="1"/>
    <col min="5635" max="5635" width="14.44140625" customWidth="1"/>
    <col min="5636" max="5636" width="29.109375" customWidth="1"/>
    <col min="5637" max="5637" width="24.5546875" customWidth="1"/>
    <col min="5638" max="5638" width="13.109375" customWidth="1"/>
    <col min="5639" max="5639" width="8.6640625" customWidth="1"/>
    <col min="5640" max="5640" width="8" customWidth="1"/>
    <col min="5641" max="5641" width="12.33203125" customWidth="1"/>
    <col min="5642" max="5642" width="20.33203125" customWidth="1"/>
    <col min="5643" max="5643" width="13.88671875" customWidth="1"/>
    <col min="5644" max="5644" width="8" customWidth="1"/>
    <col min="5889" max="5889" width="30.109375" customWidth="1"/>
    <col min="5890" max="5890" width="15" customWidth="1"/>
    <col min="5891" max="5891" width="14.44140625" customWidth="1"/>
    <col min="5892" max="5892" width="29.109375" customWidth="1"/>
    <col min="5893" max="5893" width="24.5546875" customWidth="1"/>
    <col min="5894" max="5894" width="13.109375" customWidth="1"/>
    <col min="5895" max="5895" width="8.6640625" customWidth="1"/>
    <col min="5896" max="5896" width="8" customWidth="1"/>
    <col min="5897" max="5897" width="12.33203125" customWidth="1"/>
    <col min="5898" max="5898" width="20.33203125" customWidth="1"/>
    <col min="5899" max="5899" width="13.88671875" customWidth="1"/>
    <col min="5900" max="5900" width="8" customWidth="1"/>
    <col min="6145" max="6145" width="30.109375" customWidth="1"/>
    <col min="6146" max="6146" width="15" customWidth="1"/>
    <col min="6147" max="6147" width="14.44140625" customWidth="1"/>
    <col min="6148" max="6148" width="29.109375" customWidth="1"/>
    <col min="6149" max="6149" width="24.5546875" customWidth="1"/>
    <col min="6150" max="6150" width="13.109375" customWidth="1"/>
    <col min="6151" max="6151" width="8.6640625" customWidth="1"/>
    <col min="6152" max="6152" width="8" customWidth="1"/>
    <col min="6153" max="6153" width="12.33203125" customWidth="1"/>
    <col min="6154" max="6154" width="20.33203125" customWidth="1"/>
    <col min="6155" max="6155" width="13.88671875" customWidth="1"/>
    <col min="6156" max="6156" width="8" customWidth="1"/>
    <col min="6401" max="6401" width="30.109375" customWidth="1"/>
    <col min="6402" max="6402" width="15" customWidth="1"/>
    <col min="6403" max="6403" width="14.44140625" customWidth="1"/>
    <col min="6404" max="6404" width="29.109375" customWidth="1"/>
    <col min="6405" max="6405" width="24.5546875" customWidth="1"/>
    <col min="6406" max="6406" width="13.109375" customWidth="1"/>
    <col min="6407" max="6407" width="8.6640625" customWidth="1"/>
    <col min="6408" max="6408" width="8" customWidth="1"/>
    <col min="6409" max="6409" width="12.33203125" customWidth="1"/>
    <col min="6410" max="6410" width="20.33203125" customWidth="1"/>
    <col min="6411" max="6411" width="13.88671875" customWidth="1"/>
    <col min="6412" max="6412" width="8" customWidth="1"/>
    <col min="6657" max="6657" width="30.109375" customWidth="1"/>
    <col min="6658" max="6658" width="15" customWidth="1"/>
    <col min="6659" max="6659" width="14.44140625" customWidth="1"/>
    <col min="6660" max="6660" width="29.109375" customWidth="1"/>
    <col min="6661" max="6661" width="24.5546875" customWidth="1"/>
    <col min="6662" max="6662" width="13.109375" customWidth="1"/>
    <col min="6663" max="6663" width="8.6640625" customWidth="1"/>
    <col min="6664" max="6664" width="8" customWidth="1"/>
    <col min="6665" max="6665" width="12.33203125" customWidth="1"/>
    <col min="6666" max="6666" width="20.33203125" customWidth="1"/>
    <col min="6667" max="6667" width="13.88671875" customWidth="1"/>
    <col min="6668" max="6668" width="8" customWidth="1"/>
    <col min="6913" max="6913" width="30.109375" customWidth="1"/>
    <col min="6914" max="6914" width="15" customWidth="1"/>
    <col min="6915" max="6915" width="14.44140625" customWidth="1"/>
    <col min="6916" max="6916" width="29.109375" customWidth="1"/>
    <col min="6917" max="6917" width="24.5546875" customWidth="1"/>
    <col min="6918" max="6918" width="13.109375" customWidth="1"/>
    <col min="6919" max="6919" width="8.6640625" customWidth="1"/>
    <col min="6920" max="6920" width="8" customWidth="1"/>
    <col min="6921" max="6921" width="12.33203125" customWidth="1"/>
    <col min="6922" max="6922" width="20.33203125" customWidth="1"/>
    <col min="6923" max="6923" width="13.88671875" customWidth="1"/>
    <col min="6924" max="6924" width="8" customWidth="1"/>
    <col min="7169" max="7169" width="30.109375" customWidth="1"/>
    <col min="7170" max="7170" width="15" customWidth="1"/>
    <col min="7171" max="7171" width="14.44140625" customWidth="1"/>
    <col min="7172" max="7172" width="29.109375" customWidth="1"/>
    <col min="7173" max="7173" width="24.5546875" customWidth="1"/>
    <col min="7174" max="7174" width="13.109375" customWidth="1"/>
    <col min="7175" max="7175" width="8.6640625" customWidth="1"/>
    <col min="7176" max="7176" width="8" customWidth="1"/>
    <col min="7177" max="7177" width="12.33203125" customWidth="1"/>
    <col min="7178" max="7178" width="20.33203125" customWidth="1"/>
    <col min="7179" max="7179" width="13.88671875" customWidth="1"/>
    <col min="7180" max="7180" width="8" customWidth="1"/>
    <col min="7425" max="7425" width="30.109375" customWidth="1"/>
    <col min="7426" max="7426" width="15" customWidth="1"/>
    <col min="7427" max="7427" width="14.44140625" customWidth="1"/>
    <col min="7428" max="7428" width="29.109375" customWidth="1"/>
    <col min="7429" max="7429" width="24.5546875" customWidth="1"/>
    <col min="7430" max="7430" width="13.109375" customWidth="1"/>
    <col min="7431" max="7431" width="8.6640625" customWidth="1"/>
    <col min="7432" max="7432" width="8" customWidth="1"/>
    <col min="7433" max="7433" width="12.33203125" customWidth="1"/>
    <col min="7434" max="7434" width="20.33203125" customWidth="1"/>
    <col min="7435" max="7435" width="13.88671875" customWidth="1"/>
    <col min="7436" max="7436" width="8" customWidth="1"/>
    <col min="7681" max="7681" width="30.109375" customWidth="1"/>
    <col min="7682" max="7682" width="15" customWidth="1"/>
    <col min="7683" max="7683" width="14.44140625" customWidth="1"/>
    <col min="7684" max="7684" width="29.109375" customWidth="1"/>
    <col min="7685" max="7685" width="24.5546875" customWidth="1"/>
    <col min="7686" max="7686" width="13.109375" customWidth="1"/>
    <col min="7687" max="7687" width="8.6640625" customWidth="1"/>
    <col min="7688" max="7688" width="8" customWidth="1"/>
    <col min="7689" max="7689" width="12.33203125" customWidth="1"/>
    <col min="7690" max="7690" width="20.33203125" customWidth="1"/>
    <col min="7691" max="7691" width="13.88671875" customWidth="1"/>
    <col min="7692" max="7692" width="8" customWidth="1"/>
    <col min="7937" max="7937" width="30.109375" customWidth="1"/>
    <col min="7938" max="7938" width="15" customWidth="1"/>
    <col min="7939" max="7939" width="14.44140625" customWidth="1"/>
    <col min="7940" max="7940" width="29.109375" customWidth="1"/>
    <col min="7941" max="7941" width="24.5546875" customWidth="1"/>
    <col min="7942" max="7942" width="13.109375" customWidth="1"/>
    <col min="7943" max="7943" width="8.6640625" customWidth="1"/>
    <col min="7944" max="7944" width="8" customWidth="1"/>
    <col min="7945" max="7945" width="12.33203125" customWidth="1"/>
    <col min="7946" max="7946" width="20.33203125" customWidth="1"/>
    <col min="7947" max="7947" width="13.88671875" customWidth="1"/>
    <col min="7948" max="7948" width="8" customWidth="1"/>
    <col min="8193" max="8193" width="30.109375" customWidth="1"/>
    <col min="8194" max="8194" width="15" customWidth="1"/>
    <col min="8195" max="8195" width="14.44140625" customWidth="1"/>
    <col min="8196" max="8196" width="29.109375" customWidth="1"/>
    <col min="8197" max="8197" width="24.5546875" customWidth="1"/>
    <col min="8198" max="8198" width="13.109375" customWidth="1"/>
    <col min="8199" max="8199" width="8.6640625" customWidth="1"/>
    <col min="8200" max="8200" width="8" customWidth="1"/>
    <col min="8201" max="8201" width="12.33203125" customWidth="1"/>
    <col min="8202" max="8202" width="20.33203125" customWidth="1"/>
    <col min="8203" max="8203" width="13.88671875" customWidth="1"/>
    <col min="8204" max="8204" width="8" customWidth="1"/>
    <col min="8449" max="8449" width="30.109375" customWidth="1"/>
    <col min="8450" max="8450" width="15" customWidth="1"/>
    <col min="8451" max="8451" width="14.44140625" customWidth="1"/>
    <col min="8452" max="8452" width="29.109375" customWidth="1"/>
    <col min="8453" max="8453" width="24.5546875" customWidth="1"/>
    <col min="8454" max="8454" width="13.109375" customWidth="1"/>
    <col min="8455" max="8455" width="8.6640625" customWidth="1"/>
    <col min="8456" max="8456" width="8" customWidth="1"/>
    <col min="8457" max="8457" width="12.33203125" customWidth="1"/>
    <col min="8458" max="8458" width="20.33203125" customWidth="1"/>
    <col min="8459" max="8459" width="13.88671875" customWidth="1"/>
    <col min="8460" max="8460" width="8" customWidth="1"/>
    <col min="8705" max="8705" width="30.109375" customWidth="1"/>
    <col min="8706" max="8706" width="15" customWidth="1"/>
    <col min="8707" max="8707" width="14.44140625" customWidth="1"/>
    <col min="8708" max="8708" width="29.109375" customWidth="1"/>
    <col min="8709" max="8709" width="24.5546875" customWidth="1"/>
    <col min="8710" max="8710" width="13.109375" customWidth="1"/>
    <col min="8711" max="8711" width="8.6640625" customWidth="1"/>
    <col min="8712" max="8712" width="8" customWidth="1"/>
    <col min="8713" max="8713" width="12.33203125" customWidth="1"/>
    <col min="8714" max="8714" width="20.33203125" customWidth="1"/>
    <col min="8715" max="8715" width="13.88671875" customWidth="1"/>
    <col min="8716" max="8716" width="8" customWidth="1"/>
    <col min="8961" max="8961" width="30.109375" customWidth="1"/>
    <col min="8962" max="8962" width="15" customWidth="1"/>
    <col min="8963" max="8963" width="14.44140625" customWidth="1"/>
    <col min="8964" max="8964" width="29.109375" customWidth="1"/>
    <col min="8965" max="8965" width="24.5546875" customWidth="1"/>
    <col min="8966" max="8966" width="13.109375" customWidth="1"/>
    <col min="8967" max="8967" width="8.6640625" customWidth="1"/>
    <col min="8968" max="8968" width="8" customWidth="1"/>
    <col min="8969" max="8969" width="12.33203125" customWidth="1"/>
    <col min="8970" max="8970" width="20.33203125" customWidth="1"/>
    <col min="8971" max="8971" width="13.88671875" customWidth="1"/>
    <col min="8972" max="8972" width="8" customWidth="1"/>
    <col min="9217" max="9217" width="30.109375" customWidth="1"/>
    <col min="9218" max="9218" width="15" customWidth="1"/>
    <col min="9219" max="9219" width="14.44140625" customWidth="1"/>
    <col min="9220" max="9220" width="29.109375" customWidth="1"/>
    <col min="9221" max="9221" width="24.5546875" customWidth="1"/>
    <col min="9222" max="9222" width="13.109375" customWidth="1"/>
    <col min="9223" max="9223" width="8.6640625" customWidth="1"/>
    <col min="9224" max="9224" width="8" customWidth="1"/>
    <col min="9225" max="9225" width="12.33203125" customWidth="1"/>
    <col min="9226" max="9226" width="20.33203125" customWidth="1"/>
    <col min="9227" max="9227" width="13.88671875" customWidth="1"/>
    <col min="9228" max="9228" width="8" customWidth="1"/>
    <col min="9473" max="9473" width="30.109375" customWidth="1"/>
    <col min="9474" max="9474" width="15" customWidth="1"/>
    <col min="9475" max="9475" width="14.44140625" customWidth="1"/>
    <col min="9476" max="9476" width="29.109375" customWidth="1"/>
    <col min="9477" max="9477" width="24.5546875" customWidth="1"/>
    <col min="9478" max="9478" width="13.109375" customWidth="1"/>
    <col min="9479" max="9479" width="8.6640625" customWidth="1"/>
    <col min="9480" max="9480" width="8" customWidth="1"/>
    <col min="9481" max="9481" width="12.33203125" customWidth="1"/>
    <col min="9482" max="9482" width="20.33203125" customWidth="1"/>
    <col min="9483" max="9483" width="13.88671875" customWidth="1"/>
    <col min="9484" max="9484" width="8" customWidth="1"/>
    <col min="9729" max="9729" width="30.109375" customWidth="1"/>
    <col min="9730" max="9730" width="15" customWidth="1"/>
    <col min="9731" max="9731" width="14.44140625" customWidth="1"/>
    <col min="9732" max="9732" width="29.109375" customWidth="1"/>
    <col min="9733" max="9733" width="24.5546875" customWidth="1"/>
    <col min="9734" max="9734" width="13.109375" customWidth="1"/>
    <col min="9735" max="9735" width="8.6640625" customWidth="1"/>
    <col min="9736" max="9736" width="8" customWidth="1"/>
    <col min="9737" max="9737" width="12.33203125" customWidth="1"/>
    <col min="9738" max="9738" width="20.33203125" customWidth="1"/>
    <col min="9739" max="9739" width="13.88671875" customWidth="1"/>
    <col min="9740" max="9740" width="8" customWidth="1"/>
    <col min="9985" max="9985" width="30.109375" customWidth="1"/>
    <col min="9986" max="9986" width="15" customWidth="1"/>
    <col min="9987" max="9987" width="14.44140625" customWidth="1"/>
    <col min="9988" max="9988" width="29.109375" customWidth="1"/>
    <col min="9989" max="9989" width="24.5546875" customWidth="1"/>
    <col min="9990" max="9990" width="13.109375" customWidth="1"/>
    <col min="9991" max="9991" width="8.6640625" customWidth="1"/>
    <col min="9992" max="9992" width="8" customWidth="1"/>
    <col min="9993" max="9993" width="12.33203125" customWidth="1"/>
    <col min="9994" max="9994" width="20.33203125" customWidth="1"/>
    <col min="9995" max="9995" width="13.88671875" customWidth="1"/>
    <col min="9996" max="9996" width="8" customWidth="1"/>
    <col min="10241" max="10241" width="30.109375" customWidth="1"/>
    <col min="10242" max="10242" width="15" customWidth="1"/>
    <col min="10243" max="10243" width="14.44140625" customWidth="1"/>
    <col min="10244" max="10244" width="29.109375" customWidth="1"/>
    <col min="10245" max="10245" width="24.5546875" customWidth="1"/>
    <col min="10246" max="10246" width="13.109375" customWidth="1"/>
    <col min="10247" max="10247" width="8.6640625" customWidth="1"/>
    <col min="10248" max="10248" width="8" customWidth="1"/>
    <col min="10249" max="10249" width="12.33203125" customWidth="1"/>
    <col min="10250" max="10250" width="20.33203125" customWidth="1"/>
    <col min="10251" max="10251" width="13.88671875" customWidth="1"/>
    <col min="10252" max="10252" width="8" customWidth="1"/>
    <col min="10497" max="10497" width="30.109375" customWidth="1"/>
    <col min="10498" max="10498" width="15" customWidth="1"/>
    <col min="10499" max="10499" width="14.44140625" customWidth="1"/>
    <col min="10500" max="10500" width="29.109375" customWidth="1"/>
    <col min="10501" max="10501" width="24.5546875" customWidth="1"/>
    <col min="10502" max="10502" width="13.109375" customWidth="1"/>
    <col min="10503" max="10503" width="8.6640625" customWidth="1"/>
    <col min="10504" max="10504" width="8" customWidth="1"/>
    <col min="10505" max="10505" width="12.33203125" customWidth="1"/>
    <col min="10506" max="10506" width="20.33203125" customWidth="1"/>
    <col min="10507" max="10507" width="13.88671875" customWidth="1"/>
    <col min="10508" max="10508" width="8" customWidth="1"/>
    <col min="10753" max="10753" width="30.109375" customWidth="1"/>
    <col min="10754" max="10754" width="15" customWidth="1"/>
    <col min="10755" max="10755" width="14.44140625" customWidth="1"/>
    <col min="10756" max="10756" width="29.109375" customWidth="1"/>
    <col min="10757" max="10757" width="24.5546875" customWidth="1"/>
    <col min="10758" max="10758" width="13.109375" customWidth="1"/>
    <col min="10759" max="10759" width="8.6640625" customWidth="1"/>
    <col min="10760" max="10760" width="8" customWidth="1"/>
    <col min="10761" max="10761" width="12.33203125" customWidth="1"/>
    <col min="10762" max="10762" width="20.33203125" customWidth="1"/>
    <col min="10763" max="10763" width="13.88671875" customWidth="1"/>
    <col min="10764" max="10764" width="8" customWidth="1"/>
    <col min="11009" max="11009" width="30.109375" customWidth="1"/>
    <col min="11010" max="11010" width="15" customWidth="1"/>
    <col min="11011" max="11011" width="14.44140625" customWidth="1"/>
    <col min="11012" max="11012" width="29.109375" customWidth="1"/>
    <col min="11013" max="11013" width="24.5546875" customWidth="1"/>
    <col min="11014" max="11014" width="13.109375" customWidth="1"/>
    <col min="11015" max="11015" width="8.6640625" customWidth="1"/>
    <col min="11016" max="11016" width="8" customWidth="1"/>
    <col min="11017" max="11017" width="12.33203125" customWidth="1"/>
    <col min="11018" max="11018" width="20.33203125" customWidth="1"/>
    <col min="11019" max="11019" width="13.88671875" customWidth="1"/>
    <col min="11020" max="11020" width="8" customWidth="1"/>
    <col min="11265" max="11265" width="30.109375" customWidth="1"/>
    <col min="11266" max="11266" width="15" customWidth="1"/>
    <col min="11267" max="11267" width="14.44140625" customWidth="1"/>
    <col min="11268" max="11268" width="29.109375" customWidth="1"/>
    <col min="11269" max="11269" width="24.5546875" customWidth="1"/>
    <col min="11270" max="11270" width="13.109375" customWidth="1"/>
    <col min="11271" max="11271" width="8.6640625" customWidth="1"/>
    <col min="11272" max="11272" width="8" customWidth="1"/>
    <col min="11273" max="11273" width="12.33203125" customWidth="1"/>
    <col min="11274" max="11274" width="20.33203125" customWidth="1"/>
    <col min="11275" max="11275" width="13.88671875" customWidth="1"/>
    <col min="11276" max="11276" width="8" customWidth="1"/>
    <col min="11521" max="11521" width="30.109375" customWidth="1"/>
    <col min="11522" max="11522" width="15" customWidth="1"/>
    <col min="11523" max="11523" width="14.44140625" customWidth="1"/>
    <col min="11524" max="11524" width="29.109375" customWidth="1"/>
    <col min="11525" max="11525" width="24.5546875" customWidth="1"/>
    <col min="11526" max="11526" width="13.109375" customWidth="1"/>
    <col min="11527" max="11527" width="8.6640625" customWidth="1"/>
    <col min="11528" max="11528" width="8" customWidth="1"/>
    <col min="11529" max="11529" width="12.33203125" customWidth="1"/>
    <col min="11530" max="11530" width="20.33203125" customWidth="1"/>
    <col min="11531" max="11531" width="13.88671875" customWidth="1"/>
    <col min="11532" max="11532" width="8" customWidth="1"/>
    <col min="11777" max="11777" width="30.109375" customWidth="1"/>
    <col min="11778" max="11778" width="15" customWidth="1"/>
    <col min="11779" max="11779" width="14.44140625" customWidth="1"/>
    <col min="11780" max="11780" width="29.109375" customWidth="1"/>
    <col min="11781" max="11781" width="24.5546875" customWidth="1"/>
    <col min="11782" max="11782" width="13.109375" customWidth="1"/>
    <col min="11783" max="11783" width="8.6640625" customWidth="1"/>
    <col min="11784" max="11784" width="8" customWidth="1"/>
    <col min="11785" max="11785" width="12.33203125" customWidth="1"/>
    <col min="11786" max="11786" width="20.33203125" customWidth="1"/>
    <col min="11787" max="11787" width="13.88671875" customWidth="1"/>
    <col min="11788" max="11788" width="8" customWidth="1"/>
    <col min="12033" max="12033" width="30.109375" customWidth="1"/>
    <col min="12034" max="12034" width="15" customWidth="1"/>
    <col min="12035" max="12035" width="14.44140625" customWidth="1"/>
    <col min="12036" max="12036" width="29.109375" customWidth="1"/>
    <col min="12037" max="12037" width="24.5546875" customWidth="1"/>
    <col min="12038" max="12038" width="13.109375" customWidth="1"/>
    <col min="12039" max="12039" width="8.6640625" customWidth="1"/>
    <col min="12040" max="12040" width="8" customWidth="1"/>
    <col min="12041" max="12041" width="12.33203125" customWidth="1"/>
    <col min="12042" max="12042" width="20.33203125" customWidth="1"/>
    <col min="12043" max="12043" width="13.88671875" customWidth="1"/>
    <col min="12044" max="12044" width="8" customWidth="1"/>
    <col min="12289" max="12289" width="30.109375" customWidth="1"/>
    <col min="12290" max="12290" width="15" customWidth="1"/>
    <col min="12291" max="12291" width="14.44140625" customWidth="1"/>
    <col min="12292" max="12292" width="29.109375" customWidth="1"/>
    <col min="12293" max="12293" width="24.5546875" customWidth="1"/>
    <col min="12294" max="12294" width="13.109375" customWidth="1"/>
    <col min="12295" max="12295" width="8.6640625" customWidth="1"/>
    <col min="12296" max="12296" width="8" customWidth="1"/>
    <col min="12297" max="12297" width="12.33203125" customWidth="1"/>
    <col min="12298" max="12298" width="20.33203125" customWidth="1"/>
    <col min="12299" max="12299" width="13.88671875" customWidth="1"/>
    <col min="12300" max="12300" width="8" customWidth="1"/>
    <col min="12545" max="12545" width="30.109375" customWidth="1"/>
    <col min="12546" max="12546" width="15" customWidth="1"/>
    <col min="12547" max="12547" width="14.44140625" customWidth="1"/>
    <col min="12548" max="12548" width="29.109375" customWidth="1"/>
    <col min="12549" max="12549" width="24.5546875" customWidth="1"/>
    <col min="12550" max="12550" width="13.109375" customWidth="1"/>
    <col min="12551" max="12551" width="8.6640625" customWidth="1"/>
    <col min="12552" max="12552" width="8" customWidth="1"/>
    <col min="12553" max="12553" width="12.33203125" customWidth="1"/>
    <col min="12554" max="12554" width="20.33203125" customWidth="1"/>
    <col min="12555" max="12555" width="13.88671875" customWidth="1"/>
    <col min="12556" max="12556" width="8" customWidth="1"/>
    <col min="12801" max="12801" width="30.109375" customWidth="1"/>
    <col min="12802" max="12802" width="15" customWidth="1"/>
    <col min="12803" max="12803" width="14.44140625" customWidth="1"/>
    <col min="12804" max="12804" width="29.109375" customWidth="1"/>
    <col min="12805" max="12805" width="24.5546875" customWidth="1"/>
    <col min="12806" max="12806" width="13.109375" customWidth="1"/>
    <col min="12807" max="12807" width="8.6640625" customWidth="1"/>
    <col min="12808" max="12808" width="8" customWidth="1"/>
    <col min="12809" max="12809" width="12.33203125" customWidth="1"/>
    <col min="12810" max="12810" width="20.33203125" customWidth="1"/>
    <col min="12811" max="12811" width="13.88671875" customWidth="1"/>
    <col min="12812" max="12812" width="8" customWidth="1"/>
    <col min="13057" max="13057" width="30.109375" customWidth="1"/>
    <col min="13058" max="13058" width="15" customWidth="1"/>
    <col min="13059" max="13059" width="14.44140625" customWidth="1"/>
    <col min="13060" max="13060" width="29.109375" customWidth="1"/>
    <col min="13061" max="13061" width="24.5546875" customWidth="1"/>
    <col min="13062" max="13062" width="13.109375" customWidth="1"/>
    <col min="13063" max="13063" width="8.6640625" customWidth="1"/>
    <col min="13064" max="13064" width="8" customWidth="1"/>
    <col min="13065" max="13065" width="12.33203125" customWidth="1"/>
    <col min="13066" max="13066" width="20.33203125" customWidth="1"/>
    <col min="13067" max="13067" width="13.88671875" customWidth="1"/>
    <col min="13068" max="13068" width="8" customWidth="1"/>
    <col min="13313" max="13313" width="30.109375" customWidth="1"/>
    <col min="13314" max="13314" width="15" customWidth="1"/>
    <col min="13315" max="13315" width="14.44140625" customWidth="1"/>
    <col min="13316" max="13316" width="29.109375" customWidth="1"/>
    <col min="13317" max="13317" width="24.5546875" customWidth="1"/>
    <col min="13318" max="13318" width="13.109375" customWidth="1"/>
    <col min="13319" max="13319" width="8.6640625" customWidth="1"/>
    <col min="13320" max="13320" width="8" customWidth="1"/>
    <col min="13321" max="13321" width="12.33203125" customWidth="1"/>
    <col min="13322" max="13322" width="20.33203125" customWidth="1"/>
    <col min="13323" max="13323" width="13.88671875" customWidth="1"/>
    <col min="13324" max="13324" width="8" customWidth="1"/>
    <col min="13569" max="13569" width="30.109375" customWidth="1"/>
    <col min="13570" max="13570" width="15" customWidth="1"/>
    <col min="13571" max="13571" width="14.44140625" customWidth="1"/>
    <col min="13572" max="13572" width="29.109375" customWidth="1"/>
    <col min="13573" max="13573" width="24.5546875" customWidth="1"/>
    <col min="13574" max="13574" width="13.109375" customWidth="1"/>
    <col min="13575" max="13575" width="8.6640625" customWidth="1"/>
    <col min="13576" max="13576" width="8" customWidth="1"/>
    <col min="13577" max="13577" width="12.33203125" customWidth="1"/>
    <col min="13578" max="13578" width="20.33203125" customWidth="1"/>
    <col min="13579" max="13579" width="13.88671875" customWidth="1"/>
    <col min="13580" max="13580" width="8" customWidth="1"/>
    <col min="13825" max="13825" width="30.109375" customWidth="1"/>
    <col min="13826" max="13826" width="15" customWidth="1"/>
    <col min="13827" max="13827" width="14.44140625" customWidth="1"/>
    <col min="13828" max="13828" width="29.109375" customWidth="1"/>
    <col min="13829" max="13829" width="24.5546875" customWidth="1"/>
    <col min="13830" max="13830" width="13.109375" customWidth="1"/>
    <col min="13831" max="13831" width="8.6640625" customWidth="1"/>
    <col min="13832" max="13832" width="8" customWidth="1"/>
    <col min="13833" max="13833" width="12.33203125" customWidth="1"/>
    <col min="13834" max="13834" width="20.33203125" customWidth="1"/>
    <col min="13835" max="13835" width="13.88671875" customWidth="1"/>
    <col min="13836" max="13836" width="8" customWidth="1"/>
    <col min="14081" max="14081" width="30.109375" customWidth="1"/>
    <col min="14082" max="14082" width="15" customWidth="1"/>
    <col min="14083" max="14083" width="14.44140625" customWidth="1"/>
    <col min="14084" max="14084" width="29.109375" customWidth="1"/>
    <col min="14085" max="14085" width="24.5546875" customWidth="1"/>
    <col min="14086" max="14086" width="13.109375" customWidth="1"/>
    <col min="14087" max="14087" width="8.6640625" customWidth="1"/>
    <col min="14088" max="14088" width="8" customWidth="1"/>
    <col min="14089" max="14089" width="12.33203125" customWidth="1"/>
    <col min="14090" max="14090" width="20.33203125" customWidth="1"/>
    <col min="14091" max="14091" width="13.88671875" customWidth="1"/>
    <col min="14092" max="14092" width="8" customWidth="1"/>
    <col min="14337" max="14337" width="30.109375" customWidth="1"/>
    <col min="14338" max="14338" width="15" customWidth="1"/>
    <col min="14339" max="14339" width="14.44140625" customWidth="1"/>
    <col min="14340" max="14340" width="29.109375" customWidth="1"/>
    <col min="14341" max="14341" width="24.5546875" customWidth="1"/>
    <col min="14342" max="14342" width="13.109375" customWidth="1"/>
    <col min="14343" max="14343" width="8.6640625" customWidth="1"/>
    <col min="14344" max="14344" width="8" customWidth="1"/>
    <col min="14345" max="14345" width="12.33203125" customWidth="1"/>
    <col min="14346" max="14346" width="20.33203125" customWidth="1"/>
    <col min="14347" max="14347" width="13.88671875" customWidth="1"/>
    <col min="14348" max="14348" width="8" customWidth="1"/>
    <col min="14593" max="14593" width="30.109375" customWidth="1"/>
    <col min="14594" max="14594" width="15" customWidth="1"/>
    <col min="14595" max="14595" width="14.44140625" customWidth="1"/>
    <col min="14596" max="14596" width="29.109375" customWidth="1"/>
    <col min="14597" max="14597" width="24.5546875" customWidth="1"/>
    <col min="14598" max="14598" width="13.109375" customWidth="1"/>
    <col min="14599" max="14599" width="8.6640625" customWidth="1"/>
    <col min="14600" max="14600" width="8" customWidth="1"/>
    <col min="14601" max="14601" width="12.33203125" customWidth="1"/>
    <col min="14602" max="14602" width="20.33203125" customWidth="1"/>
    <col min="14603" max="14603" width="13.88671875" customWidth="1"/>
    <col min="14604" max="14604" width="8" customWidth="1"/>
    <col min="14849" max="14849" width="30.109375" customWidth="1"/>
    <col min="14850" max="14850" width="15" customWidth="1"/>
    <col min="14851" max="14851" width="14.44140625" customWidth="1"/>
    <col min="14852" max="14852" width="29.109375" customWidth="1"/>
    <col min="14853" max="14853" width="24.5546875" customWidth="1"/>
    <col min="14854" max="14854" width="13.109375" customWidth="1"/>
    <col min="14855" max="14855" width="8.6640625" customWidth="1"/>
    <col min="14856" max="14856" width="8" customWidth="1"/>
    <col min="14857" max="14857" width="12.33203125" customWidth="1"/>
    <col min="14858" max="14858" width="20.33203125" customWidth="1"/>
    <col min="14859" max="14859" width="13.88671875" customWidth="1"/>
    <col min="14860" max="14860" width="8" customWidth="1"/>
    <col min="15105" max="15105" width="30.109375" customWidth="1"/>
    <col min="15106" max="15106" width="15" customWidth="1"/>
    <col min="15107" max="15107" width="14.44140625" customWidth="1"/>
    <col min="15108" max="15108" width="29.109375" customWidth="1"/>
    <col min="15109" max="15109" width="24.5546875" customWidth="1"/>
    <col min="15110" max="15110" width="13.109375" customWidth="1"/>
    <col min="15111" max="15111" width="8.6640625" customWidth="1"/>
    <col min="15112" max="15112" width="8" customWidth="1"/>
    <col min="15113" max="15113" width="12.33203125" customWidth="1"/>
    <col min="15114" max="15114" width="20.33203125" customWidth="1"/>
    <col min="15115" max="15115" width="13.88671875" customWidth="1"/>
    <col min="15116" max="15116" width="8" customWidth="1"/>
    <col min="15361" max="15361" width="30.109375" customWidth="1"/>
    <col min="15362" max="15362" width="15" customWidth="1"/>
    <col min="15363" max="15363" width="14.44140625" customWidth="1"/>
    <col min="15364" max="15364" width="29.109375" customWidth="1"/>
    <col min="15365" max="15365" width="24.5546875" customWidth="1"/>
    <col min="15366" max="15366" width="13.109375" customWidth="1"/>
    <col min="15367" max="15367" width="8.6640625" customWidth="1"/>
    <col min="15368" max="15368" width="8" customWidth="1"/>
    <col min="15369" max="15369" width="12.33203125" customWidth="1"/>
    <col min="15370" max="15370" width="20.33203125" customWidth="1"/>
    <col min="15371" max="15371" width="13.88671875" customWidth="1"/>
    <col min="15372" max="15372" width="8" customWidth="1"/>
    <col min="15617" max="15617" width="30.109375" customWidth="1"/>
    <col min="15618" max="15618" width="15" customWidth="1"/>
    <col min="15619" max="15619" width="14.44140625" customWidth="1"/>
    <col min="15620" max="15620" width="29.109375" customWidth="1"/>
    <col min="15621" max="15621" width="24.5546875" customWidth="1"/>
    <col min="15622" max="15622" width="13.109375" customWidth="1"/>
    <col min="15623" max="15623" width="8.6640625" customWidth="1"/>
    <col min="15624" max="15624" width="8" customWidth="1"/>
    <col min="15625" max="15625" width="12.33203125" customWidth="1"/>
    <col min="15626" max="15626" width="20.33203125" customWidth="1"/>
    <col min="15627" max="15627" width="13.88671875" customWidth="1"/>
    <col min="15628" max="15628" width="8" customWidth="1"/>
    <col min="15873" max="15873" width="30.109375" customWidth="1"/>
    <col min="15874" max="15874" width="15" customWidth="1"/>
    <col min="15875" max="15875" width="14.44140625" customWidth="1"/>
    <col min="15876" max="15876" width="29.109375" customWidth="1"/>
    <col min="15877" max="15877" width="24.5546875" customWidth="1"/>
    <col min="15878" max="15878" width="13.109375" customWidth="1"/>
    <col min="15879" max="15879" width="8.6640625" customWidth="1"/>
    <col min="15880" max="15880" width="8" customWidth="1"/>
    <col min="15881" max="15881" width="12.33203125" customWidth="1"/>
    <col min="15882" max="15882" width="20.33203125" customWidth="1"/>
    <col min="15883" max="15883" width="13.88671875" customWidth="1"/>
    <col min="15884" max="15884" width="8" customWidth="1"/>
    <col min="16129" max="16129" width="30.109375" customWidth="1"/>
    <col min="16130" max="16130" width="15" customWidth="1"/>
    <col min="16131" max="16131" width="14.44140625" customWidth="1"/>
    <col min="16132" max="16132" width="29.109375" customWidth="1"/>
    <col min="16133" max="16133" width="24.5546875" customWidth="1"/>
    <col min="16134" max="16134" width="13.109375" customWidth="1"/>
    <col min="16135" max="16135" width="8.6640625" customWidth="1"/>
    <col min="16136" max="16136" width="8" customWidth="1"/>
    <col min="16137" max="16137" width="12.33203125" customWidth="1"/>
    <col min="16138" max="16138" width="20.33203125" customWidth="1"/>
    <col min="16139" max="16139" width="13.88671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89</v>
      </c>
      <c r="B2" s="42"/>
      <c r="C2" s="114"/>
      <c r="E2" s="42"/>
    </row>
    <row r="3" spans="1:14" ht="12.75" customHeight="1">
      <c r="A3" t="s">
        <v>180</v>
      </c>
      <c r="B3" s="114">
        <f>Historico!I25</f>
        <v>43739</v>
      </c>
      <c r="D3" s="44"/>
      <c r="E3" s="45"/>
    </row>
    <row r="4" spans="1:14" ht="12.75" customHeight="1">
      <c r="A4" t="s">
        <v>179</v>
      </c>
      <c r="B4" s="119">
        <v>127806.25</v>
      </c>
      <c r="C4" s="114"/>
      <c r="E4" s="41"/>
    </row>
    <row r="5" spans="1:14" ht="12.75" customHeight="1">
      <c r="A5" t="s">
        <v>90</v>
      </c>
      <c r="B5" s="46">
        <f>Historico!H83</f>
        <v>335</v>
      </c>
      <c r="E5" s="42"/>
      <c r="J5" s="47" t="s">
        <v>91</v>
      </c>
      <c r="L5" s="44" t="s">
        <v>92</v>
      </c>
      <c r="M5" t="s">
        <v>93</v>
      </c>
      <c r="N5" t="s">
        <v>763</v>
      </c>
    </row>
    <row r="6" spans="1:14" ht="12.75" customHeight="1">
      <c r="A6" t="s">
        <v>94</v>
      </c>
      <c r="B6" s="48">
        <f>E19</f>
        <v>-0.35599999999999998</v>
      </c>
      <c r="C6" s="44" t="s">
        <v>95</v>
      </c>
      <c r="D6" s="43" t="s">
        <v>96</v>
      </c>
      <c r="E6" s="42"/>
      <c r="J6" t="s">
        <v>97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98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183</v>
      </c>
      <c r="E8" s="50">
        <f>(B6+0.5)/12</f>
        <v>1.2000000000000002E-2</v>
      </c>
      <c r="J8" t="s">
        <v>99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309</v>
      </c>
      <c r="B9" s="114">
        <v>54117</v>
      </c>
      <c r="D9" t="s">
        <v>100</v>
      </c>
      <c r="E9" s="50">
        <f>1+(E8/100)</f>
        <v>1.0001199999999999</v>
      </c>
      <c r="J9" t="s">
        <v>101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102</v>
      </c>
      <c r="E10" s="50">
        <f>E9^-B5</f>
        <v>0.96059961725716858</v>
      </c>
      <c r="J10" t="s">
        <v>103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104</v>
      </c>
      <c r="B11" s="42"/>
      <c r="D11" t="s">
        <v>105</v>
      </c>
      <c r="E11" s="50">
        <f>100*(1-E10)</f>
        <v>3.9400382742831419</v>
      </c>
      <c r="J11" t="s">
        <v>106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107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108</v>
      </c>
      <c r="B14" s="55">
        <f>B4*(E8/100)</f>
        <v>15.336750000000002</v>
      </c>
      <c r="E14" s="42"/>
    </row>
    <row r="15" spans="1:14" ht="12.75" customHeight="1">
      <c r="A15" t="s">
        <v>109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-0.35599999999999998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115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topLeftCell="A13" workbookViewId="0">
      <selection activeCell="B26" sqref="B26"/>
    </sheetView>
  </sheetViews>
  <sheetFormatPr baseColWidth="10" defaultColWidth="8" defaultRowHeight="14.4"/>
  <cols>
    <col min="1" max="2" width="19.5546875" customWidth="1"/>
    <col min="3" max="3" width="13.33203125" customWidth="1"/>
    <col min="4" max="4" width="8.33203125" customWidth="1"/>
    <col min="5" max="5" width="12.6640625" customWidth="1"/>
    <col min="6" max="6" width="8" customWidth="1"/>
    <col min="7" max="7" width="12" customWidth="1"/>
    <col min="8" max="8" width="8.44140625" bestFit="1" customWidth="1"/>
    <col min="9" max="9" width="24.88671875" customWidth="1"/>
    <col min="10" max="10" width="13.88671875" customWidth="1"/>
    <col min="11" max="11" width="11.109375" customWidth="1"/>
    <col min="12" max="12" width="19.88671875" customWidth="1"/>
    <col min="13" max="13" width="12.6640625" customWidth="1"/>
    <col min="14" max="14" width="11.33203125" customWidth="1"/>
    <col min="258" max="258" width="19.5546875" customWidth="1"/>
    <col min="259" max="259" width="13.33203125" customWidth="1"/>
    <col min="260" max="260" width="8" customWidth="1"/>
    <col min="261" max="261" width="12.6640625" customWidth="1"/>
    <col min="262" max="262" width="8" customWidth="1"/>
    <col min="263" max="263" width="12" customWidth="1"/>
    <col min="265" max="265" width="24.88671875" customWidth="1"/>
    <col min="266" max="266" width="13.88671875" customWidth="1"/>
    <col min="267" max="267" width="11.109375" customWidth="1"/>
    <col min="268" max="268" width="19.88671875" customWidth="1"/>
    <col min="269" max="269" width="12.6640625" customWidth="1"/>
    <col min="514" max="514" width="19.5546875" customWidth="1"/>
    <col min="515" max="515" width="13.33203125" customWidth="1"/>
    <col min="516" max="516" width="8" customWidth="1"/>
    <col min="517" max="517" width="12.6640625" customWidth="1"/>
    <col min="518" max="518" width="8" customWidth="1"/>
    <col min="519" max="519" width="12" customWidth="1"/>
    <col min="521" max="521" width="24.88671875" customWidth="1"/>
    <col min="522" max="522" width="13.88671875" customWidth="1"/>
    <col min="523" max="523" width="11.109375" customWidth="1"/>
    <col min="524" max="524" width="19.88671875" customWidth="1"/>
    <col min="525" max="525" width="12.6640625" customWidth="1"/>
    <col min="770" max="770" width="19.5546875" customWidth="1"/>
    <col min="771" max="771" width="13.33203125" customWidth="1"/>
    <col min="772" max="772" width="8" customWidth="1"/>
    <col min="773" max="773" width="12.6640625" customWidth="1"/>
    <col min="774" max="774" width="8" customWidth="1"/>
    <col min="775" max="775" width="12" customWidth="1"/>
    <col min="777" max="777" width="24.88671875" customWidth="1"/>
    <col min="778" max="778" width="13.88671875" customWidth="1"/>
    <col min="779" max="779" width="11.109375" customWidth="1"/>
    <col min="780" max="780" width="19.88671875" customWidth="1"/>
    <col min="781" max="781" width="12.6640625" customWidth="1"/>
    <col min="1026" max="1026" width="19.5546875" customWidth="1"/>
    <col min="1027" max="1027" width="13.33203125" customWidth="1"/>
    <col min="1028" max="1028" width="8" customWidth="1"/>
    <col min="1029" max="1029" width="12.6640625" customWidth="1"/>
    <col min="1030" max="1030" width="8" customWidth="1"/>
    <col min="1031" max="1031" width="12" customWidth="1"/>
    <col min="1033" max="1033" width="24.88671875" customWidth="1"/>
    <col min="1034" max="1034" width="13.88671875" customWidth="1"/>
    <col min="1035" max="1035" width="11.109375" customWidth="1"/>
    <col min="1036" max="1036" width="19.88671875" customWidth="1"/>
    <col min="1037" max="1037" width="12.6640625" customWidth="1"/>
    <col min="1282" max="1282" width="19.5546875" customWidth="1"/>
    <col min="1283" max="1283" width="13.33203125" customWidth="1"/>
    <col min="1284" max="1284" width="8" customWidth="1"/>
    <col min="1285" max="1285" width="12.6640625" customWidth="1"/>
    <col min="1286" max="1286" width="8" customWidth="1"/>
    <col min="1287" max="1287" width="12" customWidth="1"/>
    <col min="1289" max="1289" width="24.88671875" customWidth="1"/>
    <col min="1290" max="1290" width="13.88671875" customWidth="1"/>
    <col min="1291" max="1291" width="11.109375" customWidth="1"/>
    <col min="1292" max="1292" width="19.88671875" customWidth="1"/>
    <col min="1293" max="1293" width="12.6640625" customWidth="1"/>
    <col min="1538" max="1538" width="19.5546875" customWidth="1"/>
    <col min="1539" max="1539" width="13.33203125" customWidth="1"/>
    <col min="1540" max="1540" width="8" customWidth="1"/>
    <col min="1541" max="1541" width="12.6640625" customWidth="1"/>
    <col min="1542" max="1542" width="8" customWidth="1"/>
    <col min="1543" max="1543" width="12" customWidth="1"/>
    <col min="1545" max="1545" width="24.88671875" customWidth="1"/>
    <col min="1546" max="1546" width="13.88671875" customWidth="1"/>
    <col min="1547" max="1547" width="11.109375" customWidth="1"/>
    <col min="1548" max="1548" width="19.88671875" customWidth="1"/>
    <col min="1549" max="1549" width="12.6640625" customWidth="1"/>
    <col min="1794" max="1794" width="19.5546875" customWidth="1"/>
    <col min="1795" max="1795" width="13.33203125" customWidth="1"/>
    <col min="1796" max="1796" width="8" customWidth="1"/>
    <col min="1797" max="1797" width="12.6640625" customWidth="1"/>
    <col min="1798" max="1798" width="8" customWidth="1"/>
    <col min="1799" max="1799" width="12" customWidth="1"/>
    <col min="1801" max="1801" width="24.88671875" customWidth="1"/>
    <col min="1802" max="1802" width="13.88671875" customWidth="1"/>
    <col min="1803" max="1803" width="11.109375" customWidth="1"/>
    <col min="1804" max="1804" width="19.88671875" customWidth="1"/>
    <col min="1805" max="1805" width="12.6640625" customWidth="1"/>
    <col min="2050" max="2050" width="19.5546875" customWidth="1"/>
    <col min="2051" max="2051" width="13.33203125" customWidth="1"/>
    <col min="2052" max="2052" width="8" customWidth="1"/>
    <col min="2053" max="2053" width="12.6640625" customWidth="1"/>
    <col min="2054" max="2054" width="8" customWidth="1"/>
    <col min="2055" max="2055" width="12" customWidth="1"/>
    <col min="2057" max="2057" width="24.88671875" customWidth="1"/>
    <col min="2058" max="2058" width="13.88671875" customWidth="1"/>
    <col min="2059" max="2059" width="11.109375" customWidth="1"/>
    <col min="2060" max="2060" width="19.88671875" customWidth="1"/>
    <col min="2061" max="2061" width="12.6640625" customWidth="1"/>
    <col min="2306" max="2306" width="19.5546875" customWidth="1"/>
    <col min="2307" max="2307" width="13.33203125" customWidth="1"/>
    <col min="2308" max="2308" width="8" customWidth="1"/>
    <col min="2309" max="2309" width="12.6640625" customWidth="1"/>
    <col min="2310" max="2310" width="8" customWidth="1"/>
    <col min="2311" max="2311" width="12" customWidth="1"/>
    <col min="2313" max="2313" width="24.88671875" customWidth="1"/>
    <col min="2314" max="2314" width="13.88671875" customWidth="1"/>
    <col min="2315" max="2315" width="11.109375" customWidth="1"/>
    <col min="2316" max="2316" width="19.88671875" customWidth="1"/>
    <col min="2317" max="2317" width="12.6640625" customWidth="1"/>
    <col min="2562" max="2562" width="19.5546875" customWidth="1"/>
    <col min="2563" max="2563" width="13.33203125" customWidth="1"/>
    <col min="2564" max="2564" width="8" customWidth="1"/>
    <col min="2565" max="2565" width="12.6640625" customWidth="1"/>
    <col min="2566" max="2566" width="8" customWidth="1"/>
    <col min="2567" max="2567" width="12" customWidth="1"/>
    <col min="2569" max="2569" width="24.88671875" customWidth="1"/>
    <col min="2570" max="2570" width="13.88671875" customWidth="1"/>
    <col min="2571" max="2571" width="11.109375" customWidth="1"/>
    <col min="2572" max="2572" width="19.88671875" customWidth="1"/>
    <col min="2573" max="2573" width="12.6640625" customWidth="1"/>
    <col min="2818" max="2818" width="19.5546875" customWidth="1"/>
    <col min="2819" max="2819" width="13.33203125" customWidth="1"/>
    <col min="2820" max="2820" width="8" customWidth="1"/>
    <col min="2821" max="2821" width="12.6640625" customWidth="1"/>
    <col min="2822" max="2822" width="8" customWidth="1"/>
    <col min="2823" max="2823" width="12" customWidth="1"/>
    <col min="2825" max="2825" width="24.88671875" customWidth="1"/>
    <col min="2826" max="2826" width="13.88671875" customWidth="1"/>
    <col min="2827" max="2827" width="11.109375" customWidth="1"/>
    <col min="2828" max="2828" width="19.88671875" customWidth="1"/>
    <col min="2829" max="2829" width="12.6640625" customWidth="1"/>
    <col min="3074" max="3074" width="19.5546875" customWidth="1"/>
    <col min="3075" max="3075" width="13.33203125" customWidth="1"/>
    <col min="3076" max="3076" width="8" customWidth="1"/>
    <col min="3077" max="3077" width="12.6640625" customWidth="1"/>
    <col min="3078" max="3078" width="8" customWidth="1"/>
    <col min="3079" max="3079" width="12" customWidth="1"/>
    <col min="3081" max="3081" width="24.88671875" customWidth="1"/>
    <col min="3082" max="3082" width="13.88671875" customWidth="1"/>
    <col min="3083" max="3083" width="11.109375" customWidth="1"/>
    <col min="3084" max="3084" width="19.88671875" customWidth="1"/>
    <col min="3085" max="3085" width="12.6640625" customWidth="1"/>
    <col min="3330" max="3330" width="19.5546875" customWidth="1"/>
    <col min="3331" max="3331" width="13.33203125" customWidth="1"/>
    <col min="3332" max="3332" width="8" customWidth="1"/>
    <col min="3333" max="3333" width="12.6640625" customWidth="1"/>
    <col min="3334" max="3334" width="8" customWidth="1"/>
    <col min="3335" max="3335" width="12" customWidth="1"/>
    <col min="3337" max="3337" width="24.88671875" customWidth="1"/>
    <col min="3338" max="3338" width="13.88671875" customWidth="1"/>
    <col min="3339" max="3339" width="11.109375" customWidth="1"/>
    <col min="3340" max="3340" width="19.88671875" customWidth="1"/>
    <col min="3341" max="3341" width="12.6640625" customWidth="1"/>
    <col min="3586" max="3586" width="19.5546875" customWidth="1"/>
    <col min="3587" max="3587" width="13.33203125" customWidth="1"/>
    <col min="3588" max="3588" width="8" customWidth="1"/>
    <col min="3589" max="3589" width="12.6640625" customWidth="1"/>
    <col min="3590" max="3590" width="8" customWidth="1"/>
    <col min="3591" max="3591" width="12" customWidth="1"/>
    <col min="3593" max="3593" width="24.88671875" customWidth="1"/>
    <col min="3594" max="3594" width="13.88671875" customWidth="1"/>
    <col min="3595" max="3595" width="11.109375" customWidth="1"/>
    <col min="3596" max="3596" width="19.88671875" customWidth="1"/>
    <col min="3597" max="3597" width="12.6640625" customWidth="1"/>
    <col min="3842" max="3842" width="19.5546875" customWidth="1"/>
    <col min="3843" max="3843" width="13.33203125" customWidth="1"/>
    <col min="3844" max="3844" width="8" customWidth="1"/>
    <col min="3845" max="3845" width="12.6640625" customWidth="1"/>
    <col min="3846" max="3846" width="8" customWidth="1"/>
    <col min="3847" max="3847" width="12" customWidth="1"/>
    <col min="3849" max="3849" width="24.88671875" customWidth="1"/>
    <col min="3850" max="3850" width="13.88671875" customWidth="1"/>
    <col min="3851" max="3851" width="11.109375" customWidth="1"/>
    <col min="3852" max="3852" width="19.88671875" customWidth="1"/>
    <col min="3853" max="3853" width="12.6640625" customWidth="1"/>
    <col min="4098" max="4098" width="19.5546875" customWidth="1"/>
    <col min="4099" max="4099" width="13.33203125" customWidth="1"/>
    <col min="4100" max="4100" width="8" customWidth="1"/>
    <col min="4101" max="4101" width="12.6640625" customWidth="1"/>
    <col min="4102" max="4102" width="8" customWidth="1"/>
    <col min="4103" max="4103" width="12" customWidth="1"/>
    <col min="4105" max="4105" width="24.88671875" customWidth="1"/>
    <col min="4106" max="4106" width="13.88671875" customWidth="1"/>
    <col min="4107" max="4107" width="11.109375" customWidth="1"/>
    <col min="4108" max="4108" width="19.88671875" customWidth="1"/>
    <col min="4109" max="4109" width="12.6640625" customWidth="1"/>
    <col min="4354" max="4354" width="19.5546875" customWidth="1"/>
    <col min="4355" max="4355" width="13.33203125" customWidth="1"/>
    <col min="4356" max="4356" width="8" customWidth="1"/>
    <col min="4357" max="4357" width="12.6640625" customWidth="1"/>
    <col min="4358" max="4358" width="8" customWidth="1"/>
    <col min="4359" max="4359" width="12" customWidth="1"/>
    <col min="4361" max="4361" width="24.88671875" customWidth="1"/>
    <col min="4362" max="4362" width="13.88671875" customWidth="1"/>
    <col min="4363" max="4363" width="11.109375" customWidth="1"/>
    <col min="4364" max="4364" width="19.88671875" customWidth="1"/>
    <col min="4365" max="4365" width="12.6640625" customWidth="1"/>
    <col min="4610" max="4610" width="19.5546875" customWidth="1"/>
    <col min="4611" max="4611" width="13.33203125" customWidth="1"/>
    <col min="4612" max="4612" width="8" customWidth="1"/>
    <col min="4613" max="4613" width="12.6640625" customWidth="1"/>
    <col min="4614" max="4614" width="8" customWidth="1"/>
    <col min="4615" max="4615" width="12" customWidth="1"/>
    <col min="4617" max="4617" width="24.88671875" customWidth="1"/>
    <col min="4618" max="4618" width="13.88671875" customWidth="1"/>
    <col min="4619" max="4619" width="11.109375" customWidth="1"/>
    <col min="4620" max="4620" width="19.88671875" customWidth="1"/>
    <col min="4621" max="4621" width="12.6640625" customWidth="1"/>
    <col min="4866" max="4866" width="19.5546875" customWidth="1"/>
    <col min="4867" max="4867" width="13.33203125" customWidth="1"/>
    <col min="4868" max="4868" width="8" customWidth="1"/>
    <col min="4869" max="4869" width="12.6640625" customWidth="1"/>
    <col min="4870" max="4870" width="8" customWidth="1"/>
    <col min="4871" max="4871" width="12" customWidth="1"/>
    <col min="4873" max="4873" width="24.88671875" customWidth="1"/>
    <col min="4874" max="4874" width="13.88671875" customWidth="1"/>
    <col min="4875" max="4875" width="11.109375" customWidth="1"/>
    <col min="4876" max="4876" width="19.88671875" customWidth="1"/>
    <col min="4877" max="4877" width="12.6640625" customWidth="1"/>
    <col min="5122" max="5122" width="19.5546875" customWidth="1"/>
    <col min="5123" max="5123" width="13.33203125" customWidth="1"/>
    <col min="5124" max="5124" width="8" customWidth="1"/>
    <col min="5125" max="5125" width="12.6640625" customWidth="1"/>
    <col min="5126" max="5126" width="8" customWidth="1"/>
    <col min="5127" max="5127" width="12" customWidth="1"/>
    <col min="5129" max="5129" width="24.88671875" customWidth="1"/>
    <col min="5130" max="5130" width="13.88671875" customWidth="1"/>
    <col min="5131" max="5131" width="11.109375" customWidth="1"/>
    <col min="5132" max="5132" width="19.88671875" customWidth="1"/>
    <col min="5133" max="5133" width="12.6640625" customWidth="1"/>
    <col min="5378" max="5378" width="19.5546875" customWidth="1"/>
    <col min="5379" max="5379" width="13.33203125" customWidth="1"/>
    <col min="5380" max="5380" width="8" customWidth="1"/>
    <col min="5381" max="5381" width="12.6640625" customWidth="1"/>
    <col min="5382" max="5382" width="8" customWidth="1"/>
    <col min="5383" max="5383" width="12" customWidth="1"/>
    <col min="5385" max="5385" width="24.88671875" customWidth="1"/>
    <col min="5386" max="5386" width="13.88671875" customWidth="1"/>
    <col min="5387" max="5387" width="11.109375" customWidth="1"/>
    <col min="5388" max="5388" width="19.88671875" customWidth="1"/>
    <col min="5389" max="5389" width="12.6640625" customWidth="1"/>
    <col min="5634" max="5634" width="19.5546875" customWidth="1"/>
    <col min="5635" max="5635" width="13.33203125" customWidth="1"/>
    <col min="5636" max="5636" width="8" customWidth="1"/>
    <col min="5637" max="5637" width="12.6640625" customWidth="1"/>
    <col min="5638" max="5638" width="8" customWidth="1"/>
    <col min="5639" max="5639" width="12" customWidth="1"/>
    <col min="5641" max="5641" width="24.88671875" customWidth="1"/>
    <col min="5642" max="5642" width="13.88671875" customWidth="1"/>
    <col min="5643" max="5643" width="11.109375" customWidth="1"/>
    <col min="5644" max="5644" width="19.88671875" customWidth="1"/>
    <col min="5645" max="5645" width="12.6640625" customWidth="1"/>
    <col min="5890" max="5890" width="19.5546875" customWidth="1"/>
    <col min="5891" max="5891" width="13.33203125" customWidth="1"/>
    <col min="5892" max="5892" width="8" customWidth="1"/>
    <col min="5893" max="5893" width="12.6640625" customWidth="1"/>
    <col min="5894" max="5894" width="8" customWidth="1"/>
    <col min="5895" max="5895" width="12" customWidth="1"/>
    <col min="5897" max="5897" width="24.88671875" customWidth="1"/>
    <col min="5898" max="5898" width="13.88671875" customWidth="1"/>
    <col min="5899" max="5899" width="11.109375" customWidth="1"/>
    <col min="5900" max="5900" width="19.88671875" customWidth="1"/>
    <col min="5901" max="5901" width="12.6640625" customWidth="1"/>
    <col min="6146" max="6146" width="19.5546875" customWidth="1"/>
    <col min="6147" max="6147" width="13.33203125" customWidth="1"/>
    <col min="6148" max="6148" width="8" customWidth="1"/>
    <col min="6149" max="6149" width="12.6640625" customWidth="1"/>
    <col min="6150" max="6150" width="8" customWidth="1"/>
    <col min="6151" max="6151" width="12" customWidth="1"/>
    <col min="6153" max="6153" width="24.88671875" customWidth="1"/>
    <col min="6154" max="6154" width="13.88671875" customWidth="1"/>
    <col min="6155" max="6155" width="11.109375" customWidth="1"/>
    <col min="6156" max="6156" width="19.88671875" customWidth="1"/>
    <col min="6157" max="6157" width="12.6640625" customWidth="1"/>
    <col min="6402" max="6402" width="19.5546875" customWidth="1"/>
    <col min="6403" max="6403" width="13.33203125" customWidth="1"/>
    <col min="6404" max="6404" width="8" customWidth="1"/>
    <col min="6405" max="6405" width="12.6640625" customWidth="1"/>
    <col min="6406" max="6406" width="8" customWidth="1"/>
    <col min="6407" max="6407" width="12" customWidth="1"/>
    <col min="6409" max="6409" width="24.88671875" customWidth="1"/>
    <col min="6410" max="6410" width="13.88671875" customWidth="1"/>
    <col min="6411" max="6411" width="11.109375" customWidth="1"/>
    <col min="6412" max="6412" width="19.88671875" customWidth="1"/>
    <col min="6413" max="6413" width="12.6640625" customWidth="1"/>
    <col min="6658" max="6658" width="19.5546875" customWidth="1"/>
    <col min="6659" max="6659" width="13.33203125" customWidth="1"/>
    <col min="6660" max="6660" width="8" customWidth="1"/>
    <col min="6661" max="6661" width="12.6640625" customWidth="1"/>
    <col min="6662" max="6662" width="8" customWidth="1"/>
    <col min="6663" max="6663" width="12" customWidth="1"/>
    <col min="6665" max="6665" width="24.88671875" customWidth="1"/>
    <col min="6666" max="6666" width="13.88671875" customWidth="1"/>
    <col min="6667" max="6667" width="11.109375" customWidth="1"/>
    <col min="6668" max="6668" width="19.88671875" customWidth="1"/>
    <col min="6669" max="6669" width="12.6640625" customWidth="1"/>
    <col min="6914" max="6914" width="19.5546875" customWidth="1"/>
    <col min="6915" max="6915" width="13.33203125" customWidth="1"/>
    <col min="6916" max="6916" width="8" customWidth="1"/>
    <col min="6917" max="6917" width="12.6640625" customWidth="1"/>
    <col min="6918" max="6918" width="8" customWidth="1"/>
    <col min="6919" max="6919" width="12" customWidth="1"/>
    <col min="6921" max="6921" width="24.88671875" customWidth="1"/>
    <col min="6922" max="6922" width="13.88671875" customWidth="1"/>
    <col min="6923" max="6923" width="11.109375" customWidth="1"/>
    <col min="6924" max="6924" width="19.88671875" customWidth="1"/>
    <col min="6925" max="6925" width="12.6640625" customWidth="1"/>
    <col min="7170" max="7170" width="19.5546875" customWidth="1"/>
    <col min="7171" max="7171" width="13.33203125" customWidth="1"/>
    <col min="7172" max="7172" width="8" customWidth="1"/>
    <col min="7173" max="7173" width="12.6640625" customWidth="1"/>
    <col min="7174" max="7174" width="8" customWidth="1"/>
    <col min="7175" max="7175" width="12" customWidth="1"/>
    <col min="7177" max="7177" width="24.88671875" customWidth="1"/>
    <col min="7178" max="7178" width="13.88671875" customWidth="1"/>
    <col min="7179" max="7179" width="11.109375" customWidth="1"/>
    <col min="7180" max="7180" width="19.88671875" customWidth="1"/>
    <col min="7181" max="7181" width="12.6640625" customWidth="1"/>
    <col min="7426" max="7426" width="19.5546875" customWidth="1"/>
    <col min="7427" max="7427" width="13.33203125" customWidth="1"/>
    <col min="7428" max="7428" width="8" customWidth="1"/>
    <col min="7429" max="7429" width="12.6640625" customWidth="1"/>
    <col min="7430" max="7430" width="8" customWidth="1"/>
    <col min="7431" max="7431" width="12" customWidth="1"/>
    <col min="7433" max="7433" width="24.88671875" customWidth="1"/>
    <col min="7434" max="7434" width="13.88671875" customWidth="1"/>
    <col min="7435" max="7435" width="11.109375" customWidth="1"/>
    <col min="7436" max="7436" width="19.88671875" customWidth="1"/>
    <col min="7437" max="7437" width="12.6640625" customWidth="1"/>
    <col min="7682" max="7682" width="19.5546875" customWidth="1"/>
    <col min="7683" max="7683" width="13.33203125" customWidth="1"/>
    <col min="7684" max="7684" width="8" customWidth="1"/>
    <col min="7685" max="7685" width="12.6640625" customWidth="1"/>
    <col min="7686" max="7686" width="8" customWidth="1"/>
    <col min="7687" max="7687" width="12" customWidth="1"/>
    <col min="7689" max="7689" width="24.88671875" customWidth="1"/>
    <col min="7690" max="7690" width="13.88671875" customWidth="1"/>
    <col min="7691" max="7691" width="11.109375" customWidth="1"/>
    <col min="7692" max="7692" width="19.88671875" customWidth="1"/>
    <col min="7693" max="7693" width="12.6640625" customWidth="1"/>
    <col min="7938" max="7938" width="19.5546875" customWidth="1"/>
    <col min="7939" max="7939" width="13.33203125" customWidth="1"/>
    <col min="7940" max="7940" width="8" customWidth="1"/>
    <col min="7941" max="7941" width="12.6640625" customWidth="1"/>
    <col min="7942" max="7942" width="8" customWidth="1"/>
    <col min="7943" max="7943" width="12" customWidth="1"/>
    <col min="7945" max="7945" width="24.88671875" customWidth="1"/>
    <col min="7946" max="7946" width="13.88671875" customWidth="1"/>
    <col min="7947" max="7947" width="11.109375" customWidth="1"/>
    <col min="7948" max="7948" width="19.88671875" customWidth="1"/>
    <col min="7949" max="7949" width="12.6640625" customWidth="1"/>
    <col min="8194" max="8194" width="19.5546875" customWidth="1"/>
    <col min="8195" max="8195" width="13.33203125" customWidth="1"/>
    <col min="8196" max="8196" width="8" customWidth="1"/>
    <col min="8197" max="8197" width="12.6640625" customWidth="1"/>
    <col min="8198" max="8198" width="8" customWidth="1"/>
    <col min="8199" max="8199" width="12" customWidth="1"/>
    <col min="8201" max="8201" width="24.88671875" customWidth="1"/>
    <col min="8202" max="8202" width="13.88671875" customWidth="1"/>
    <col min="8203" max="8203" width="11.109375" customWidth="1"/>
    <col min="8204" max="8204" width="19.88671875" customWidth="1"/>
    <col min="8205" max="8205" width="12.6640625" customWidth="1"/>
    <col min="8450" max="8450" width="19.5546875" customWidth="1"/>
    <col min="8451" max="8451" width="13.33203125" customWidth="1"/>
    <col min="8452" max="8452" width="8" customWidth="1"/>
    <col min="8453" max="8453" width="12.6640625" customWidth="1"/>
    <col min="8454" max="8454" width="8" customWidth="1"/>
    <col min="8455" max="8455" width="12" customWidth="1"/>
    <col min="8457" max="8457" width="24.88671875" customWidth="1"/>
    <col min="8458" max="8458" width="13.88671875" customWidth="1"/>
    <col min="8459" max="8459" width="11.109375" customWidth="1"/>
    <col min="8460" max="8460" width="19.88671875" customWidth="1"/>
    <col min="8461" max="8461" width="12.6640625" customWidth="1"/>
    <col min="8706" max="8706" width="19.5546875" customWidth="1"/>
    <col min="8707" max="8707" width="13.33203125" customWidth="1"/>
    <col min="8708" max="8708" width="8" customWidth="1"/>
    <col min="8709" max="8709" width="12.6640625" customWidth="1"/>
    <col min="8710" max="8710" width="8" customWidth="1"/>
    <col min="8711" max="8711" width="12" customWidth="1"/>
    <col min="8713" max="8713" width="24.88671875" customWidth="1"/>
    <col min="8714" max="8714" width="13.88671875" customWidth="1"/>
    <col min="8715" max="8715" width="11.109375" customWidth="1"/>
    <col min="8716" max="8716" width="19.88671875" customWidth="1"/>
    <col min="8717" max="8717" width="12.6640625" customWidth="1"/>
    <col min="8962" max="8962" width="19.5546875" customWidth="1"/>
    <col min="8963" max="8963" width="13.33203125" customWidth="1"/>
    <col min="8964" max="8964" width="8" customWidth="1"/>
    <col min="8965" max="8965" width="12.6640625" customWidth="1"/>
    <col min="8966" max="8966" width="8" customWidth="1"/>
    <col min="8967" max="8967" width="12" customWidth="1"/>
    <col min="8969" max="8969" width="24.88671875" customWidth="1"/>
    <col min="8970" max="8970" width="13.88671875" customWidth="1"/>
    <col min="8971" max="8971" width="11.109375" customWidth="1"/>
    <col min="8972" max="8972" width="19.88671875" customWidth="1"/>
    <col min="8973" max="8973" width="12.6640625" customWidth="1"/>
    <col min="9218" max="9218" width="19.5546875" customWidth="1"/>
    <col min="9219" max="9219" width="13.33203125" customWidth="1"/>
    <col min="9220" max="9220" width="8" customWidth="1"/>
    <col min="9221" max="9221" width="12.6640625" customWidth="1"/>
    <col min="9222" max="9222" width="8" customWidth="1"/>
    <col min="9223" max="9223" width="12" customWidth="1"/>
    <col min="9225" max="9225" width="24.88671875" customWidth="1"/>
    <col min="9226" max="9226" width="13.88671875" customWidth="1"/>
    <col min="9227" max="9227" width="11.109375" customWidth="1"/>
    <col min="9228" max="9228" width="19.88671875" customWidth="1"/>
    <col min="9229" max="9229" width="12.6640625" customWidth="1"/>
    <col min="9474" max="9474" width="19.5546875" customWidth="1"/>
    <col min="9475" max="9475" width="13.33203125" customWidth="1"/>
    <col min="9476" max="9476" width="8" customWidth="1"/>
    <col min="9477" max="9477" width="12.6640625" customWidth="1"/>
    <col min="9478" max="9478" width="8" customWidth="1"/>
    <col min="9479" max="9479" width="12" customWidth="1"/>
    <col min="9481" max="9481" width="24.88671875" customWidth="1"/>
    <col min="9482" max="9482" width="13.88671875" customWidth="1"/>
    <col min="9483" max="9483" width="11.109375" customWidth="1"/>
    <col min="9484" max="9484" width="19.88671875" customWidth="1"/>
    <col min="9485" max="9485" width="12.6640625" customWidth="1"/>
    <col min="9730" max="9730" width="19.5546875" customWidth="1"/>
    <col min="9731" max="9731" width="13.33203125" customWidth="1"/>
    <col min="9732" max="9732" width="8" customWidth="1"/>
    <col min="9733" max="9733" width="12.6640625" customWidth="1"/>
    <col min="9734" max="9734" width="8" customWidth="1"/>
    <col min="9735" max="9735" width="12" customWidth="1"/>
    <col min="9737" max="9737" width="24.88671875" customWidth="1"/>
    <col min="9738" max="9738" width="13.88671875" customWidth="1"/>
    <col min="9739" max="9739" width="11.109375" customWidth="1"/>
    <col min="9740" max="9740" width="19.88671875" customWidth="1"/>
    <col min="9741" max="9741" width="12.6640625" customWidth="1"/>
    <col min="9986" max="9986" width="19.5546875" customWidth="1"/>
    <col min="9987" max="9987" width="13.33203125" customWidth="1"/>
    <col min="9988" max="9988" width="8" customWidth="1"/>
    <col min="9989" max="9989" width="12.6640625" customWidth="1"/>
    <col min="9990" max="9990" width="8" customWidth="1"/>
    <col min="9991" max="9991" width="12" customWidth="1"/>
    <col min="9993" max="9993" width="24.88671875" customWidth="1"/>
    <col min="9994" max="9994" width="13.88671875" customWidth="1"/>
    <col min="9995" max="9995" width="11.109375" customWidth="1"/>
    <col min="9996" max="9996" width="19.88671875" customWidth="1"/>
    <col min="9997" max="9997" width="12.6640625" customWidth="1"/>
    <col min="10242" max="10242" width="19.5546875" customWidth="1"/>
    <col min="10243" max="10243" width="13.33203125" customWidth="1"/>
    <col min="10244" max="10244" width="8" customWidth="1"/>
    <col min="10245" max="10245" width="12.6640625" customWidth="1"/>
    <col min="10246" max="10246" width="8" customWidth="1"/>
    <col min="10247" max="10247" width="12" customWidth="1"/>
    <col min="10249" max="10249" width="24.88671875" customWidth="1"/>
    <col min="10250" max="10250" width="13.88671875" customWidth="1"/>
    <col min="10251" max="10251" width="11.109375" customWidth="1"/>
    <col min="10252" max="10252" width="19.88671875" customWidth="1"/>
    <col min="10253" max="10253" width="12.6640625" customWidth="1"/>
    <col min="10498" max="10498" width="19.5546875" customWidth="1"/>
    <col min="10499" max="10499" width="13.33203125" customWidth="1"/>
    <col min="10500" max="10500" width="8" customWidth="1"/>
    <col min="10501" max="10501" width="12.6640625" customWidth="1"/>
    <col min="10502" max="10502" width="8" customWidth="1"/>
    <col min="10503" max="10503" width="12" customWidth="1"/>
    <col min="10505" max="10505" width="24.88671875" customWidth="1"/>
    <col min="10506" max="10506" width="13.88671875" customWidth="1"/>
    <col min="10507" max="10507" width="11.109375" customWidth="1"/>
    <col min="10508" max="10508" width="19.88671875" customWidth="1"/>
    <col min="10509" max="10509" width="12.6640625" customWidth="1"/>
    <col min="10754" max="10754" width="19.5546875" customWidth="1"/>
    <col min="10755" max="10755" width="13.33203125" customWidth="1"/>
    <col min="10756" max="10756" width="8" customWidth="1"/>
    <col min="10757" max="10757" width="12.6640625" customWidth="1"/>
    <col min="10758" max="10758" width="8" customWidth="1"/>
    <col min="10759" max="10759" width="12" customWidth="1"/>
    <col min="10761" max="10761" width="24.88671875" customWidth="1"/>
    <col min="10762" max="10762" width="13.88671875" customWidth="1"/>
    <col min="10763" max="10763" width="11.109375" customWidth="1"/>
    <col min="10764" max="10764" width="19.88671875" customWidth="1"/>
    <col min="10765" max="10765" width="12.6640625" customWidth="1"/>
    <col min="11010" max="11010" width="19.5546875" customWidth="1"/>
    <col min="11011" max="11011" width="13.33203125" customWidth="1"/>
    <col min="11012" max="11012" width="8" customWidth="1"/>
    <col min="11013" max="11013" width="12.6640625" customWidth="1"/>
    <col min="11014" max="11014" width="8" customWidth="1"/>
    <col min="11015" max="11015" width="12" customWidth="1"/>
    <col min="11017" max="11017" width="24.88671875" customWidth="1"/>
    <col min="11018" max="11018" width="13.88671875" customWidth="1"/>
    <col min="11019" max="11019" width="11.109375" customWidth="1"/>
    <col min="11020" max="11020" width="19.88671875" customWidth="1"/>
    <col min="11021" max="11021" width="12.6640625" customWidth="1"/>
    <col min="11266" max="11266" width="19.5546875" customWidth="1"/>
    <col min="11267" max="11267" width="13.33203125" customWidth="1"/>
    <col min="11268" max="11268" width="8" customWidth="1"/>
    <col min="11269" max="11269" width="12.6640625" customWidth="1"/>
    <col min="11270" max="11270" width="8" customWidth="1"/>
    <col min="11271" max="11271" width="12" customWidth="1"/>
    <col min="11273" max="11273" width="24.88671875" customWidth="1"/>
    <col min="11274" max="11274" width="13.88671875" customWidth="1"/>
    <col min="11275" max="11275" width="11.109375" customWidth="1"/>
    <col min="11276" max="11276" width="19.88671875" customWidth="1"/>
    <col min="11277" max="11277" width="12.6640625" customWidth="1"/>
    <col min="11522" max="11522" width="19.5546875" customWidth="1"/>
    <col min="11523" max="11523" width="13.33203125" customWidth="1"/>
    <col min="11524" max="11524" width="8" customWidth="1"/>
    <col min="11525" max="11525" width="12.6640625" customWidth="1"/>
    <col min="11526" max="11526" width="8" customWidth="1"/>
    <col min="11527" max="11527" width="12" customWidth="1"/>
    <col min="11529" max="11529" width="24.88671875" customWidth="1"/>
    <col min="11530" max="11530" width="13.88671875" customWidth="1"/>
    <col min="11531" max="11531" width="11.109375" customWidth="1"/>
    <col min="11532" max="11532" width="19.88671875" customWidth="1"/>
    <col min="11533" max="11533" width="12.6640625" customWidth="1"/>
    <col min="11778" max="11778" width="19.5546875" customWidth="1"/>
    <col min="11779" max="11779" width="13.33203125" customWidth="1"/>
    <col min="11780" max="11780" width="8" customWidth="1"/>
    <col min="11781" max="11781" width="12.6640625" customWidth="1"/>
    <col min="11782" max="11782" width="8" customWidth="1"/>
    <col min="11783" max="11783" width="12" customWidth="1"/>
    <col min="11785" max="11785" width="24.88671875" customWidth="1"/>
    <col min="11786" max="11786" width="13.88671875" customWidth="1"/>
    <col min="11787" max="11787" width="11.109375" customWidth="1"/>
    <col min="11788" max="11788" width="19.88671875" customWidth="1"/>
    <col min="11789" max="11789" width="12.6640625" customWidth="1"/>
    <col min="12034" max="12034" width="19.5546875" customWidth="1"/>
    <col min="12035" max="12035" width="13.33203125" customWidth="1"/>
    <col min="12036" max="12036" width="8" customWidth="1"/>
    <col min="12037" max="12037" width="12.6640625" customWidth="1"/>
    <col min="12038" max="12038" width="8" customWidth="1"/>
    <col min="12039" max="12039" width="12" customWidth="1"/>
    <col min="12041" max="12041" width="24.88671875" customWidth="1"/>
    <col min="12042" max="12042" width="13.88671875" customWidth="1"/>
    <col min="12043" max="12043" width="11.109375" customWidth="1"/>
    <col min="12044" max="12044" width="19.88671875" customWidth="1"/>
    <col min="12045" max="12045" width="12.6640625" customWidth="1"/>
    <col min="12290" max="12290" width="19.5546875" customWidth="1"/>
    <col min="12291" max="12291" width="13.33203125" customWidth="1"/>
    <col min="12292" max="12292" width="8" customWidth="1"/>
    <col min="12293" max="12293" width="12.6640625" customWidth="1"/>
    <col min="12294" max="12294" width="8" customWidth="1"/>
    <col min="12295" max="12295" width="12" customWidth="1"/>
    <col min="12297" max="12297" width="24.88671875" customWidth="1"/>
    <col min="12298" max="12298" width="13.88671875" customWidth="1"/>
    <col min="12299" max="12299" width="11.109375" customWidth="1"/>
    <col min="12300" max="12300" width="19.88671875" customWidth="1"/>
    <col min="12301" max="12301" width="12.6640625" customWidth="1"/>
    <col min="12546" max="12546" width="19.5546875" customWidth="1"/>
    <col min="12547" max="12547" width="13.33203125" customWidth="1"/>
    <col min="12548" max="12548" width="8" customWidth="1"/>
    <col min="12549" max="12549" width="12.6640625" customWidth="1"/>
    <col min="12550" max="12550" width="8" customWidth="1"/>
    <col min="12551" max="12551" width="12" customWidth="1"/>
    <col min="12553" max="12553" width="24.88671875" customWidth="1"/>
    <col min="12554" max="12554" width="13.88671875" customWidth="1"/>
    <col min="12555" max="12555" width="11.109375" customWidth="1"/>
    <col min="12556" max="12556" width="19.88671875" customWidth="1"/>
    <col min="12557" max="12557" width="12.6640625" customWidth="1"/>
    <col min="12802" max="12802" width="19.5546875" customWidth="1"/>
    <col min="12803" max="12803" width="13.33203125" customWidth="1"/>
    <col min="12804" max="12804" width="8" customWidth="1"/>
    <col min="12805" max="12805" width="12.6640625" customWidth="1"/>
    <col min="12806" max="12806" width="8" customWidth="1"/>
    <col min="12807" max="12807" width="12" customWidth="1"/>
    <col min="12809" max="12809" width="24.88671875" customWidth="1"/>
    <col min="12810" max="12810" width="13.88671875" customWidth="1"/>
    <col min="12811" max="12811" width="11.109375" customWidth="1"/>
    <col min="12812" max="12812" width="19.88671875" customWidth="1"/>
    <col min="12813" max="12813" width="12.6640625" customWidth="1"/>
    <col min="13058" max="13058" width="19.5546875" customWidth="1"/>
    <col min="13059" max="13059" width="13.33203125" customWidth="1"/>
    <col min="13060" max="13060" width="8" customWidth="1"/>
    <col min="13061" max="13061" width="12.6640625" customWidth="1"/>
    <col min="13062" max="13062" width="8" customWidth="1"/>
    <col min="13063" max="13063" width="12" customWidth="1"/>
    <col min="13065" max="13065" width="24.88671875" customWidth="1"/>
    <col min="13066" max="13066" width="13.88671875" customWidth="1"/>
    <col min="13067" max="13067" width="11.109375" customWidth="1"/>
    <col min="13068" max="13068" width="19.88671875" customWidth="1"/>
    <col min="13069" max="13069" width="12.6640625" customWidth="1"/>
    <col min="13314" max="13314" width="19.5546875" customWidth="1"/>
    <col min="13315" max="13315" width="13.33203125" customWidth="1"/>
    <col min="13316" max="13316" width="8" customWidth="1"/>
    <col min="13317" max="13317" width="12.6640625" customWidth="1"/>
    <col min="13318" max="13318" width="8" customWidth="1"/>
    <col min="13319" max="13319" width="12" customWidth="1"/>
    <col min="13321" max="13321" width="24.88671875" customWidth="1"/>
    <col min="13322" max="13322" width="13.88671875" customWidth="1"/>
    <col min="13323" max="13323" width="11.109375" customWidth="1"/>
    <col min="13324" max="13324" width="19.88671875" customWidth="1"/>
    <col min="13325" max="13325" width="12.6640625" customWidth="1"/>
    <col min="13570" max="13570" width="19.5546875" customWidth="1"/>
    <col min="13571" max="13571" width="13.33203125" customWidth="1"/>
    <col min="13572" max="13572" width="8" customWidth="1"/>
    <col min="13573" max="13573" width="12.6640625" customWidth="1"/>
    <col min="13574" max="13574" width="8" customWidth="1"/>
    <col min="13575" max="13575" width="12" customWidth="1"/>
    <col min="13577" max="13577" width="24.88671875" customWidth="1"/>
    <col min="13578" max="13578" width="13.88671875" customWidth="1"/>
    <col min="13579" max="13579" width="11.109375" customWidth="1"/>
    <col min="13580" max="13580" width="19.88671875" customWidth="1"/>
    <col min="13581" max="13581" width="12.6640625" customWidth="1"/>
    <col min="13826" max="13826" width="19.5546875" customWidth="1"/>
    <col min="13827" max="13827" width="13.33203125" customWidth="1"/>
    <col min="13828" max="13828" width="8" customWidth="1"/>
    <col min="13829" max="13829" width="12.6640625" customWidth="1"/>
    <col min="13830" max="13830" width="8" customWidth="1"/>
    <col min="13831" max="13831" width="12" customWidth="1"/>
    <col min="13833" max="13833" width="24.88671875" customWidth="1"/>
    <col min="13834" max="13834" width="13.88671875" customWidth="1"/>
    <col min="13835" max="13835" width="11.109375" customWidth="1"/>
    <col min="13836" max="13836" width="19.88671875" customWidth="1"/>
    <col min="13837" max="13837" width="12.6640625" customWidth="1"/>
    <col min="14082" max="14082" width="19.5546875" customWidth="1"/>
    <col min="14083" max="14083" width="13.33203125" customWidth="1"/>
    <col min="14084" max="14084" width="8" customWidth="1"/>
    <col min="14085" max="14085" width="12.6640625" customWidth="1"/>
    <col min="14086" max="14086" width="8" customWidth="1"/>
    <col min="14087" max="14087" width="12" customWidth="1"/>
    <col min="14089" max="14089" width="24.88671875" customWidth="1"/>
    <col min="14090" max="14090" width="13.88671875" customWidth="1"/>
    <col min="14091" max="14091" width="11.109375" customWidth="1"/>
    <col min="14092" max="14092" width="19.88671875" customWidth="1"/>
    <col min="14093" max="14093" width="12.6640625" customWidth="1"/>
    <col min="14338" max="14338" width="19.5546875" customWidth="1"/>
    <col min="14339" max="14339" width="13.33203125" customWidth="1"/>
    <col min="14340" max="14340" width="8" customWidth="1"/>
    <col min="14341" max="14341" width="12.6640625" customWidth="1"/>
    <col min="14342" max="14342" width="8" customWidth="1"/>
    <col min="14343" max="14343" width="12" customWidth="1"/>
    <col min="14345" max="14345" width="24.88671875" customWidth="1"/>
    <col min="14346" max="14346" width="13.88671875" customWidth="1"/>
    <col min="14347" max="14347" width="11.109375" customWidth="1"/>
    <col min="14348" max="14348" width="19.88671875" customWidth="1"/>
    <col min="14349" max="14349" width="12.6640625" customWidth="1"/>
    <col min="14594" max="14594" width="19.5546875" customWidth="1"/>
    <col min="14595" max="14595" width="13.33203125" customWidth="1"/>
    <col min="14596" max="14596" width="8" customWidth="1"/>
    <col min="14597" max="14597" width="12.6640625" customWidth="1"/>
    <col min="14598" max="14598" width="8" customWidth="1"/>
    <col min="14599" max="14599" width="12" customWidth="1"/>
    <col min="14601" max="14601" width="24.88671875" customWidth="1"/>
    <col min="14602" max="14602" width="13.88671875" customWidth="1"/>
    <col min="14603" max="14603" width="11.109375" customWidth="1"/>
    <col min="14604" max="14604" width="19.88671875" customWidth="1"/>
    <col min="14605" max="14605" width="12.6640625" customWidth="1"/>
    <col min="14850" max="14850" width="19.5546875" customWidth="1"/>
    <col min="14851" max="14851" width="13.33203125" customWidth="1"/>
    <col min="14852" max="14852" width="8" customWidth="1"/>
    <col min="14853" max="14853" width="12.6640625" customWidth="1"/>
    <col min="14854" max="14854" width="8" customWidth="1"/>
    <col min="14855" max="14855" width="12" customWidth="1"/>
    <col min="14857" max="14857" width="24.88671875" customWidth="1"/>
    <col min="14858" max="14858" width="13.88671875" customWidth="1"/>
    <col min="14859" max="14859" width="11.109375" customWidth="1"/>
    <col min="14860" max="14860" width="19.88671875" customWidth="1"/>
    <col min="14861" max="14861" width="12.6640625" customWidth="1"/>
    <col min="15106" max="15106" width="19.5546875" customWidth="1"/>
    <col min="15107" max="15107" width="13.33203125" customWidth="1"/>
    <col min="15108" max="15108" width="8" customWidth="1"/>
    <col min="15109" max="15109" width="12.6640625" customWidth="1"/>
    <col min="15110" max="15110" width="8" customWidth="1"/>
    <col min="15111" max="15111" width="12" customWidth="1"/>
    <col min="15113" max="15113" width="24.88671875" customWidth="1"/>
    <col min="15114" max="15114" width="13.88671875" customWidth="1"/>
    <col min="15115" max="15115" width="11.109375" customWidth="1"/>
    <col min="15116" max="15116" width="19.88671875" customWidth="1"/>
    <col min="15117" max="15117" width="12.6640625" customWidth="1"/>
    <col min="15362" max="15362" width="19.5546875" customWidth="1"/>
    <col min="15363" max="15363" width="13.33203125" customWidth="1"/>
    <col min="15364" max="15364" width="8" customWidth="1"/>
    <col min="15365" max="15365" width="12.6640625" customWidth="1"/>
    <col min="15366" max="15366" width="8" customWidth="1"/>
    <col min="15367" max="15367" width="12" customWidth="1"/>
    <col min="15369" max="15369" width="24.88671875" customWidth="1"/>
    <col min="15370" max="15370" width="13.88671875" customWidth="1"/>
    <col min="15371" max="15371" width="11.109375" customWidth="1"/>
    <col min="15372" max="15372" width="19.88671875" customWidth="1"/>
    <col min="15373" max="15373" width="12.6640625" customWidth="1"/>
    <col min="15618" max="15618" width="19.5546875" customWidth="1"/>
    <col min="15619" max="15619" width="13.33203125" customWidth="1"/>
    <col min="15620" max="15620" width="8" customWidth="1"/>
    <col min="15621" max="15621" width="12.6640625" customWidth="1"/>
    <col min="15622" max="15622" width="8" customWidth="1"/>
    <col min="15623" max="15623" width="12" customWidth="1"/>
    <col min="15625" max="15625" width="24.88671875" customWidth="1"/>
    <col min="15626" max="15626" width="13.88671875" customWidth="1"/>
    <col min="15627" max="15627" width="11.109375" customWidth="1"/>
    <col min="15628" max="15628" width="19.88671875" customWidth="1"/>
    <col min="15629" max="15629" width="12.6640625" customWidth="1"/>
    <col min="15874" max="15874" width="19.5546875" customWidth="1"/>
    <col min="15875" max="15875" width="13.33203125" customWidth="1"/>
    <col min="15876" max="15876" width="8" customWidth="1"/>
    <col min="15877" max="15877" width="12.6640625" customWidth="1"/>
    <col min="15878" max="15878" width="8" customWidth="1"/>
    <col min="15879" max="15879" width="12" customWidth="1"/>
    <col min="15881" max="15881" width="24.88671875" customWidth="1"/>
    <col min="15882" max="15882" width="13.88671875" customWidth="1"/>
    <col min="15883" max="15883" width="11.109375" customWidth="1"/>
    <col min="15884" max="15884" width="19.88671875" customWidth="1"/>
    <col min="15885" max="15885" width="12.6640625" customWidth="1"/>
    <col min="16130" max="16130" width="19.5546875" customWidth="1"/>
    <col min="16131" max="16131" width="13.33203125" customWidth="1"/>
    <col min="16132" max="16132" width="8" customWidth="1"/>
    <col min="16133" max="16133" width="12.6640625" customWidth="1"/>
    <col min="16134" max="16134" width="8" customWidth="1"/>
    <col min="16135" max="16135" width="12" customWidth="1"/>
    <col min="16137" max="16137" width="24.88671875" customWidth="1"/>
    <col min="16138" max="16138" width="13.88671875" customWidth="1"/>
    <col min="16139" max="16139" width="11.109375" customWidth="1"/>
    <col min="16140" max="16140" width="19.88671875" customWidth="1"/>
    <col min="16141" max="16141" width="12.664062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125</v>
      </c>
      <c r="G85" s="68">
        <f>SUM(G2:G82)</f>
        <v>70882.595055588739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8"/>
  <sheetViews>
    <sheetView topLeftCell="E16" workbookViewId="0">
      <selection activeCell="L28" sqref="L28"/>
    </sheetView>
  </sheetViews>
  <sheetFormatPr baseColWidth="10" defaultColWidth="11.44140625" defaultRowHeight="14.4"/>
  <cols>
    <col min="3" max="3" width="19.109375" customWidth="1"/>
    <col min="4" max="4" width="14.109375" style="46" customWidth="1"/>
    <col min="5" max="5" width="20.109375" customWidth="1"/>
    <col min="6" max="6" width="18.33203125" customWidth="1"/>
    <col min="7" max="7" width="17" customWidth="1"/>
    <col min="8" max="8" width="16" customWidth="1"/>
    <col min="9" max="9" width="17.33203125" customWidth="1"/>
    <col min="10" max="10" width="14.44140625" customWidth="1"/>
    <col min="11" max="11" width="18.33203125" customWidth="1"/>
    <col min="12" max="12" width="16.6640625" customWidth="1"/>
    <col min="13" max="13" width="17" customWidth="1"/>
    <col min="14" max="14" width="13.6640625" customWidth="1"/>
    <col min="18" max="18" width="12.88671875" customWidth="1"/>
    <col min="19" max="19" width="34.44140625" customWidth="1"/>
    <col min="20" max="20" width="23.88671875" customWidth="1"/>
    <col min="21" max="21" width="15.109375" customWidth="1"/>
    <col min="22" max="22" width="24.109375" customWidth="1"/>
    <col min="23" max="23" width="12" bestFit="1" customWidth="1"/>
    <col min="24" max="24" width="14.6640625" customWidth="1"/>
    <col min="25" max="25" width="16" customWidth="1"/>
    <col min="28" max="28" width="12.6640625" bestFit="1" customWidth="1"/>
    <col min="29" max="29" width="16.109375" customWidth="1"/>
    <col min="30" max="30" width="15.33203125" customWidth="1"/>
    <col min="31" max="31" width="12.6640625" bestFit="1" customWidth="1"/>
  </cols>
  <sheetData>
    <row r="1" spans="1:27">
      <c r="A1" s="240" t="s">
        <v>500</v>
      </c>
      <c r="B1" s="240"/>
      <c r="C1" s="241"/>
      <c r="D1" s="320"/>
      <c r="E1" s="242"/>
      <c r="F1" s="243" t="s">
        <v>501</v>
      </c>
      <c r="G1" s="244"/>
      <c r="H1" s="244"/>
      <c r="I1" s="244"/>
      <c r="J1" s="244"/>
      <c r="K1" s="245" t="s">
        <v>502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503</v>
      </c>
      <c r="B2" s="252" t="s">
        <v>504</v>
      </c>
      <c r="C2" s="252" t="s">
        <v>505</v>
      </c>
      <c r="D2" s="321" t="s">
        <v>560</v>
      </c>
      <c r="E2" s="252" t="s">
        <v>506</v>
      </c>
      <c r="F2" s="253" t="s">
        <v>507</v>
      </c>
      <c r="G2" s="254" t="s">
        <v>508</v>
      </c>
      <c r="H2" s="254" t="s">
        <v>509</v>
      </c>
      <c r="I2" s="254" t="s">
        <v>510</v>
      </c>
      <c r="J2" s="254" t="s">
        <v>7</v>
      </c>
      <c r="K2" s="255" t="s">
        <v>507</v>
      </c>
      <c r="L2" s="256" t="s">
        <v>508</v>
      </c>
      <c r="M2" s="256" t="s">
        <v>510</v>
      </c>
      <c r="N2" s="257" t="s">
        <v>7</v>
      </c>
      <c r="O2" s="258" t="s">
        <v>7</v>
      </c>
      <c r="P2" s="259" t="s">
        <v>511</v>
      </c>
      <c r="Q2" s="259" t="s">
        <v>862</v>
      </c>
      <c r="R2" s="259" t="s">
        <v>95</v>
      </c>
      <c r="S2" s="260" t="s">
        <v>512</v>
      </c>
      <c r="T2" s="261"/>
    </row>
    <row r="3" spans="1:27">
      <c r="A3" s="262" t="s">
        <v>513</v>
      </c>
      <c r="B3" s="262" t="s">
        <v>514</v>
      </c>
      <c r="C3" s="263">
        <v>5600</v>
      </c>
      <c r="D3" s="322">
        <f ca="1">_xlfn.DAYS(K3,F3)</f>
        <v>1579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43788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534</v>
      </c>
    </row>
    <row r="4" spans="1:27">
      <c r="A4" s="262" t="s">
        <v>515</v>
      </c>
      <c r="B4" s="262" t="s">
        <v>411</v>
      </c>
      <c r="C4" s="263">
        <v>4090</v>
      </c>
      <c r="D4" s="322">
        <f ca="1">_xlfn.DAYS(K4,F4)</f>
        <v>183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43788</v>
      </c>
      <c r="L4" s="302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534</v>
      </c>
      <c r="T4" s="340"/>
    </row>
    <row r="5" spans="1:27">
      <c r="A5" s="262" t="s">
        <v>515</v>
      </c>
      <c r="B5" s="262" t="s">
        <v>516</v>
      </c>
      <c r="C5" s="263">
        <v>5100</v>
      </c>
      <c r="D5" s="322">
        <f ca="1">_xlfn.DAYS(K5,F5)</f>
        <v>634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43788</v>
      </c>
      <c r="L5" s="302">
        <v>29.8</v>
      </c>
      <c r="M5" s="264">
        <f>(H5*L5)</f>
        <v>5840.8</v>
      </c>
      <c r="N5" s="264">
        <f>-(IF((M5*0.0075)&lt;30,30,(M5*0.0075)) + (M5*0.0035))</f>
        <v>-64.248800000000003</v>
      </c>
      <c r="O5" s="272">
        <f>J5+N5</f>
        <v>-120.26168</v>
      </c>
      <c r="P5" s="273">
        <f>M5-E5+N5</f>
        <v>628.45832000000007</v>
      </c>
      <c r="Q5" s="273">
        <f t="shared" ref="Q5:Q9" si="0">M5+N5</f>
        <v>5776.5511999999999</v>
      </c>
      <c r="R5" s="274">
        <f>P5/E5</f>
        <v>0.12207594824901451</v>
      </c>
      <c r="S5" s="275" t="s">
        <v>534</v>
      </c>
      <c r="T5" s="340">
        <v>43770</v>
      </c>
    </row>
    <row r="6" spans="1:27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4"/>
      <c r="B10" s="445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  <c r="S10" s="445"/>
    </row>
    <row r="11" spans="1:27">
      <c r="A11" s="446" t="s">
        <v>517</v>
      </c>
      <c r="B11" s="447"/>
      <c r="C11" s="447"/>
      <c r="D11" s="447"/>
      <c r="E11" s="447"/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  <c r="S11" s="447"/>
    </row>
    <row r="12" spans="1:27">
      <c r="A12" s="290" t="s">
        <v>503</v>
      </c>
      <c r="B12" s="290" t="s">
        <v>504</v>
      </c>
      <c r="C12" s="290" t="s">
        <v>505</v>
      </c>
      <c r="D12" s="324" t="s">
        <v>560</v>
      </c>
      <c r="E12" s="290" t="s">
        <v>506</v>
      </c>
      <c r="F12" s="291" t="s">
        <v>507</v>
      </c>
      <c r="G12" s="292" t="s">
        <v>508</v>
      </c>
      <c r="H12" s="292" t="s">
        <v>509</v>
      </c>
      <c r="I12" s="292" t="s">
        <v>510</v>
      </c>
      <c r="J12" s="292" t="s">
        <v>7</v>
      </c>
      <c r="K12" s="293" t="s">
        <v>507</v>
      </c>
      <c r="L12" s="294" t="s">
        <v>508</v>
      </c>
      <c r="M12" s="294" t="s">
        <v>510</v>
      </c>
      <c r="N12" s="295" t="s">
        <v>7</v>
      </c>
      <c r="O12" s="296" t="s">
        <v>7</v>
      </c>
      <c r="P12" s="297" t="s">
        <v>511</v>
      </c>
      <c r="Q12" s="297" t="s">
        <v>862</v>
      </c>
      <c r="R12" s="297" t="s">
        <v>95</v>
      </c>
      <c r="S12" s="298" t="s">
        <v>512</v>
      </c>
      <c r="T12" s="339" t="s">
        <v>603</v>
      </c>
      <c r="U12" s="339" t="s">
        <v>780</v>
      </c>
      <c r="X12" s="330" t="s">
        <v>530</v>
      </c>
      <c r="Y12" s="330" t="s">
        <v>531</v>
      </c>
      <c r="Z12" s="330" t="s">
        <v>532</v>
      </c>
      <c r="AA12" s="330" t="s">
        <v>533</v>
      </c>
    </row>
    <row r="13" spans="1:27">
      <c r="A13" s="262" t="s">
        <v>513</v>
      </c>
      <c r="B13" s="262" t="s">
        <v>518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518</v>
      </c>
      <c r="T13" s="59">
        <f>R13+R14</f>
        <v>-4.7120556421087471E-2</v>
      </c>
      <c r="X13" s="39">
        <f t="shared" ref="X13:X41" ca="1" si="1">D13/D$43</f>
        <v>3.6172695449241538E-2</v>
      </c>
      <c r="Y13" s="119">
        <f ca="1">X13*E13</f>
        <v>145.38779165694282</v>
      </c>
      <c r="Z13" s="38"/>
    </row>
    <row r="14" spans="1:27">
      <c r="A14" s="262" t="s">
        <v>513</v>
      </c>
      <c r="B14" s="262" t="s">
        <v>518</v>
      </c>
      <c r="C14" s="263"/>
      <c r="D14" s="322">
        <f t="shared" ref="D14:D35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519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513</v>
      </c>
      <c r="B15" s="262" t="s">
        <v>520</v>
      </c>
      <c r="C15" s="263"/>
      <c r="D15" s="322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520</v>
      </c>
      <c r="X15" s="39">
        <f t="shared" ca="1" si="1"/>
        <v>3.2088681446907817E-2</v>
      </c>
      <c r="Y15" s="119">
        <f t="shared" ca="1" si="3"/>
        <v>0</v>
      </c>
    </row>
    <row r="16" spans="1:27">
      <c r="A16" s="262" t="s">
        <v>513</v>
      </c>
      <c r="B16" s="262" t="s">
        <v>521</v>
      </c>
      <c r="C16" s="263"/>
      <c r="D16" s="322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521</v>
      </c>
      <c r="X16" s="39">
        <f t="shared" ca="1" si="1"/>
        <v>8.1680280046674443E-3</v>
      </c>
      <c r="Y16" s="119">
        <f t="shared" ca="1" si="3"/>
        <v>0</v>
      </c>
    </row>
    <row r="17" spans="1:25">
      <c r="A17" s="262"/>
      <c r="B17" s="262"/>
      <c r="C17" s="263"/>
      <c r="D17" s="322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522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2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523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513</v>
      </c>
      <c r="B19" s="262" t="s">
        <v>521</v>
      </c>
      <c r="C19" s="263">
        <v>4400</v>
      </c>
      <c r="D19" s="322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521</v>
      </c>
      <c r="T19" s="59">
        <f>R19+R21+R24</f>
        <v>0.24013324659263452</v>
      </c>
      <c r="X19" s="39">
        <f t="shared" ca="1" si="1"/>
        <v>0.50700116686114349</v>
      </c>
      <c r="Y19" s="119">
        <f t="shared" ca="1" si="3"/>
        <v>2242.6689209334891</v>
      </c>
    </row>
    <row r="20" spans="1:25">
      <c r="A20" s="262" t="s">
        <v>513</v>
      </c>
      <c r="B20" s="262" t="s">
        <v>521</v>
      </c>
      <c r="C20" s="263">
        <v>605</v>
      </c>
      <c r="D20" s="322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5" si="4">M20+N20</f>
        <v>2575.34</v>
      </c>
      <c r="R20" s="274">
        <f>P20/E20</f>
        <v>3.2879453879453884</v>
      </c>
      <c r="S20" s="275" t="s">
        <v>561</v>
      </c>
      <c r="X20" s="39">
        <f t="shared" ca="1" si="1"/>
        <v>0.36872812135355892</v>
      </c>
      <c r="Y20" s="119">
        <f t="shared" ca="1" si="3"/>
        <v>221.45810968494749</v>
      </c>
    </row>
    <row r="21" spans="1:25">
      <c r="A21" s="262" t="s">
        <v>513</v>
      </c>
      <c r="B21" s="262" t="s">
        <v>521</v>
      </c>
      <c r="C21" s="263"/>
      <c r="D21" s="322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524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2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522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2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525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513</v>
      </c>
      <c r="B24" s="262" t="s">
        <v>521</v>
      </c>
      <c r="C24" s="263"/>
      <c r="D24" s="322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526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513</v>
      </c>
      <c r="B25" s="262" t="s">
        <v>521</v>
      </c>
      <c r="C25" s="263">
        <v>600</v>
      </c>
      <c r="D25" s="322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521</v>
      </c>
      <c r="X25" s="39">
        <f t="shared" ca="1" si="1"/>
        <v>0.16802800466744458</v>
      </c>
      <c r="Y25" s="119">
        <f t="shared" ca="1" si="3"/>
        <v>102.15484777596266</v>
      </c>
    </row>
    <row r="26" spans="1:25">
      <c r="A26" s="262"/>
      <c r="B26" s="262"/>
      <c r="C26" s="263"/>
      <c r="D26" s="322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527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2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527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515</v>
      </c>
      <c r="B28" s="262" t="s">
        <v>516</v>
      </c>
      <c r="C28" s="263">
        <v>5100</v>
      </c>
      <c r="D28" s="322">
        <f t="shared" ca="1" si="2"/>
        <v>634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43788</v>
      </c>
      <c r="L28" s="302">
        <v>29</v>
      </c>
      <c r="M28" s="264">
        <f>(H28*L28)</f>
        <v>5684</v>
      </c>
      <c r="N28" s="264">
        <f>-(IF((M28*0.0075)&lt;30,30,(M28*0.0075)) + (M28*0.0035))</f>
        <v>-62.524000000000001</v>
      </c>
      <c r="O28" s="272">
        <f>J28+N28</f>
        <v>-118.53688</v>
      </c>
      <c r="P28" s="273">
        <f ca="1">IF(K28=0,0,M28-E28+N28)</f>
        <v>473.38311999999985</v>
      </c>
      <c r="Q28" s="273">
        <f t="shared" si="4"/>
        <v>5621.4759999999997</v>
      </c>
      <c r="R28" s="274">
        <f ca="1">P28/E28</f>
        <v>9.195310400071878E-2</v>
      </c>
      <c r="S28" s="275" t="s">
        <v>516</v>
      </c>
      <c r="T28" s="59">
        <f ca="1">R28+R29+R30+R34</f>
        <v>0.11635825808954711</v>
      </c>
      <c r="U28" s="59">
        <f>(L28/L5)-1</f>
        <v>-2.684563758389269E-2</v>
      </c>
      <c r="X28" s="39">
        <f t="shared" ca="1" si="1"/>
        <v>0.36989498249708286</v>
      </c>
      <c r="Y28" s="119">
        <f t="shared" ca="1" si="3"/>
        <v>1904.253725740957</v>
      </c>
    </row>
    <row r="29" spans="1:25">
      <c r="A29" s="262" t="s">
        <v>515</v>
      </c>
      <c r="B29" s="262" t="s">
        <v>516</v>
      </c>
      <c r="C29" s="263"/>
      <c r="D29" s="322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471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515</v>
      </c>
      <c r="B30" s="262" t="s">
        <v>516</v>
      </c>
      <c r="C30" s="263"/>
      <c r="D30" s="322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471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515</v>
      </c>
      <c r="B31" s="262"/>
      <c r="C31" s="263"/>
      <c r="D31" s="322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528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515</v>
      </c>
      <c r="B32" s="262"/>
      <c r="C32" s="263"/>
      <c r="D32" s="322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</f>
        <v>-25.189999999999998</v>
      </c>
      <c r="Q32" s="273"/>
      <c r="R32" s="274"/>
      <c r="S32" s="275" t="s">
        <v>529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515</v>
      </c>
      <c r="B33" s="262" t="s">
        <v>411</v>
      </c>
      <c r="C33" s="263">
        <v>4090</v>
      </c>
      <c r="D33" s="322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411</v>
      </c>
      <c r="X33" s="39">
        <f t="shared" ca="1" si="1"/>
        <v>1.2835472578763127E-2</v>
      </c>
      <c r="Y33" s="119">
        <f t="shared" ca="1" si="3"/>
        <v>52.999286114352387</v>
      </c>
    </row>
    <row r="34" spans="1:27">
      <c r="A34" s="262" t="s">
        <v>515</v>
      </c>
      <c r="B34" s="262" t="s">
        <v>516</v>
      </c>
      <c r="C34" s="263"/>
      <c r="D34" s="322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471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515</v>
      </c>
      <c r="B35" s="262" t="s">
        <v>411</v>
      </c>
      <c r="C35" s="263">
        <v>4090</v>
      </c>
      <c r="D35" s="322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411</v>
      </c>
      <c r="U35" s="59"/>
      <c r="X35" s="39">
        <f t="shared" ca="1" si="1"/>
        <v>8.6931155192532084E-2</v>
      </c>
      <c r="Y35" s="119">
        <f t="shared" ca="1" si="3"/>
        <v>355.43948782963827</v>
      </c>
    </row>
    <row r="36" spans="1:27">
      <c r="A36" s="262" t="s">
        <v>515</v>
      </c>
      <c r="B36" s="262" t="s">
        <v>516</v>
      </c>
      <c r="C36" s="263"/>
      <c r="D36" s="322">
        <f t="shared" ref="D36" si="5">IF(OR(F36=0,K36=0),0,_xlfn.DAYS(K36,F36))</f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ref="Q36" si="6">M36+N36</f>
        <v>-43.400000000000006</v>
      </c>
      <c r="R36" s="274">
        <f>P36/E36</f>
        <v>8.3215281850159608E-3</v>
      </c>
      <c r="S36" s="275" t="s">
        <v>471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3"/>
      <c r="R37" s="274"/>
      <c r="S37" s="275"/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3"/>
      <c r="B42" s="314"/>
      <c r="C42" s="315"/>
      <c r="D42" s="325">
        <f ca="1">SUM(D13:D41)</f>
        <v>2725</v>
      </c>
      <c r="E42" s="315">
        <f>SUM(E13:E41)</f>
        <v>56475.638345999992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-422.56071900000006</v>
      </c>
      <c r="O42" s="315">
        <f>SUM(O13:O41)</f>
        <v>-565.35885699999994</v>
      </c>
      <c r="P42" s="315">
        <f ca="1">SUM(P13:P41)</f>
        <v>4213.7495230000004</v>
      </c>
      <c r="Q42" s="315"/>
      <c r="R42" s="326">
        <f ca="1">SUM(R13:R41)</f>
        <v>4.0363722784209823</v>
      </c>
      <c r="S42" s="317"/>
      <c r="X42" s="327">
        <f ca="1">SUM(X13:X41)</f>
        <v>1.5898483080513417</v>
      </c>
      <c r="Y42" s="328">
        <f ca="1">SUM(Y13:Y41)</f>
        <v>5024.3621697362896</v>
      </c>
      <c r="Z42" s="329">
        <f ca="1">P42/Y42</f>
        <v>0.83866357174271233</v>
      </c>
      <c r="AA42" s="329">
        <f ca="1">Z42/(D$43/365)</f>
        <v>0.17859521801988917</v>
      </c>
    </row>
    <row r="43" spans="1:27">
      <c r="C43" s="119" t="s">
        <v>567</v>
      </c>
      <c r="D43" s="46">
        <f ca="1">_xlfn.DAYS(TODAY(),F13)</f>
        <v>1714</v>
      </c>
      <c r="E43" s="119"/>
      <c r="F43" s="300"/>
      <c r="G43" s="119"/>
      <c r="H43" s="303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3"/>
      <c r="I44" s="119"/>
      <c r="J44" s="119"/>
    </row>
    <row r="45" spans="1:27">
      <c r="C45" s="119"/>
      <c r="E45" s="119"/>
      <c r="F45" s="300"/>
      <c r="G45" s="119"/>
      <c r="H45" s="303"/>
      <c r="I45" s="119"/>
      <c r="J45" s="119"/>
      <c r="R45" s="119"/>
    </row>
    <row r="46" spans="1:27">
      <c r="C46" s="119"/>
      <c r="E46" s="119"/>
      <c r="F46" s="300"/>
      <c r="G46" s="119"/>
      <c r="H46" s="303"/>
      <c r="I46" s="119"/>
      <c r="J46" s="119"/>
      <c r="L46" s="119"/>
    </row>
    <row r="47" spans="1:27">
      <c r="C47" s="119"/>
      <c r="E47" s="119"/>
      <c r="F47" s="300"/>
      <c r="G47" s="119"/>
      <c r="H47" s="303"/>
      <c r="I47" s="119"/>
      <c r="J47" s="119"/>
    </row>
    <row r="48" spans="1:27">
      <c r="C48" s="119"/>
      <c r="E48" s="119"/>
      <c r="F48" s="300"/>
      <c r="G48" s="119"/>
      <c r="H48" s="303"/>
      <c r="I48" s="119"/>
      <c r="J48" s="119"/>
    </row>
    <row r="49" spans="3:29">
      <c r="C49" s="119"/>
      <c r="E49" s="119"/>
      <c r="F49" s="300"/>
      <c r="G49" s="119"/>
      <c r="H49" s="303"/>
      <c r="I49" s="119"/>
      <c r="J49" s="119"/>
    </row>
    <row r="50" spans="3:29">
      <c r="C50" s="119"/>
      <c r="E50" s="119"/>
      <c r="F50" s="300"/>
      <c r="G50" s="119"/>
      <c r="H50" s="303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535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536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537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R58" s="119"/>
    </row>
    <row r="59" spans="3:29">
      <c r="D59" s="46" t="s">
        <v>538</v>
      </c>
      <c r="F59">
        <v>20</v>
      </c>
      <c r="G59">
        <v>14</v>
      </c>
      <c r="H59" s="58">
        <f>1-(G59/F59)</f>
        <v>0.30000000000000004</v>
      </c>
      <c r="R59" s="119"/>
      <c r="T59" s="306"/>
    </row>
    <row r="60" spans="3:29">
      <c r="G60" s="38"/>
      <c r="T60" s="304"/>
      <c r="U60">
        <f>(0.00242*12)</f>
        <v>2.9039999999999996E-2</v>
      </c>
    </row>
    <row r="61" spans="3:29">
      <c r="P61" s="304"/>
      <c r="Q61" s="304"/>
      <c r="T61" s="307"/>
      <c r="U61">
        <f>4700*U60</f>
        <v>136.48799999999997</v>
      </c>
    </row>
    <row r="62" spans="3:29">
      <c r="R62" s="59"/>
      <c r="T62" s="308" t="s">
        <v>539</v>
      </c>
      <c r="U62" s="41" t="s">
        <v>540</v>
      </c>
      <c r="V62" s="38"/>
    </row>
    <row r="63" spans="3:29" ht="15.6">
      <c r="G63" s="38"/>
      <c r="S63" t="s">
        <v>541</v>
      </c>
      <c r="T63" s="309" t="s">
        <v>542</v>
      </c>
      <c r="U63" s="310"/>
      <c r="V63" s="38"/>
    </row>
    <row r="64" spans="3:29">
      <c r="F64" s="38"/>
      <c r="G64" s="38"/>
      <c r="S64" t="s">
        <v>543</v>
      </c>
      <c r="T64" s="309" t="s">
        <v>544</v>
      </c>
      <c r="U64" t="s">
        <v>545</v>
      </c>
    </row>
    <row r="65" spans="6:22">
      <c r="F65" s="38"/>
      <c r="G65" s="38"/>
      <c r="H65" s="38"/>
      <c r="K65" t="s">
        <v>546</v>
      </c>
      <c r="T65" s="38"/>
      <c r="U65" t="s">
        <v>547</v>
      </c>
      <c r="V65" s="38"/>
    </row>
    <row r="66" spans="6:22">
      <c r="K66" s="311">
        <v>43587</v>
      </c>
      <c r="T66" s="306"/>
    </row>
    <row r="67" spans="6:22">
      <c r="K67" t="s">
        <v>548</v>
      </c>
      <c r="T67" s="312"/>
    </row>
    <row r="68" spans="6:22">
      <c r="K68" t="s">
        <v>549</v>
      </c>
      <c r="M68" t="s">
        <v>148</v>
      </c>
      <c r="T68" s="309"/>
      <c r="U68">
        <f>5000/12</f>
        <v>416.66666666666669</v>
      </c>
    </row>
    <row r="69" spans="6:22">
      <c r="K69" t="s">
        <v>550</v>
      </c>
      <c r="U69">
        <f>2.2/U68</f>
        <v>5.28E-3</v>
      </c>
    </row>
    <row r="70" spans="6:22">
      <c r="K70" t="s">
        <v>551</v>
      </c>
      <c r="U70">
        <f>100*U69</f>
        <v>0.52800000000000002</v>
      </c>
    </row>
    <row r="71" spans="6:22">
      <c r="K71" t="s">
        <v>552</v>
      </c>
      <c r="U71">
        <f>2.2*12</f>
        <v>26.400000000000002</v>
      </c>
    </row>
    <row r="72" spans="6:22">
      <c r="K72" t="s">
        <v>553</v>
      </c>
    </row>
    <row r="73" spans="6:22">
      <c r="K73" t="s">
        <v>554</v>
      </c>
    </row>
    <row r="74" spans="6:22">
      <c r="K74" t="s">
        <v>555</v>
      </c>
    </row>
    <row r="75" spans="6:22">
      <c r="K75" t="s">
        <v>556</v>
      </c>
    </row>
    <row r="76" spans="6:22">
      <c r="K76" t="s">
        <v>557</v>
      </c>
    </row>
    <row r="77" spans="6:22">
      <c r="K77" t="s">
        <v>558</v>
      </c>
    </row>
    <row r="78" spans="6:22">
      <c r="K78" t="s">
        <v>559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D33" sqref="D33"/>
    </sheetView>
  </sheetViews>
  <sheetFormatPr baseColWidth="10" defaultColWidth="8.88671875" defaultRowHeight="14.4"/>
  <cols>
    <col min="1" max="1" width="18" customWidth="1"/>
    <col min="2" max="2" width="12" customWidth="1"/>
    <col min="3" max="3" width="11.109375" customWidth="1"/>
    <col min="4" max="4" width="26" customWidth="1"/>
    <col min="5" max="5" width="13.109375" customWidth="1"/>
  </cols>
  <sheetData>
    <row r="1" spans="1:5">
      <c r="A1" s="448" t="s">
        <v>573</v>
      </c>
      <c r="B1" s="448"/>
      <c r="C1" s="448"/>
      <c r="D1" s="448"/>
      <c r="E1" s="448"/>
    </row>
    <row r="2" spans="1:5">
      <c r="A2" s="332" t="s">
        <v>569</v>
      </c>
      <c r="B2" s="333" t="s">
        <v>88</v>
      </c>
      <c r="C2" s="333" t="s">
        <v>570</v>
      </c>
      <c r="D2" s="333" t="s">
        <v>571</v>
      </c>
      <c r="E2" s="270"/>
    </row>
    <row r="3" spans="1:5">
      <c r="A3" s="334" t="s">
        <v>52</v>
      </c>
      <c r="B3" s="335">
        <f>5092.08</f>
        <v>5092.08</v>
      </c>
      <c r="C3" s="305">
        <f>B3/B$7</f>
        <v>1</v>
      </c>
      <c r="D3" s="335">
        <f ca="1">D$7*C3</f>
        <v>473.38311999999985</v>
      </c>
      <c r="E3" s="275"/>
    </row>
    <row r="4" spans="1:5">
      <c r="A4" s="334" t="s">
        <v>26</v>
      </c>
      <c r="B4" s="335">
        <v>0</v>
      </c>
      <c r="C4" s="305">
        <f t="shared" ref="C4:C6" si="0">B4/B$7</f>
        <v>0</v>
      </c>
      <c r="D4" s="335">
        <f t="shared" ref="D4:D6" ca="1" si="1">D$7*C4</f>
        <v>0</v>
      </c>
      <c r="E4" s="275"/>
    </row>
    <row r="5" spans="1:5">
      <c r="A5" s="334" t="s">
        <v>171</v>
      </c>
      <c r="B5" s="335">
        <v>0</v>
      </c>
      <c r="C5" s="305">
        <f t="shared" si="0"/>
        <v>0</v>
      </c>
      <c r="D5" s="335">
        <f t="shared" ca="1" si="1"/>
        <v>0</v>
      </c>
      <c r="E5" s="275"/>
    </row>
    <row r="6" spans="1:5">
      <c r="A6" s="334" t="s">
        <v>50</v>
      </c>
      <c r="B6" s="335">
        <v>0</v>
      </c>
      <c r="C6" s="305">
        <f t="shared" si="0"/>
        <v>0</v>
      </c>
      <c r="D6" s="335">
        <f t="shared" ca="1" si="1"/>
        <v>0</v>
      </c>
      <c r="E6" s="275"/>
    </row>
    <row r="7" spans="1:5">
      <c r="A7" s="334" t="s">
        <v>5</v>
      </c>
      <c r="B7" s="335">
        <f>SUM(B3:B6)</f>
        <v>5092.08</v>
      </c>
      <c r="C7" s="305">
        <f>SUM(C3:C6)</f>
        <v>1</v>
      </c>
      <c r="D7" s="276">
        <f ca="1">Bolsa1!P28</f>
        <v>473.38311999999985</v>
      </c>
      <c r="E7" s="275" t="s">
        <v>572</v>
      </c>
    </row>
    <row r="8" spans="1:5">
      <c r="A8" s="334"/>
      <c r="B8" s="335"/>
      <c r="C8" s="336"/>
      <c r="D8" s="336"/>
      <c r="E8" s="275"/>
    </row>
    <row r="9" spans="1:5">
      <c r="A9" s="334"/>
      <c r="B9" s="335"/>
      <c r="C9" s="336"/>
      <c r="D9" s="336"/>
      <c r="E9" s="275"/>
    </row>
    <row r="10" spans="1:5">
      <c r="A10" s="334"/>
      <c r="B10" s="336"/>
      <c r="C10" s="336"/>
      <c r="D10" s="336"/>
      <c r="E10" s="275"/>
    </row>
    <row r="11" spans="1:5">
      <c r="A11" s="334" t="s">
        <v>155</v>
      </c>
      <c r="B11" s="335">
        <v>5092.08</v>
      </c>
      <c r="C11" s="336"/>
      <c r="D11" s="336"/>
      <c r="E11" s="275"/>
    </row>
    <row r="12" spans="1:5">
      <c r="A12" s="337" t="s">
        <v>5</v>
      </c>
      <c r="B12" s="338">
        <f>B11</f>
        <v>5092.08</v>
      </c>
      <c r="C12" s="330"/>
      <c r="D12" s="330"/>
      <c r="E12" s="289"/>
    </row>
    <row r="15" spans="1:5">
      <c r="A15" s="446" t="s">
        <v>602</v>
      </c>
      <c r="B15" s="446"/>
      <c r="C15" s="446"/>
      <c r="D15" s="446"/>
      <c r="E15" s="446"/>
    </row>
    <row r="17" spans="1:4">
      <c r="A17" s="331" t="s">
        <v>574</v>
      </c>
    </row>
    <row r="19" spans="1:4">
      <c r="A19" t="s">
        <v>575</v>
      </c>
    </row>
    <row r="20" spans="1:4">
      <c r="A20" t="s">
        <v>576</v>
      </c>
    </row>
    <row r="21" spans="1:4">
      <c r="A21" t="s">
        <v>577</v>
      </c>
    </row>
    <row r="22" spans="1:4">
      <c r="A22" t="s">
        <v>578</v>
      </c>
    </row>
    <row r="23" spans="1:4">
      <c r="A23" t="s">
        <v>579</v>
      </c>
    </row>
    <row r="24" spans="1:4">
      <c r="A24" t="s">
        <v>580</v>
      </c>
    </row>
    <row r="25" spans="1:4">
      <c r="A25" t="s">
        <v>581</v>
      </c>
    </row>
    <row r="30" spans="1:4">
      <c r="A30" s="331" t="s">
        <v>582</v>
      </c>
      <c r="B30" s="331" t="s">
        <v>583</v>
      </c>
      <c r="C30" s="331" t="s">
        <v>584</v>
      </c>
      <c r="D30" s="331" t="s">
        <v>585</v>
      </c>
    </row>
    <row r="32" spans="1:4">
      <c r="A32" t="s">
        <v>586</v>
      </c>
      <c r="B32" t="s">
        <v>587</v>
      </c>
      <c r="C32" t="s">
        <v>588</v>
      </c>
      <c r="D32" t="s">
        <v>589</v>
      </c>
    </row>
    <row r="33" spans="1:4">
      <c r="A33" t="s">
        <v>590</v>
      </c>
      <c r="B33" t="s">
        <v>591</v>
      </c>
      <c r="C33" t="s">
        <v>592</v>
      </c>
      <c r="D33" t="s">
        <v>587</v>
      </c>
    </row>
    <row r="34" spans="1:4">
      <c r="A34" t="s">
        <v>593</v>
      </c>
      <c r="B34" t="s">
        <v>594</v>
      </c>
      <c r="C34" t="s">
        <v>595</v>
      </c>
      <c r="D34" t="s">
        <v>589</v>
      </c>
    </row>
    <row r="35" spans="1:4">
      <c r="A35" t="s">
        <v>596</v>
      </c>
      <c r="B35" t="s">
        <v>587</v>
      </c>
      <c r="C35" t="s">
        <v>592</v>
      </c>
      <c r="D35" t="s">
        <v>597</v>
      </c>
    </row>
    <row r="36" spans="1:4">
      <c r="A36" t="s">
        <v>423</v>
      </c>
      <c r="B36" t="s">
        <v>587</v>
      </c>
      <c r="C36" t="s">
        <v>588</v>
      </c>
      <c r="D36" t="s">
        <v>597</v>
      </c>
    </row>
    <row r="37" spans="1:4">
      <c r="A37" t="s">
        <v>598</v>
      </c>
      <c r="B37" t="s">
        <v>589</v>
      </c>
      <c r="C37" t="s">
        <v>595</v>
      </c>
      <c r="D37" t="s">
        <v>594</v>
      </c>
    </row>
    <row r="38" spans="1:4">
      <c r="A38" t="s">
        <v>599</v>
      </c>
      <c r="B38" t="s">
        <v>587</v>
      </c>
      <c r="C38" t="s">
        <v>595</v>
      </c>
      <c r="D38" t="s">
        <v>587</v>
      </c>
    </row>
    <row r="39" spans="1:4">
      <c r="A39" t="s">
        <v>600</v>
      </c>
      <c r="B39" t="s">
        <v>589</v>
      </c>
      <c r="C39" t="s">
        <v>588</v>
      </c>
      <c r="D39" t="s">
        <v>587</v>
      </c>
    </row>
    <row r="40" spans="1:4">
      <c r="A40" t="s">
        <v>601</v>
      </c>
      <c r="B40" t="s">
        <v>589</v>
      </c>
      <c r="C40" t="s">
        <v>588</v>
      </c>
      <c r="D40" t="s">
        <v>594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8"/>
  <sheetViews>
    <sheetView topLeftCell="A13" workbookViewId="0">
      <selection activeCell="F21" sqref="F21"/>
    </sheetView>
  </sheetViews>
  <sheetFormatPr baseColWidth="10" defaultColWidth="8" defaultRowHeight="14.4"/>
  <cols>
    <col min="1" max="1" width="15.109375" customWidth="1"/>
    <col min="2" max="2" width="12.33203125" customWidth="1"/>
    <col min="3" max="5" width="8" customWidth="1"/>
    <col min="6" max="6" width="12.33203125" customWidth="1"/>
    <col min="7" max="7" width="9" customWidth="1"/>
    <col min="9" max="9" width="9.33203125" bestFit="1" customWidth="1"/>
    <col min="257" max="257" width="8" customWidth="1"/>
    <col min="258" max="258" width="12.33203125" customWidth="1"/>
    <col min="259" max="261" width="8" customWidth="1"/>
    <col min="262" max="262" width="12.33203125" customWidth="1"/>
    <col min="263" max="263" width="9" customWidth="1"/>
    <col min="513" max="513" width="8" customWidth="1"/>
    <col min="514" max="514" width="12.33203125" customWidth="1"/>
    <col min="515" max="517" width="8" customWidth="1"/>
    <col min="518" max="518" width="12.33203125" customWidth="1"/>
    <col min="519" max="519" width="9" customWidth="1"/>
    <col min="769" max="769" width="8" customWidth="1"/>
    <col min="770" max="770" width="12.33203125" customWidth="1"/>
    <col min="771" max="773" width="8" customWidth="1"/>
    <col min="774" max="774" width="12.33203125" customWidth="1"/>
    <col min="775" max="775" width="9" customWidth="1"/>
    <col min="1025" max="1025" width="8" customWidth="1"/>
    <col min="1026" max="1026" width="12.33203125" customWidth="1"/>
    <col min="1027" max="1029" width="8" customWidth="1"/>
    <col min="1030" max="1030" width="12.33203125" customWidth="1"/>
    <col min="1031" max="1031" width="9" customWidth="1"/>
    <col min="1281" max="1281" width="8" customWidth="1"/>
    <col min="1282" max="1282" width="12.33203125" customWidth="1"/>
    <col min="1283" max="1285" width="8" customWidth="1"/>
    <col min="1286" max="1286" width="12.33203125" customWidth="1"/>
    <col min="1287" max="1287" width="9" customWidth="1"/>
    <col min="1537" max="1537" width="8" customWidth="1"/>
    <col min="1538" max="1538" width="12.33203125" customWidth="1"/>
    <col min="1539" max="1541" width="8" customWidth="1"/>
    <col min="1542" max="1542" width="12.33203125" customWidth="1"/>
    <col min="1543" max="1543" width="9" customWidth="1"/>
    <col min="1793" max="1793" width="8" customWidth="1"/>
    <col min="1794" max="1794" width="12.33203125" customWidth="1"/>
    <col min="1795" max="1797" width="8" customWidth="1"/>
    <col min="1798" max="1798" width="12.33203125" customWidth="1"/>
    <col min="1799" max="1799" width="9" customWidth="1"/>
    <col min="2049" max="2049" width="8" customWidth="1"/>
    <col min="2050" max="2050" width="12.33203125" customWidth="1"/>
    <col min="2051" max="2053" width="8" customWidth="1"/>
    <col min="2054" max="2054" width="12.33203125" customWidth="1"/>
    <col min="2055" max="2055" width="9" customWidth="1"/>
    <col min="2305" max="2305" width="8" customWidth="1"/>
    <col min="2306" max="2306" width="12.33203125" customWidth="1"/>
    <col min="2307" max="2309" width="8" customWidth="1"/>
    <col min="2310" max="2310" width="12.33203125" customWidth="1"/>
    <col min="2311" max="2311" width="9" customWidth="1"/>
    <col min="2561" max="2561" width="8" customWidth="1"/>
    <col min="2562" max="2562" width="12.33203125" customWidth="1"/>
    <col min="2563" max="2565" width="8" customWidth="1"/>
    <col min="2566" max="2566" width="12.33203125" customWidth="1"/>
    <col min="2567" max="2567" width="9" customWidth="1"/>
    <col min="2817" max="2817" width="8" customWidth="1"/>
    <col min="2818" max="2818" width="12.33203125" customWidth="1"/>
    <col min="2819" max="2821" width="8" customWidth="1"/>
    <col min="2822" max="2822" width="12.33203125" customWidth="1"/>
    <col min="2823" max="2823" width="9" customWidth="1"/>
    <col min="3073" max="3073" width="8" customWidth="1"/>
    <col min="3074" max="3074" width="12.33203125" customWidth="1"/>
    <col min="3075" max="3077" width="8" customWidth="1"/>
    <col min="3078" max="3078" width="12.33203125" customWidth="1"/>
    <col min="3079" max="3079" width="9" customWidth="1"/>
    <col min="3329" max="3329" width="8" customWidth="1"/>
    <col min="3330" max="3330" width="12.33203125" customWidth="1"/>
    <col min="3331" max="3333" width="8" customWidth="1"/>
    <col min="3334" max="3334" width="12.33203125" customWidth="1"/>
    <col min="3335" max="3335" width="9" customWidth="1"/>
    <col min="3585" max="3585" width="8" customWidth="1"/>
    <col min="3586" max="3586" width="12.33203125" customWidth="1"/>
    <col min="3587" max="3589" width="8" customWidth="1"/>
    <col min="3590" max="3590" width="12.33203125" customWidth="1"/>
    <col min="3591" max="3591" width="9" customWidth="1"/>
    <col min="3841" max="3841" width="8" customWidth="1"/>
    <col min="3842" max="3842" width="12.33203125" customWidth="1"/>
    <col min="3843" max="3845" width="8" customWidth="1"/>
    <col min="3846" max="3846" width="12.33203125" customWidth="1"/>
    <col min="3847" max="3847" width="9" customWidth="1"/>
    <col min="4097" max="4097" width="8" customWidth="1"/>
    <col min="4098" max="4098" width="12.33203125" customWidth="1"/>
    <col min="4099" max="4101" width="8" customWidth="1"/>
    <col min="4102" max="4102" width="12.33203125" customWidth="1"/>
    <col min="4103" max="4103" width="9" customWidth="1"/>
    <col min="4353" max="4353" width="8" customWidth="1"/>
    <col min="4354" max="4354" width="12.33203125" customWidth="1"/>
    <col min="4355" max="4357" width="8" customWidth="1"/>
    <col min="4358" max="4358" width="12.33203125" customWidth="1"/>
    <col min="4359" max="4359" width="9" customWidth="1"/>
    <col min="4609" max="4609" width="8" customWidth="1"/>
    <col min="4610" max="4610" width="12.33203125" customWidth="1"/>
    <col min="4611" max="4613" width="8" customWidth="1"/>
    <col min="4614" max="4614" width="12.33203125" customWidth="1"/>
    <col min="4615" max="4615" width="9" customWidth="1"/>
    <col min="4865" max="4865" width="8" customWidth="1"/>
    <col min="4866" max="4866" width="12.33203125" customWidth="1"/>
    <col min="4867" max="4869" width="8" customWidth="1"/>
    <col min="4870" max="4870" width="12.33203125" customWidth="1"/>
    <col min="4871" max="4871" width="9" customWidth="1"/>
    <col min="5121" max="5121" width="8" customWidth="1"/>
    <col min="5122" max="5122" width="12.33203125" customWidth="1"/>
    <col min="5123" max="5125" width="8" customWidth="1"/>
    <col min="5126" max="5126" width="12.33203125" customWidth="1"/>
    <col min="5127" max="5127" width="9" customWidth="1"/>
    <col min="5377" max="5377" width="8" customWidth="1"/>
    <col min="5378" max="5378" width="12.33203125" customWidth="1"/>
    <col min="5379" max="5381" width="8" customWidth="1"/>
    <col min="5382" max="5382" width="12.33203125" customWidth="1"/>
    <col min="5383" max="5383" width="9" customWidth="1"/>
    <col min="5633" max="5633" width="8" customWidth="1"/>
    <col min="5634" max="5634" width="12.33203125" customWidth="1"/>
    <col min="5635" max="5637" width="8" customWidth="1"/>
    <col min="5638" max="5638" width="12.33203125" customWidth="1"/>
    <col min="5639" max="5639" width="9" customWidth="1"/>
    <col min="5889" max="5889" width="8" customWidth="1"/>
    <col min="5890" max="5890" width="12.33203125" customWidth="1"/>
    <col min="5891" max="5893" width="8" customWidth="1"/>
    <col min="5894" max="5894" width="12.33203125" customWidth="1"/>
    <col min="5895" max="5895" width="9" customWidth="1"/>
    <col min="6145" max="6145" width="8" customWidth="1"/>
    <col min="6146" max="6146" width="12.33203125" customWidth="1"/>
    <col min="6147" max="6149" width="8" customWidth="1"/>
    <col min="6150" max="6150" width="12.33203125" customWidth="1"/>
    <col min="6151" max="6151" width="9" customWidth="1"/>
    <col min="6401" max="6401" width="8" customWidth="1"/>
    <col min="6402" max="6402" width="12.33203125" customWidth="1"/>
    <col min="6403" max="6405" width="8" customWidth="1"/>
    <col min="6406" max="6406" width="12.33203125" customWidth="1"/>
    <col min="6407" max="6407" width="9" customWidth="1"/>
    <col min="6657" max="6657" width="8" customWidth="1"/>
    <col min="6658" max="6658" width="12.33203125" customWidth="1"/>
    <col min="6659" max="6661" width="8" customWidth="1"/>
    <col min="6662" max="6662" width="12.33203125" customWidth="1"/>
    <col min="6663" max="6663" width="9" customWidth="1"/>
    <col min="6913" max="6913" width="8" customWidth="1"/>
    <col min="6914" max="6914" width="12.33203125" customWidth="1"/>
    <col min="6915" max="6917" width="8" customWidth="1"/>
    <col min="6918" max="6918" width="12.33203125" customWidth="1"/>
    <col min="6919" max="6919" width="9" customWidth="1"/>
    <col min="7169" max="7169" width="8" customWidth="1"/>
    <col min="7170" max="7170" width="12.33203125" customWidth="1"/>
    <col min="7171" max="7173" width="8" customWidth="1"/>
    <col min="7174" max="7174" width="12.33203125" customWidth="1"/>
    <col min="7175" max="7175" width="9" customWidth="1"/>
    <col min="7425" max="7425" width="8" customWidth="1"/>
    <col min="7426" max="7426" width="12.33203125" customWidth="1"/>
    <col min="7427" max="7429" width="8" customWidth="1"/>
    <col min="7430" max="7430" width="12.33203125" customWidth="1"/>
    <col min="7431" max="7431" width="9" customWidth="1"/>
    <col min="7681" max="7681" width="8" customWidth="1"/>
    <col min="7682" max="7682" width="12.33203125" customWidth="1"/>
    <col min="7683" max="7685" width="8" customWidth="1"/>
    <col min="7686" max="7686" width="12.33203125" customWidth="1"/>
    <col min="7687" max="7687" width="9" customWidth="1"/>
    <col min="7937" max="7937" width="8" customWidth="1"/>
    <col min="7938" max="7938" width="12.33203125" customWidth="1"/>
    <col min="7939" max="7941" width="8" customWidth="1"/>
    <col min="7942" max="7942" width="12.33203125" customWidth="1"/>
    <col min="7943" max="7943" width="9" customWidth="1"/>
    <col min="8193" max="8193" width="8" customWidth="1"/>
    <col min="8194" max="8194" width="12.33203125" customWidth="1"/>
    <col min="8195" max="8197" width="8" customWidth="1"/>
    <col min="8198" max="8198" width="12.33203125" customWidth="1"/>
    <col min="8199" max="8199" width="9" customWidth="1"/>
    <col min="8449" max="8449" width="8" customWidth="1"/>
    <col min="8450" max="8450" width="12.33203125" customWidth="1"/>
    <col min="8451" max="8453" width="8" customWidth="1"/>
    <col min="8454" max="8454" width="12.33203125" customWidth="1"/>
    <col min="8455" max="8455" width="9" customWidth="1"/>
    <col min="8705" max="8705" width="8" customWidth="1"/>
    <col min="8706" max="8706" width="12.33203125" customWidth="1"/>
    <col min="8707" max="8709" width="8" customWidth="1"/>
    <col min="8710" max="8710" width="12.33203125" customWidth="1"/>
    <col min="8711" max="8711" width="9" customWidth="1"/>
    <col min="8961" max="8961" width="8" customWidth="1"/>
    <col min="8962" max="8962" width="12.33203125" customWidth="1"/>
    <col min="8963" max="8965" width="8" customWidth="1"/>
    <col min="8966" max="8966" width="12.33203125" customWidth="1"/>
    <col min="8967" max="8967" width="9" customWidth="1"/>
    <col min="9217" max="9217" width="8" customWidth="1"/>
    <col min="9218" max="9218" width="12.33203125" customWidth="1"/>
    <col min="9219" max="9221" width="8" customWidth="1"/>
    <col min="9222" max="9222" width="12.33203125" customWidth="1"/>
    <col min="9223" max="9223" width="9" customWidth="1"/>
    <col min="9473" max="9473" width="8" customWidth="1"/>
    <col min="9474" max="9474" width="12.33203125" customWidth="1"/>
    <col min="9475" max="9477" width="8" customWidth="1"/>
    <col min="9478" max="9478" width="12.33203125" customWidth="1"/>
    <col min="9479" max="9479" width="9" customWidth="1"/>
    <col min="9729" max="9729" width="8" customWidth="1"/>
    <col min="9730" max="9730" width="12.33203125" customWidth="1"/>
    <col min="9731" max="9733" width="8" customWidth="1"/>
    <col min="9734" max="9734" width="12.33203125" customWidth="1"/>
    <col min="9735" max="9735" width="9" customWidth="1"/>
    <col min="9985" max="9985" width="8" customWidth="1"/>
    <col min="9986" max="9986" width="12.33203125" customWidth="1"/>
    <col min="9987" max="9989" width="8" customWidth="1"/>
    <col min="9990" max="9990" width="12.33203125" customWidth="1"/>
    <col min="9991" max="9991" width="9" customWidth="1"/>
    <col min="10241" max="10241" width="8" customWidth="1"/>
    <col min="10242" max="10242" width="12.33203125" customWidth="1"/>
    <col min="10243" max="10245" width="8" customWidth="1"/>
    <col min="10246" max="10246" width="12.33203125" customWidth="1"/>
    <col min="10247" max="10247" width="9" customWidth="1"/>
    <col min="10497" max="10497" width="8" customWidth="1"/>
    <col min="10498" max="10498" width="12.33203125" customWidth="1"/>
    <col min="10499" max="10501" width="8" customWidth="1"/>
    <col min="10502" max="10502" width="12.33203125" customWidth="1"/>
    <col min="10503" max="10503" width="9" customWidth="1"/>
    <col min="10753" max="10753" width="8" customWidth="1"/>
    <col min="10754" max="10754" width="12.33203125" customWidth="1"/>
    <col min="10755" max="10757" width="8" customWidth="1"/>
    <col min="10758" max="10758" width="12.33203125" customWidth="1"/>
    <col min="10759" max="10759" width="9" customWidth="1"/>
    <col min="11009" max="11009" width="8" customWidth="1"/>
    <col min="11010" max="11010" width="12.33203125" customWidth="1"/>
    <col min="11011" max="11013" width="8" customWidth="1"/>
    <col min="11014" max="11014" width="12.33203125" customWidth="1"/>
    <col min="11015" max="11015" width="9" customWidth="1"/>
    <col min="11265" max="11265" width="8" customWidth="1"/>
    <col min="11266" max="11266" width="12.33203125" customWidth="1"/>
    <col min="11267" max="11269" width="8" customWidth="1"/>
    <col min="11270" max="11270" width="12.33203125" customWidth="1"/>
    <col min="11271" max="11271" width="9" customWidth="1"/>
    <col min="11521" max="11521" width="8" customWidth="1"/>
    <col min="11522" max="11522" width="12.33203125" customWidth="1"/>
    <col min="11523" max="11525" width="8" customWidth="1"/>
    <col min="11526" max="11526" width="12.33203125" customWidth="1"/>
    <col min="11527" max="11527" width="9" customWidth="1"/>
    <col min="11777" max="11777" width="8" customWidth="1"/>
    <col min="11778" max="11778" width="12.33203125" customWidth="1"/>
    <col min="11779" max="11781" width="8" customWidth="1"/>
    <col min="11782" max="11782" width="12.33203125" customWidth="1"/>
    <col min="11783" max="11783" width="9" customWidth="1"/>
    <col min="12033" max="12033" width="8" customWidth="1"/>
    <col min="12034" max="12034" width="12.33203125" customWidth="1"/>
    <col min="12035" max="12037" width="8" customWidth="1"/>
    <col min="12038" max="12038" width="12.33203125" customWidth="1"/>
    <col min="12039" max="12039" width="9" customWidth="1"/>
    <col min="12289" max="12289" width="8" customWidth="1"/>
    <col min="12290" max="12290" width="12.33203125" customWidth="1"/>
    <col min="12291" max="12293" width="8" customWidth="1"/>
    <col min="12294" max="12294" width="12.33203125" customWidth="1"/>
    <col min="12295" max="12295" width="9" customWidth="1"/>
    <col min="12545" max="12545" width="8" customWidth="1"/>
    <col min="12546" max="12546" width="12.33203125" customWidth="1"/>
    <col min="12547" max="12549" width="8" customWidth="1"/>
    <col min="12550" max="12550" width="12.33203125" customWidth="1"/>
    <col min="12551" max="12551" width="9" customWidth="1"/>
    <col min="12801" max="12801" width="8" customWidth="1"/>
    <col min="12802" max="12802" width="12.33203125" customWidth="1"/>
    <col min="12803" max="12805" width="8" customWidth="1"/>
    <col min="12806" max="12806" width="12.33203125" customWidth="1"/>
    <col min="12807" max="12807" width="9" customWidth="1"/>
    <col min="13057" max="13057" width="8" customWidth="1"/>
    <col min="13058" max="13058" width="12.33203125" customWidth="1"/>
    <col min="13059" max="13061" width="8" customWidth="1"/>
    <col min="13062" max="13062" width="12.33203125" customWidth="1"/>
    <col min="13063" max="13063" width="9" customWidth="1"/>
    <col min="13313" max="13313" width="8" customWidth="1"/>
    <col min="13314" max="13314" width="12.33203125" customWidth="1"/>
    <col min="13315" max="13317" width="8" customWidth="1"/>
    <col min="13318" max="13318" width="12.33203125" customWidth="1"/>
    <col min="13319" max="13319" width="9" customWidth="1"/>
    <col min="13569" max="13569" width="8" customWidth="1"/>
    <col min="13570" max="13570" width="12.33203125" customWidth="1"/>
    <col min="13571" max="13573" width="8" customWidth="1"/>
    <col min="13574" max="13574" width="12.33203125" customWidth="1"/>
    <col min="13575" max="13575" width="9" customWidth="1"/>
    <col min="13825" max="13825" width="8" customWidth="1"/>
    <col min="13826" max="13826" width="12.33203125" customWidth="1"/>
    <col min="13827" max="13829" width="8" customWidth="1"/>
    <col min="13830" max="13830" width="12.33203125" customWidth="1"/>
    <col min="13831" max="13831" width="9" customWidth="1"/>
    <col min="14081" max="14081" width="8" customWidth="1"/>
    <col min="14082" max="14082" width="12.33203125" customWidth="1"/>
    <col min="14083" max="14085" width="8" customWidth="1"/>
    <col min="14086" max="14086" width="12.33203125" customWidth="1"/>
    <col min="14087" max="14087" width="9" customWidth="1"/>
    <col min="14337" max="14337" width="8" customWidth="1"/>
    <col min="14338" max="14338" width="12.33203125" customWidth="1"/>
    <col min="14339" max="14341" width="8" customWidth="1"/>
    <col min="14342" max="14342" width="12.33203125" customWidth="1"/>
    <col min="14343" max="14343" width="9" customWidth="1"/>
    <col min="14593" max="14593" width="8" customWidth="1"/>
    <col min="14594" max="14594" width="12.33203125" customWidth="1"/>
    <col min="14595" max="14597" width="8" customWidth="1"/>
    <col min="14598" max="14598" width="12.33203125" customWidth="1"/>
    <col min="14599" max="14599" width="9" customWidth="1"/>
    <col min="14849" max="14849" width="8" customWidth="1"/>
    <col min="14850" max="14850" width="12.33203125" customWidth="1"/>
    <col min="14851" max="14853" width="8" customWidth="1"/>
    <col min="14854" max="14854" width="12.33203125" customWidth="1"/>
    <col min="14855" max="14855" width="9" customWidth="1"/>
    <col min="15105" max="15105" width="8" customWidth="1"/>
    <col min="15106" max="15106" width="12.33203125" customWidth="1"/>
    <col min="15107" max="15109" width="8" customWidth="1"/>
    <col min="15110" max="15110" width="12.33203125" customWidth="1"/>
    <col min="15111" max="15111" width="9" customWidth="1"/>
    <col min="15361" max="15361" width="8" customWidth="1"/>
    <col min="15362" max="15362" width="12.33203125" customWidth="1"/>
    <col min="15363" max="15365" width="8" customWidth="1"/>
    <col min="15366" max="15366" width="12.33203125" customWidth="1"/>
    <col min="15367" max="15367" width="9" customWidth="1"/>
    <col min="15617" max="15617" width="8" customWidth="1"/>
    <col min="15618" max="15618" width="12.33203125" customWidth="1"/>
    <col min="15619" max="15621" width="8" customWidth="1"/>
    <col min="15622" max="15622" width="12.33203125" customWidth="1"/>
    <col min="15623" max="15623" width="9" customWidth="1"/>
    <col min="15873" max="15873" width="8" customWidth="1"/>
    <col min="15874" max="15874" width="12.33203125" customWidth="1"/>
    <col min="15875" max="15877" width="8" customWidth="1"/>
    <col min="15878" max="15878" width="12.33203125" customWidth="1"/>
    <col min="15879" max="15879" width="9" customWidth="1"/>
    <col min="16129" max="16129" width="8" customWidth="1"/>
    <col min="16130" max="16130" width="12.33203125" customWidth="1"/>
    <col min="16131" max="16133" width="8" customWidth="1"/>
    <col min="16134" max="16134" width="12.332031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336</v>
      </c>
      <c r="I7" t="s">
        <v>337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353</v>
      </c>
      <c r="I10" t="s">
        <v>354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86.4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203</v>
      </c>
      <c r="B52" t="s">
        <v>202</v>
      </c>
    </row>
    <row r="53" spans="1:2">
      <c r="A53" t="s">
        <v>206</v>
      </c>
      <c r="B53" t="s">
        <v>207</v>
      </c>
    </row>
    <row r="54" spans="1:2">
      <c r="A54" t="s">
        <v>35</v>
      </c>
      <c r="B54" t="s">
        <v>169</v>
      </c>
    </row>
    <row r="55" spans="1:2">
      <c r="A55" t="s">
        <v>817</v>
      </c>
      <c r="B55" t="s">
        <v>818</v>
      </c>
    </row>
    <row r="58" spans="1:2">
      <c r="A58" t="s">
        <v>900</v>
      </c>
      <c r="B58" t="s">
        <v>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22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5546875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218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8" t="s">
        <v>9</v>
      </c>
      <c r="E4" s="408"/>
      <c r="F4" s="408"/>
      <c r="G4" s="401"/>
      <c r="H4" s="222">
        <v>2018</v>
      </c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30">
        <v>2901.68</v>
      </c>
      <c r="L5" s="431"/>
      <c r="M5" s="1"/>
      <c r="N5" s="1"/>
      <c r="R5" s="3"/>
    </row>
    <row r="6" spans="1:22" ht="15.6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14">
        <v>620.05999999999995</v>
      </c>
      <c r="L6" s="415"/>
      <c r="M6" s="1" t="s">
        <v>165</v>
      </c>
      <c r="N6" s="1"/>
      <c r="R6" s="3"/>
    </row>
    <row r="7" spans="1:22" ht="15.6">
      <c r="A7" s="112">
        <f t="shared" ref="A7:A13" si="0">H7+(B7-SUM(D7:F7))</f>
        <v>509.45999999999992</v>
      </c>
      <c r="B7" s="134">
        <v>70.180000000000007</v>
      </c>
      <c r="C7" s="16" t="s">
        <v>199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14">
        <v>8035.29</v>
      </c>
      <c r="L7" s="415"/>
      <c r="M7" s="1"/>
      <c r="N7" s="1"/>
      <c r="R7" s="3"/>
    </row>
    <row r="8" spans="1:22" ht="15.6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14">
        <v>7000</v>
      </c>
      <c r="L8" s="415"/>
      <c r="M8" s="1"/>
      <c r="N8" s="1"/>
      <c r="R8" s="3"/>
    </row>
    <row r="9" spans="1:22" ht="15.6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14">
        <v>659.39</v>
      </c>
      <c r="L9" s="415"/>
      <c r="M9" s="1"/>
      <c r="N9" s="1"/>
      <c r="R9" s="3"/>
    </row>
    <row r="10" spans="1:22" ht="15.6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14">
        <v>1800.04</v>
      </c>
      <c r="L10" s="415"/>
      <c r="M10" s="1" t="s">
        <v>156</v>
      </c>
      <c r="N10" s="1"/>
      <c r="R10" s="3"/>
    </row>
    <row r="11" spans="1:22" ht="15.6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14">
        <f>240+35</f>
        <v>275</v>
      </c>
      <c r="L11" s="415"/>
      <c r="M11" s="1"/>
      <c r="N11" s="1"/>
      <c r="R11" s="3"/>
    </row>
    <row r="12" spans="1:22" ht="15.6">
      <c r="A12" s="112">
        <f t="shared" si="0"/>
        <v>63.04000000000002</v>
      </c>
      <c r="B12" s="134">
        <v>25</v>
      </c>
      <c r="C12" s="16" t="s">
        <v>205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6">
      <c r="A13" s="112">
        <f t="shared" si="0"/>
        <v>70</v>
      </c>
      <c r="B13" s="134">
        <v>7</v>
      </c>
      <c r="C13" s="16" t="s">
        <v>200</v>
      </c>
      <c r="D13" s="137"/>
      <c r="E13" s="138"/>
      <c r="F13" s="138"/>
      <c r="G13" s="16"/>
      <c r="H13" s="112">
        <v>63</v>
      </c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16">
        <f>SUM(K5:K18)</f>
        <v>26383.54</v>
      </c>
      <c r="L19" s="417"/>
      <c r="M19" s="1"/>
      <c r="N19" s="1">
        <v>26293.569999999996</v>
      </c>
      <c r="R19" s="3"/>
    </row>
    <row r="20" spans="1:18" ht="16.2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12"/>
      <c r="I22" s="418" t="s">
        <v>6</v>
      </c>
      <c r="J22" s="409"/>
      <c r="K22" s="409"/>
      <c r="L22" s="410"/>
      <c r="M22" s="1"/>
      <c r="N22" s="113">
        <f>K19-N19</f>
        <v>89.970000000004802</v>
      </c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12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8" t="s">
        <v>9</v>
      </c>
      <c r="E24" s="408"/>
      <c r="F24" s="408"/>
      <c r="G24" s="401"/>
      <c r="H24" s="112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6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19" t="str">
        <f>AÑO!A8</f>
        <v>Manolo Salario</v>
      </c>
      <c r="J25" s="422" t="s">
        <v>290</v>
      </c>
      <c r="K25" s="423"/>
      <c r="L25" s="198">
        <v>2593.46</v>
      </c>
      <c r="M25" s="1"/>
      <c r="R25" s="3"/>
    </row>
    <row r="26" spans="1:18" ht="15.6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20"/>
      <c r="J26" s="424"/>
      <c r="K26" s="425"/>
      <c r="L26" s="229"/>
      <c r="M26" s="1"/>
      <c r="R26" s="3"/>
    </row>
    <row r="27" spans="1:18" ht="15.6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20"/>
      <c r="J27" s="424"/>
      <c r="K27" s="425"/>
      <c r="L27" s="229"/>
      <c r="M27" s="1"/>
      <c r="R27" s="3"/>
    </row>
    <row r="28" spans="1:18" ht="15.6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20"/>
      <c r="J28" s="424"/>
      <c r="K28" s="425"/>
      <c r="L28" s="229"/>
      <c r="M28" s="1"/>
      <c r="R28" s="3"/>
    </row>
    <row r="29" spans="1:18" ht="15.6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21"/>
      <c r="J29" s="426"/>
      <c r="K29" s="427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295</v>
      </c>
      <c r="H30" s="112">
        <v>593.55999999999995</v>
      </c>
      <c r="I30" s="419" t="str">
        <f>AÑO!A9</f>
        <v>Rocío Salario</v>
      </c>
      <c r="J30" s="422" t="s">
        <v>237</v>
      </c>
      <c r="K30" s="423"/>
      <c r="L30" s="231">
        <v>350.59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12"/>
      <c r="I31" s="420"/>
      <c r="J31" s="424" t="s">
        <v>255</v>
      </c>
      <c r="K31" s="425"/>
      <c r="L31" s="229">
        <v>190.62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12"/>
      <c r="I32" s="420"/>
      <c r="J32" s="432" t="s">
        <v>266</v>
      </c>
      <c r="K32" s="425"/>
      <c r="L32" s="229">
        <v>114.38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12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12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12"/>
      <c r="I35" s="419" t="s">
        <v>217</v>
      </c>
      <c r="J35" s="422" t="s">
        <v>305</v>
      </c>
      <c r="K35" s="423"/>
      <c r="L35" s="231">
        <v>120.85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12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12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12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12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19" t="str">
        <f>AÑO!A11</f>
        <v>Finanazas</v>
      </c>
      <c r="J40" s="422" t="s">
        <v>238</v>
      </c>
      <c r="K40" s="423"/>
      <c r="L40" s="231">
        <v>1.98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12"/>
      <c r="I41" s="420"/>
      <c r="J41" s="424" t="s">
        <v>239</v>
      </c>
      <c r="K41" s="425"/>
      <c r="L41" s="229">
        <v>1.87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12"/>
      <c r="I42" s="420"/>
      <c r="J42" s="424" t="s">
        <v>268</v>
      </c>
      <c r="K42" s="425"/>
      <c r="L42" s="229">
        <v>0.02</v>
      </c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12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8" t="s">
        <v>9</v>
      </c>
      <c r="E44" s="408"/>
      <c r="F44" s="408"/>
      <c r="G44" s="401"/>
      <c r="H44" s="112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19" t="str">
        <f>AÑO!A12</f>
        <v>Regalos</v>
      </c>
      <c r="J45" s="422" t="s">
        <v>298</v>
      </c>
      <c r="K45" s="423"/>
      <c r="L45" s="231">
        <v>137</v>
      </c>
      <c r="M45" s="112">
        <f>600.04-L45</f>
        <v>463.03999999999996</v>
      </c>
      <c r="R45" s="3"/>
    </row>
    <row r="46" spans="1:18" ht="15.6">
      <c r="A46" s="1"/>
      <c r="B46" s="133">
        <v>439.65</v>
      </c>
      <c r="C46" s="19"/>
      <c r="D46" s="137">
        <v>31.03</v>
      </c>
      <c r="E46" s="138"/>
      <c r="F46" s="138"/>
      <c r="G46" s="30" t="s">
        <v>243</v>
      </c>
      <c r="H46" s="112"/>
      <c r="I46" s="420"/>
      <c r="J46" s="424"/>
      <c r="K46" s="425"/>
      <c r="L46" s="229"/>
      <c r="M46" s="1"/>
      <c r="R46" s="3"/>
    </row>
    <row r="47" spans="1:18" ht="15.6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246</v>
      </c>
      <c r="H47" s="112"/>
      <c r="I47" s="420"/>
      <c r="J47" s="424"/>
      <c r="K47" s="425"/>
      <c r="L47" s="229"/>
      <c r="M47" s="1"/>
      <c r="R47" s="3"/>
    </row>
    <row r="48" spans="1:18" ht="15.6">
      <c r="A48" s="1"/>
      <c r="B48" s="134"/>
      <c r="C48" s="16"/>
      <c r="D48" s="137"/>
      <c r="E48" s="138"/>
      <c r="F48" s="138">
        <v>5</v>
      </c>
      <c r="G48" s="16" t="s">
        <v>251</v>
      </c>
      <c r="H48" s="112"/>
      <c r="I48" s="420"/>
      <c r="J48" s="424"/>
      <c r="K48" s="425"/>
      <c r="L48" s="229"/>
      <c r="M48" s="1"/>
      <c r="R48" s="3"/>
    </row>
    <row r="49" spans="1:18" ht="15.6">
      <c r="A49" s="1"/>
      <c r="B49" s="134"/>
      <c r="C49" s="16"/>
      <c r="D49" s="137">
        <v>15.37</v>
      </c>
      <c r="E49" s="138"/>
      <c r="F49" s="138"/>
      <c r="G49" s="16" t="s">
        <v>248</v>
      </c>
      <c r="H49" s="112"/>
      <c r="I49" s="421"/>
      <c r="J49" s="426"/>
      <c r="K49" s="427"/>
      <c r="L49" s="230"/>
      <c r="M49" s="1"/>
      <c r="R49" s="3"/>
    </row>
    <row r="50" spans="1:18" ht="15.6">
      <c r="A50" s="1"/>
      <c r="B50" s="134"/>
      <c r="C50" s="16"/>
      <c r="D50" s="137">
        <v>29.45</v>
      </c>
      <c r="E50" s="138"/>
      <c r="F50" s="138"/>
      <c r="G50" s="16" t="s">
        <v>252</v>
      </c>
      <c r="H50" s="112"/>
      <c r="I50" s="419" t="str">
        <f>AÑO!A13</f>
        <v>Gubernamental</v>
      </c>
      <c r="J50" s="422" t="s">
        <v>258</v>
      </c>
      <c r="K50" s="423"/>
      <c r="L50" s="231">
        <v>95.8</v>
      </c>
      <c r="M50" s="1"/>
      <c r="R50" s="3"/>
    </row>
    <row r="51" spans="1:18" ht="15.6">
      <c r="A51" s="1"/>
      <c r="B51" s="134"/>
      <c r="C51" s="16"/>
      <c r="D51" s="137">
        <v>59.36</v>
      </c>
      <c r="E51" s="138"/>
      <c r="F51" s="138"/>
      <c r="G51" s="16" t="s">
        <v>260</v>
      </c>
      <c r="H51" s="112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>
        <v>121.4</v>
      </c>
      <c r="E52" s="138"/>
      <c r="F52" s="138"/>
      <c r="G52" s="16" t="s">
        <v>261</v>
      </c>
      <c r="H52" s="112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>
        <f>50.42-D367-D227</f>
        <v>39.92</v>
      </c>
      <c r="E53" s="138"/>
      <c r="F53" s="138"/>
      <c r="G53" s="16" t="s">
        <v>264</v>
      </c>
      <c r="H53" s="112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>
        <f>50.95</f>
        <v>50.95</v>
      </c>
      <c r="E54" s="138"/>
      <c r="F54" s="138"/>
      <c r="G54" s="16" t="s">
        <v>273</v>
      </c>
      <c r="H54" s="112"/>
      <c r="I54" s="421"/>
      <c r="J54" s="426"/>
      <c r="K54" s="427"/>
      <c r="L54" s="230"/>
      <c r="M54" s="1"/>
      <c r="R54" s="3"/>
    </row>
    <row r="55" spans="1:18" ht="15.6">
      <c r="A55" s="1"/>
      <c r="B55" s="134"/>
      <c r="C55" s="16"/>
      <c r="D55" s="137">
        <f>16.96</f>
        <v>16.96</v>
      </c>
      <c r="E55" s="138"/>
      <c r="F55" s="138"/>
      <c r="G55" s="16" t="s">
        <v>274</v>
      </c>
      <c r="H55" s="112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6">
      <c r="A56" s="1"/>
      <c r="B56" s="134"/>
      <c r="C56" s="16"/>
      <c r="D56" s="137">
        <f>20.5</f>
        <v>20.5</v>
      </c>
      <c r="E56" s="138"/>
      <c r="F56" s="138"/>
      <c r="G56" s="16" t="s">
        <v>276</v>
      </c>
      <c r="H56" s="112"/>
      <c r="I56" s="420"/>
      <c r="J56" s="424"/>
      <c r="K56" s="425"/>
      <c r="L56" s="229"/>
      <c r="M56" s="1"/>
      <c r="R56" s="3"/>
    </row>
    <row r="57" spans="1:18" ht="15.6">
      <c r="A57" s="1"/>
      <c r="B57" s="134"/>
      <c r="C57" s="16"/>
      <c r="D57" s="137">
        <f>48.43+53.44-D368</f>
        <v>67.87</v>
      </c>
      <c r="E57" s="138"/>
      <c r="F57" s="138"/>
      <c r="G57" s="16" t="s">
        <v>287</v>
      </c>
      <c r="H57" s="112"/>
      <c r="I57" s="420"/>
      <c r="J57" s="424"/>
      <c r="K57" s="425"/>
      <c r="L57" s="229"/>
      <c r="M57" s="1"/>
      <c r="R57" s="3"/>
    </row>
    <row r="58" spans="1:18" ht="15.6">
      <c r="A58" s="1"/>
      <c r="B58" s="134"/>
      <c r="C58" s="16"/>
      <c r="D58" s="137">
        <f>29.54</f>
        <v>29.54</v>
      </c>
      <c r="E58" s="138"/>
      <c r="F58" s="138"/>
      <c r="G58" s="16" t="s">
        <v>278</v>
      </c>
      <c r="H58" s="112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12"/>
      <c r="I59" s="421"/>
      <c r="J59" s="426"/>
      <c r="K59" s="427"/>
      <c r="L59" s="230"/>
      <c r="M59" s="1"/>
      <c r="R59" s="3"/>
    </row>
    <row r="60" spans="1:18" ht="16.2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19" t="str">
        <f>AÑO!A15</f>
        <v>Alquiler Cartama</v>
      </c>
      <c r="J60" s="422"/>
      <c r="K60" s="423"/>
      <c r="L60" s="231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12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12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12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8" t="s">
        <v>9</v>
      </c>
      <c r="E64" s="408"/>
      <c r="F64" s="408"/>
      <c r="G64" s="401"/>
      <c r="H64" s="112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19" t="str">
        <f>AÑO!A16</f>
        <v>Otros</v>
      </c>
      <c r="J65" s="422" t="s">
        <v>295</v>
      </c>
      <c r="K65" s="423"/>
      <c r="L65" s="231">
        <v>85</v>
      </c>
      <c r="M65" s="1"/>
      <c r="R65" s="3"/>
    </row>
    <row r="66" spans="1:18" ht="15.6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244</v>
      </c>
      <c r="H66" s="112">
        <v>42.13</v>
      </c>
      <c r="I66" s="420"/>
      <c r="J66" s="424"/>
      <c r="K66" s="425"/>
      <c r="L66" s="229"/>
      <c r="M66" s="1"/>
      <c r="R66" s="3"/>
    </row>
    <row r="67" spans="1:18" ht="15.6">
      <c r="A67" s="112"/>
      <c r="B67" s="134"/>
      <c r="C67" s="16"/>
      <c r="D67" s="137"/>
      <c r="E67" s="138"/>
      <c r="F67" s="138"/>
      <c r="G67" s="31"/>
      <c r="H67" s="112"/>
      <c r="I67" s="420"/>
      <c r="J67" s="424"/>
      <c r="K67" s="425"/>
      <c r="L67" s="229"/>
      <c r="M67" s="1"/>
      <c r="R67" s="3"/>
    </row>
    <row r="68" spans="1:18" ht="15.6">
      <c r="A68" s="112"/>
      <c r="B68" s="134"/>
      <c r="C68" s="16"/>
      <c r="D68" s="137">
        <v>30</v>
      </c>
      <c r="E68" s="138"/>
      <c r="F68" s="138"/>
      <c r="G68" s="16" t="s">
        <v>263</v>
      </c>
      <c r="H68" s="112"/>
      <c r="I68" s="420"/>
      <c r="J68" s="424"/>
      <c r="K68" s="425"/>
      <c r="L68" s="229"/>
      <c r="M68" s="1"/>
      <c r="R68" s="3"/>
    </row>
    <row r="69" spans="1:18" ht="16.2" thickBot="1">
      <c r="A69" s="112"/>
      <c r="B69" s="134"/>
      <c r="C69" s="16"/>
      <c r="D69" s="137"/>
      <c r="E69" s="138"/>
      <c r="F69" s="138">
        <v>15</v>
      </c>
      <c r="G69" s="16" t="s">
        <v>267</v>
      </c>
      <c r="H69" s="112"/>
      <c r="I69" s="435"/>
      <c r="J69" s="436"/>
      <c r="K69" s="437"/>
      <c r="L69" s="232"/>
      <c r="M69" s="1"/>
      <c r="R69" s="3"/>
    </row>
    <row r="70" spans="1:18" ht="15.6">
      <c r="A70" s="112"/>
      <c r="B70" s="134"/>
      <c r="C70" s="16"/>
      <c r="D70" s="137">
        <v>30.79</v>
      </c>
      <c r="E70" s="138"/>
      <c r="F70" s="138"/>
      <c r="G70" s="16" t="s">
        <v>265</v>
      </c>
      <c r="H70" s="112"/>
      <c r="M70" s="1"/>
      <c r="R70" s="3"/>
    </row>
    <row r="71" spans="1:18" ht="15.6">
      <c r="A71" s="112"/>
      <c r="B71" s="134"/>
      <c r="C71" s="16"/>
      <c r="D71" s="137"/>
      <c r="E71" s="138"/>
      <c r="F71" s="138">
        <v>12.5</v>
      </c>
      <c r="G71" s="16" t="s">
        <v>293</v>
      </c>
      <c r="H71" s="112"/>
      <c r="M71" s="1"/>
      <c r="R71" s="3"/>
    </row>
    <row r="72" spans="1:18" ht="15.6">
      <c r="A72" s="112"/>
      <c r="B72" s="134"/>
      <c r="C72" s="16"/>
      <c r="D72" s="137">
        <v>12.74</v>
      </c>
      <c r="E72" s="138"/>
      <c r="F72" s="138"/>
      <c r="G72" s="16" t="s">
        <v>294</v>
      </c>
      <c r="H72" s="112"/>
      <c r="M72" s="1"/>
      <c r="R72" s="3"/>
    </row>
    <row r="73" spans="1:18" ht="15.6">
      <c r="A73" s="112"/>
      <c r="B73" s="134"/>
      <c r="C73" s="16"/>
      <c r="D73" s="137">
        <v>36.299999999999997</v>
      </c>
      <c r="E73" s="138"/>
      <c r="F73" s="138"/>
      <c r="G73" s="16" t="s">
        <v>301</v>
      </c>
      <c r="H73" s="112"/>
      <c r="I73" s="87"/>
      <c r="M73" s="1"/>
      <c r="R73" s="3"/>
    </row>
    <row r="74" spans="1:18" ht="15.6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6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2" thickBot="1">
      <c r="A79" s="112">
        <f t="shared" ref="A79" si="2">H79+(B79-SUM(D79:F79))</f>
        <v>20</v>
      </c>
      <c r="B79" s="233">
        <v>20</v>
      </c>
      <c r="C79" s="17" t="s">
        <v>236</v>
      </c>
      <c r="D79" s="135"/>
      <c r="E79" s="139"/>
      <c r="F79" s="139"/>
      <c r="G79" s="17"/>
      <c r="H79" s="112"/>
      <c r="M79" s="1"/>
      <c r="R79" s="3"/>
    </row>
    <row r="80" spans="1:18" ht="16.2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12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12"/>
      <c r="M83" s="1"/>
      <c r="R83" s="3"/>
    </row>
    <row r="84" spans="1:18" ht="15.6">
      <c r="A84" s="1"/>
      <c r="B84" s="400" t="s">
        <v>8</v>
      </c>
      <c r="C84" s="401"/>
      <c r="D84" s="408" t="s">
        <v>9</v>
      </c>
      <c r="E84" s="408"/>
      <c r="F84" s="408"/>
      <c r="G84" s="401"/>
      <c r="H84" s="112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6">
      <c r="A86" s="1"/>
      <c r="B86" s="133">
        <v>160</v>
      </c>
      <c r="C86" s="19" t="s">
        <v>201</v>
      </c>
      <c r="D86" s="137"/>
      <c r="E86" s="138">
        <v>2</v>
      </c>
      <c r="F86" s="138"/>
      <c r="G86" s="16" t="s">
        <v>259</v>
      </c>
      <c r="H86" s="112"/>
      <c r="M86" s="1"/>
      <c r="R86" s="3"/>
    </row>
    <row r="87" spans="1:18" ht="15.6">
      <c r="A87" s="1"/>
      <c r="B87" s="134"/>
      <c r="C87" s="16"/>
      <c r="D87" s="137">
        <v>45</v>
      </c>
      <c r="E87" s="138"/>
      <c r="F87" s="138"/>
      <c r="G87" s="16" t="s">
        <v>262</v>
      </c>
      <c r="H87" s="112"/>
      <c r="M87" s="1"/>
      <c r="R87" s="3"/>
    </row>
    <row r="88" spans="1:18" ht="15.6">
      <c r="A88" s="1"/>
      <c r="B88" s="134"/>
      <c r="C88" s="16"/>
      <c r="D88" s="137">
        <v>44.31</v>
      </c>
      <c r="E88" s="138"/>
      <c r="F88" s="138"/>
      <c r="G88" s="16" t="s">
        <v>283</v>
      </c>
      <c r="H88" s="112"/>
      <c r="M88" s="1"/>
      <c r="R88" s="3"/>
    </row>
    <row r="89" spans="1:18" ht="15.6">
      <c r="A89" s="1"/>
      <c r="B89" s="134"/>
      <c r="C89" s="16"/>
      <c r="D89" s="137"/>
      <c r="E89" s="138">
        <v>1.3</v>
      </c>
      <c r="F89" s="138"/>
      <c r="G89" s="16" t="s">
        <v>297</v>
      </c>
      <c r="H89" s="112"/>
      <c r="M89" s="1"/>
      <c r="R89" s="3"/>
    </row>
    <row r="90" spans="1:18" ht="15.6">
      <c r="A90" s="1"/>
      <c r="B90" s="134"/>
      <c r="C90" s="16"/>
      <c r="D90" s="137">
        <v>52.4</v>
      </c>
      <c r="E90" s="138"/>
      <c r="F90" s="138"/>
      <c r="G90" s="16" t="s">
        <v>300</v>
      </c>
      <c r="H90" s="112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12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12"/>
      <c r="M103" s="1"/>
      <c r="R103" s="3"/>
    </row>
    <row r="104" spans="1:18" ht="15.6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12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6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6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6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6">
      <c r="A109" s="112">
        <f t="shared" si="3"/>
        <v>2991.5900000000006</v>
      </c>
      <c r="B109" s="134">
        <v>27.53</v>
      </c>
      <c r="C109" s="18" t="s">
        <v>204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2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12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12"/>
      <c r="M123" s="1"/>
      <c r="R123" s="3"/>
    </row>
    <row r="124" spans="1:18" ht="15.6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12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6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6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877</v>
      </c>
      <c r="I127" s="113">
        <f>D127+D128</f>
        <v>25</v>
      </c>
      <c r="M127" s="1"/>
      <c r="R127" s="3"/>
    </row>
    <row r="128" spans="1:18" ht="15.6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6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12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12"/>
      <c r="M143" s="1"/>
      <c r="R143" s="3"/>
    </row>
    <row r="144" spans="1:18" ht="15.6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12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277</v>
      </c>
      <c r="H146" s="112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241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/>
      <c r="C167" s="16"/>
      <c r="D167" s="137"/>
      <c r="E167" s="138">
        <v>7.2</v>
      </c>
      <c r="F167" s="138"/>
      <c r="G167" s="16" t="s">
        <v>304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275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6">
      <c r="B194" s="134"/>
      <c r="C194" s="16"/>
      <c r="D194" s="137"/>
      <c r="E194" s="138"/>
      <c r="F194" s="138"/>
      <c r="G194" s="16"/>
      <c r="H194" s="112"/>
    </row>
    <row r="195" spans="2:12" ht="15.6">
      <c r="B195" s="134"/>
      <c r="C195" s="16"/>
      <c r="D195" s="137"/>
      <c r="E195" s="138"/>
      <c r="F195" s="138"/>
      <c r="G195" s="16"/>
      <c r="H195" s="112"/>
    </row>
    <row r="196" spans="2:12" ht="15.6">
      <c r="B196" s="134"/>
      <c r="C196" s="16"/>
      <c r="D196" s="137"/>
      <c r="E196" s="138"/>
      <c r="F196" s="138"/>
      <c r="G196" s="16"/>
      <c r="H196" s="112"/>
    </row>
    <row r="197" spans="2:12" ht="15.6">
      <c r="B197" s="134"/>
      <c r="C197" s="16"/>
      <c r="D197" s="137"/>
      <c r="E197" s="138"/>
      <c r="F197" s="138"/>
      <c r="G197" s="16"/>
      <c r="H197" s="112"/>
    </row>
    <row r="198" spans="2:12" ht="15.6">
      <c r="B198" s="134"/>
      <c r="C198" s="16"/>
      <c r="D198" s="137"/>
      <c r="E198" s="138"/>
      <c r="F198" s="138"/>
      <c r="G198" s="16"/>
      <c r="H198" s="112"/>
    </row>
    <row r="199" spans="2:12" ht="16.2" thickBot="1">
      <c r="B199" s="135"/>
      <c r="C199" s="17"/>
      <c r="D199" s="135"/>
      <c r="E199" s="139"/>
      <c r="F199" s="139"/>
      <c r="G199" s="17"/>
      <c r="H199" s="112"/>
    </row>
    <row r="200" spans="2:12" ht="16.2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2" thickBot="1">
      <c r="B201" s="5"/>
      <c r="C201" s="3"/>
      <c r="D201" s="5"/>
      <c r="E201" s="5"/>
      <c r="H201" s="112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  <c r="H202" s="112"/>
    </row>
    <row r="203" spans="2:12" ht="15" customHeight="1" thickBot="1">
      <c r="B203" s="411"/>
      <c r="C203" s="412"/>
      <c r="D203" s="412"/>
      <c r="E203" s="412"/>
      <c r="F203" s="412"/>
      <c r="G203" s="413"/>
      <c r="H203" s="112"/>
    </row>
    <row r="204" spans="2:12" ht="15.6">
      <c r="B204" s="400" t="s">
        <v>8</v>
      </c>
      <c r="C204" s="401"/>
      <c r="D204" s="408" t="s">
        <v>9</v>
      </c>
      <c r="E204" s="408"/>
      <c r="F204" s="408"/>
      <c r="G204" s="401"/>
      <c r="H204" s="112"/>
    </row>
    <row r="205" spans="2:12" ht="15.6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6">
      <c r="B206" s="133">
        <v>35</v>
      </c>
      <c r="C206" s="19"/>
      <c r="D206" s="137">
        <v>42.06</v>
      </c>
      <c r="E206" s="138"/>
      <c r="F206" s="138"/>
      <c r="G206" s="16" t="s">
        <v>285</v>
      </c>
      <c r="H206" s="112"/>
    </row>
    <row r="207" spans="2:12" ht="15.6">
      <c r="B207" s="134"/>
      <c r="C207" s="16"/>
      <c r="D207" s="137"/>
      <c r="E207" s="138"/>
      <c r="F207" s="138"/>
      <c r="G207" s="16"/>
      <c r="H207" s="112"/>
    </row>
    <row r="208" spans="2:12" ht="15.6">
      <c r="B208" s="134"/>
      <c r="C208" s="16"/>
      <c r="D208" s="137"/>
      <c r="E208" s="138"/>
      <c r="F208" s="138"/>
      <c r="G208" s="16"/>
      <c r="H208" s="112"/>
    </row>
    <row r="209" spans="2:8" ht="15.6">
      <c r="B209" s="134"/>
      <c r="C209" s="16"/>
      <c r="D209" s="137"/>
      <c r="E209" s="138"/>
      <c r="F209" s="138"/>
      <c r="G209" s="16"/>
      <c r="H209" s="112"/>
    </row>
    <row r="210" spans="2:8" ht="15.6">
      <c r="B210" s="134"/>
      <c r="C210" s="16"/>
      <c r="D210" s="137"/>
      <c r="E210" s="138"/>
      <c r="F210" s="138"/>
      <c r="G210" s="16"/>
      <c r="H210" s="112"/>
    </row>
    <row r="211" spans="2:8" ht="15.6">
      <c r="B211" s="134"/>
      <c r="C211" s="16"/>
      <c r="D211" s="137"/>
      <c r="E211" s="138"/>
      <c r="F211" s="138"/>
      <c r="G211" s="16"/>
      <c r="H211" s="112"/>
    </row>
    <row r="212" spans="2:8" ht="15.6">
      <c r="B212" s="134"/>
      <c r="C212" s="16"/>
      <c r="D212" s="137"/>
      <c r="E212" s="138"/>
      <c r="F212" s="138"/>
      <c r="G212" s="16"/>
      <c r="H212" s="112"/>
    </row>
    <row r="213" spans="2:8" ht="15.6">
      <c r="B213" s="134"/>
      <c r="C213" s="16"/>
      <c r="D213" s="137"/>
      <c r="E213" s="138"/>
      <c r="F213" s="138"/>
      <c r="G213" s="16"/>
      <c r="H213" s="112"/>
    </row>
    <row r="214" spans="2:8" ht="15.6">
      <c r="B214" s="134"/>
      <c r="C214" s="16"/>
      <c r="D214" s="137"/>
      <c r="E214" s="138"/>
      <c r="F214" s="138"/>
      <c r="G214" s="16"/>
      <c r="H214" s="112"/>
    </row>
    <row r="215" spans="2:8" ht="15.6">
      <c r="B215" s="134"/>
      <c r="C215" s="16"/>
      <c r="D215" s="137"/>
      <c r="E215" s="138"/>
      <c r="F215" s="138"/>
      <c r="G215" s="16"/>
      <c r="H215" s="112"/>
    </row>
    <row r="216" spans="2:8" ht="15.6">
      <c r="B216" s="134"/>
      <c r="C216" s="16"/>
      <c r="D216" s="137"/>
      <c r="E216" s="138"/>
      <c r="F216" s="138"/>
      <c r="G216" s="16"/>
      <c r="H216" s="112"/>
    </row>
    <row r="217" spans="2:8" ht="15.6">
      <c r="B217" s="134"/>
      <c r="C217" s="16"/>
      <c r="D217" s="137"/>
      <c r="E217" s="138"/>
      <c r="F217" s="138"/>
      <c r="G217" s="16"/>
      <c r="H217" s="112"/>
    </row>
    <row r="218" spans="2:8" ht="15.6">
      <c r="B218" s="134"/>
      <c r="C218" s="16"/>
      <c r="D218" s="137"/>
      <c r="E218" s="138"/>
      <c r="F218" s="138"/>
      <c r="G218" s="16"/>
      <c r="H218" s="112"/>
    </row>
    <row r="219" spans="2:8" ht="16.2" thickBot="1">
      <c r="B219" s="135"/>
      <c r="C219" s="17"/>
      <c r="D219" s="135"/>
      <c r="E219" s="139"/>
      <c r="F219" s="139"/>
      <c r="G219" s="17"/>
      <c r="H219" s="112"/>
    </row>
    <row r="220" spans="2:8" ht="16.2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2" thickBot="1">
      <c r="B221" s="5"/>
      <c r="C221" s="3"/>
      <c r="D221" s="5"/>
      <c r="E221" s="5"/>
      <c r="H221" s="112"/>
    </row>
    <row r="222" spans="2:8" ht="14.4" customHeight="1">
      <c r="B222" s="402" t="str">
        <f>AÑO!A31</f>
        <v>Deportes</v>
      </c>
      <c r="C222" s="409"/>
      <c r="D222" s="409"/>
      <c r="E222" s="409"/>
      <c r="F222" s="409"/>
      <c r="G222" s="410"/>
      <c r="H222" s="112"/>
    </row>
    <row r="223" spans="2:8" ht="15" customHeight="1" thickBot="1">
      <c r="B223" s="411"/>
      <c r="C223" s="412"/>
      <c r="D223" s="412"/>
      <c r="E223" s="412"/>
      <c r="F223" s="412"/>
      <c r="G223" s="413"/>
      <c r="H223" s="112"/>
    </row>
    <row r="224" spans="2:8" ht="15.6">
      <c r="B224" s="400" t="s">
        <v>8</v>
      </c>
      <c r="C224" s="401"/>
      <c r="D224" s="408" t="s">
        <v>9</v>
      </c>
      <c r="E224" s="408"/>
      <c r="F224" s="408"/>
      <c r="G224" s="401"/>
      <c r="H224" s="112"/>
    </row>
    <row r="225" spans="2:8" ht="15.6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6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6">
      <c r="B227" s="134"/>
      <c r="C227" s="16" t="s">
        <v>42</v>
      </c>
      <c r="D227" s="137">
        <v>7</v>
      </c>
      <c r="E227" s="138"/>
      <c r="F227" s="138"/>
      <c r="G227" s="16" t="s">
        <v>264</v>
      </c>
      <c r="H227" s="112"/>
    </row>
    <row r="228" spans="2:8" ht="15.6">
      <c r="B228" s="134"/>
      <c r="C228" s="16"/>
      <c r="D228" s="137"/>
      <c r="E228" s="138"/>
      <c r="F228" s="138"/>
      <c r="G228" s="16"/>
      <c r="H228" s="112"/>
    </row>
    <row r="229" spans="2:8" ht="15.6">
      <c r="B229" s="134"/>
      <c r="C229" s="16"/>
      <c r="D229" s="137"/>
      <c r="E229" s="138"/>
      <c r="F229" s="138"/>
      <c r="G229" s="16"/>
      <c r="H229" s="112"/>
    </row>
    <row r="230" spans="2:8" ht="15.6">
      <c r="B230" s="134"/>
      <c r="C230" s="16"/>
      <c r="D230" s="137"/>
      <c r="E230" s="138"/>
      <c r="F230" s="138"/>
      <c r="G230" s="16"/>
      <c r="H230" s="112"/>
    </row>
    <row r="231" spans="2:8" ht="15.6">
      <c r="B231" s="134"/>
      <c r="C231" s="16"/>
      <c r="D231" s="137"/>
      <c r="E231" s="138"/>
      <c r="F231" s="138"/>
      <c r="G231" s="16"/>
      <c r="H231" s="112"/>
    </row>
    <row r="232" spans="2:8" ht="15.6">
      <c r="B232" s="134"/>
      <c r="C232" s="16"/>
      <c r="D232" s="137"/>
      <c r="E232" s="138"/>
      <c r="F232" s="138"/>
      <c r="G232" s="16"/>
      <c r="H232" s="112"/>
    </row>
    <row r="233" spans="2:8" ht="15.6">
      <c r="B233" s="134"/>
      <c r="C233" s="16"/>
      <c r="D233" s="137"/>
      <c r="E233" s="138"/>
      <c r="F233" s="138"/>
      <c r="G233" s="16"/>
      <c r="H233" s="112"/>
    </row>
    <row r="234" spans="2:8" ht="15.6">
      <c r="B234" s="134"/>
      <c r="C234" s="16"/>
      <c r="D234" s="137"/>
      <c r="E234" s="138"/>
      <c r="F234" s="138"/>
      <c r="G234" s="16"/>
      <c r="H234" s="112"/>
    </row>
    <row r="235" spans="2:8" ht="15.6">
      <c r="B235" s="134"/>
      <c r="C235" s="16"/>
      <c r="D235" s="137"/>
      <c r="E235" s="138"/>
      <c r="F235" s="138"/>
      <c r="G235" s="16"/>
      <c r="H235" s="112"/>
    </row>
    <row r="236" spans="2:8" ht="15.6">
      <c r="B236" s="134"/>
      <c r="C236" s="16"/>
      <c r="D236" s="137"/>
      <c r="E236" s="138"/>
      <c r="F236" s="138"/>
      <c r="G236" s="16"/>
      <c r="H236" s="112"/>
    </row>
    <row r="237" spans="2:8" ht="15.6">
      <c r="B237" s="134"/>
      <c r="C237" s="16"/>
      <c r="D237" s="137"/>
      <c r="E237" s="138"/>
      <c r="F237" s="138"/>
      <c r="G237" s="16"/>
      <c r="H237" s="112"/>
    </row>
    <row r="238" spans="2:8" ht="15.6">
      <c r="B238" s="134"/>
      <c r="C238" s="16"/>
      <c r="D238" s="137"/>
      <c r="E238" s="138"/>
      <c r="F238" s="138"/>
      <c r="G238" s="16"/>
      <c r="H238" s="112"/>
    </row>
    <row r="239" spans="2:8" ht="16.2" thickBot="1">
      <c r="B239" s="135"/>
      <c r="C239" s="17"/>
      <c r="D239" s="135"/>
      <c r="E239" s="139"/>
      <c r="F239" s="139"/>
      <c r="G239" s="17"/>
      <c r="H239" s="112"/>
    </row>
    <row r="240" spans="2:8" ht="16.2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2" thickBot="1">
      <c r="B241" s="5"/>
      <c r="C241" s="3"/>
      <c r="D241" s="5"/>
      <c r="E241" s="5"/>
      <c r="H241" s="112"/>
    </row>
    <row r="242" spans="2:8" ht="14.4" customHeight="1">
      <c r="B242" s="402" t="str">
        <f>AÑO!A32</f>
        <v>Hogar</v>
      </c>
      <c r="C242" s="409"/>
      <c r="D242" s="409"/>
      <c r="E242" s="409"/>
      <c r="F242" s="409"/>
      <c r="G242" s="410"/>
      <c r="H242" s="112"/>
    </row>
    <row r="243" spans="2:8" ht="15" customHeight="1" thickBot="1">
      <c r="B243" s="411"/>
      <c r="C243" s="412"/>
      <c r="D243" s="412"/>
      <c r="E243" s="412"/>
      <c r="F243" s="412"/>
      <c r="G243" s="413"/>
      <c r="H243" s="112"/>
    </row>
    <row r="244" spans="2:8" ht="15" customHeight="1">
      <c r="B244" s="400" t="s">
        <v>8</v>
      </c>
      <c r="C244" s="401"/>
      <c r="D244" s="408" t="s">
        <v>9</v>
      </c>
      <c r="E244" s="408"/>
      <c r="F244" s="408"/>
      <c r="G244" s="401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302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6">
      <c r="B248" s="134"/>
      <c r="C248" s="16"/>
      <c r="D248" s="137"/>
      <c r="E248" s="138"/>
      <c r="F248" s="138"/>
      <c r="G248" s="16"/>
      <c r="H248" s="112"/>
    </row>
    <row r="249" spans="2:8" ht="15.6">
      <c r="B249" s="134"/>
      <c r="C249" s="16"/>
      <c r="D249" s="137"/>
      <c r="E249" s="138"/>
      <c r="F249" s="138"/>
      <c r="G249" s="16"/>
      <c r="H249" s="112"/>
    </row>
    <row r="250" spans="2:8" ht="15.6">
      <c r="B250" s="134"/>
      <c r="C250" s="16"/>
      <c r="D250" s="137"/>
      <c r="E250" s="138"/>
      <c r="F250" s="138"/>
      <c r="G250" s="16"/>
      <c r="H250" s="112"/>
    </row>
    <row r="251" spans="2:8" ht="15.6">
      <c r="B251" s="134"/>
      <c r="C251" s="16"/>
      <c r="D251" s="137"/>
      <c r="E251" s="138"/>
      <c r="F251" s="138"/>
      <c r="G251" s="16"/>
      <c r="H251" s="112"/>
    </row>
    <row r="252" spans="2:8" ht="15.6">
      <c r="B252" s="134"/>
      <c r="C252" s="16"/>
      <c r="D252" s="137"/>
      <c r="E252" s="138"/>
      <c r="F252" s="138"/>
      <c r="G252" s="16"/>
      <c r="H252" s="112"/>
    </row>
    <row r="253" spans="2:8" ht="15.6">
      <c r="B253" s="134"/>
      <c r="C253" s="16"/>
      <c r="D253" s="137"/>
      <c r="E253" s="138"/>
      <c r="F253" s="138"/>
      <c r="G253" s="16"/>
      <c r="H253" s="112"/>
    </row>
    <row r="254" spans="2:8" ht="15.6">
      <c r="B254" s="134"/>
      <c r="C254" s="16"/>
      <c r="D254" s="137"/>
      <c r="E254" s="138"/>
      <c r="F254" s="138"/>
      <c r="G254" s="16"/>
      <c r="H254" s="112"/>
    </row>
    <row r="255" spans="2:8" ht="15.6">
      <c r="B255" s="134"/>
      <c r="C255" s="16"/>
      <c r="D255" s="137"/>
      <c r="E255" s="138"/>
      <c r="F255" s="138"/>
      <c r="G255" s="16"/>
      <c r="H255" s="112"/>
    </row>
    <row r="256" spans="2:8" ht="15.6">
      <c r="B256" s="134"/>
      <c r="C256" s="16"/>
      <c r="D256" s="137"/>
      <c r="E256" s="138"/>
      <c r="F256" s="138"/>
      <c r="G256" s="16"/>
      <c r="H256" s="112"/>
    </row>
    <row r="257" spans="2:8" ht="15.6">
      <c r="B257" s="134"/>
      <c r="C257" s="16"/>
      <c r="D257" s="137"/>
      <c r="E257" s="138"/>
      <c r="F257" s="138"/>
      <c r="G257" s="16"/>
      <c r="H257" s="112"/>
    </row>
    <row r="258" spans="2:8" ht="15.6">
      <c r="B258" s="134"/>
      <c r="C258" s="16"/>
      <c r="D258" s="137"/>
      <c r="E258" s="138"/>
      <c r="F258" s="138"/>
      <c r="G258" s="16"/>
      <c r="H258" s="112"/>
    </row>
    <row r="259" spans="2:8" ht="16.2" thickBot="1">
      <c r="B259" s="135"/>
      <c r="C259" s="17"/>
      <c r="D259" s="135"/>
      <c r="E259" s="139"/>
      <c r="F259" s="139"/>
      <c r="G259" s="17"/>
      <c r="H259" s="112"/>
    </row>
    <row r="260" spans="2:8" ht="16.2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2" thickBot="1">
      <c r="B261" s="5"/>
      <c r="C261" s="3"/>
      <c r="D261" s="5"/>
      <c r="E261" s="5"/>
      <c r="H261" s="112"/>
    </row>
    <row r="262" spans="2:8" ht="14.4" customHeight="1">
      <c r="B262" s="402" t="str">
        <f>AÑO!A33</f>
        <v>Formación</v>
      </c>
      <c r="C262" s="409"/>
      <c r="D262" s="409"/>
      <c r="E262" s="409"/>
      <c r="F262" s="409"/>
      <c r="G262" s="410"/>
      <c r="H262" s="112"/>
    </row>
    <row r="263" spans="2:8" ht="15" customHeight="1" thickBot="1">
      <c r="B263" s="411"/>
      <c r="C263" s="412"/>
      <c r="D263" s="412"/>
      <c r="E263" s="412"/>
      <c r="F263" s="412"/>
      <c r="G263" s="413"/>
      <c r="H263" s="112"/>
    </row>
    <row r="264" spans="2:8" ht="15.6">
      <c r="B264" s="400" t="s">
        <v>8</v>
      </c>
      <c r="C264" s="401"/>
      <c r="D264" s="408" t="s">
        <v>9</v>
      </c>
      <c r="E264" s="408"/>
      <c r="F264" s="408"/>
      <c r="G264" s="401"/>
      <c r="H264" s="112"/>
    </row>
    <row r="265" spans="2:8" ht="15.6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6">
      <c r="B266" s="133">
        <v>50</v>
      </c>
      <c r="C266" s="19"/>
      <c r="D266" s="137">
        <v>40</v>
      </c>
      <c r="E266" s="138"/>
      <c r="F266" s="138"/>
      <c r="G266" s="16" t="s">
        <v>292</v>
      </c>
      <c r="H266" s="112"/>
    </row>
    <row r="267" spans="2:8" ht="15.6">
      <c r="B267" s="134"/>
      <c r="C267" s="16"/>
      <c r="D267" s="137">
        <v>600</v>
      </c>
      <c r="E267" s="138"/>
      <c r="F267" s="138"/>
      <c r="G267" s="16" t="s">
        <v>303</v>
      </c>
      <c r="H267" s="112"/>
    </row>
    <row r="268" spans="2:8" ht="15.6">
      <c r="B268" s="134"/>
      <c r="C268" s="16"/>
      <c r="D268" s="137"/>
      <c r="E268" s="138"/>
      <c r="F268" s="138"/>
      <c r="G268" s="16"/>
      <c r="H268" s="112"/>
    </row>
    <row r="269" spans="2:8" ht="15.6">
      <c r="B269" s="134"/>
      <c r="C269" s="16"/>
      <c r="D269" s="137"/>
      <c r="E269" s="138"/>
      <c r="F269" s="138"/>
      <c r="G269" s="16"/>
      <c r="H269" s="112"/>
    </row>
    <row r="270" spans="2:8" ht="15.6">
      <c r="B270" s="134"/>
      <c r="C270" s="16"/>
      <c r="D270" s="137"/>
      <c r="E270" s="138"/>
      <c r="F270" s="138"/>
      <c r="G270" s="16"/>
      <c r="H270" s="112"/>
    </row>
    <row r="271" spans="2:8" ht="15.6">
      <c r="B271" s="134"/>
      <c r="C271" s="16"/>
      <c r="D271" s="137"/>
      <c r="E271" s="138"/>
      <c r="F271" s="138"/>
      <c r="G271" s="16"/>
      <c r="H271" s="112"/>
    </row>
    <row r="272" spans="2:8" ht="15.6">
      <c r="B272" s="134"/>
      <c r="C272" s="16"/>
      <c r="D272" s="137"/>
      <c r="E272" s="138"/>
      <c r="F272" s="138"/>
      <c r="G272" s="16"/>
      <c r="H272" s="112"/>
    </row>
    <row r="273" spans="2:8" ht="15.6">
      <c r="B273" s="134"/>
      <c r="C273" s="16"/>
      <c r="D273" s="137"/>
      <c r="E273" s="138"/>
      <c r="F273" s="138"/>
      <c r="G273" s="16"/>
      <c r="H273" s="112"/>
    </row>
    <row r="274" spans="2:8" ht="15.6">
      <c r="B274" s="134"/>
      <c r="C274" s="16"/>
      <c r="D274" s="137"/>
      <c r="E274" s="138"/>
      <c r="F274" s="138"/>
      <c r="G274" s="16"/>
      <c r="H274" s="112"/>
    </row>
    <row r="275" spans="2:8" ht="15.6">
      <c r="B275" s="134"/>
      <c r="C275" s="16"/>
      <c r="D275" s="137"/>
      <c r="E275" s="138"/>
      <c r="F275" s="138"/>
      <c r="G275" s="16"/>
      <c r="H275" s="112"/>
    </row>
    <row r="276" spans="2:8" ht="15.6">
      <c r="B276" s="134"/>
      <c r="C276" s="16"/>
      <c r="D276" s="137"/>
      <c r="E276" s="138"/>
      <c r="F276" s="138"/>
      <c r="G276" s="16"/>
      <c r="H276" s="112"/>
    </row>
    <row r="277" spans="2:8" ht="15.6">
      <c r="B277" s="134"/>
      <c r="C277" s="16"/>
      <c r="D277" s="137"/>
      <c r="E277" s="138"/>
      <c r="F277" s="138"/>
      <c r="G277" s="16"/>
      <c r="H277" s="112"/>
    </row>
    <row r="278" spans="2:8" ht="15.6">
      <c r="B278" s="134"/>
      <c r="C278" s="16"/>
      <c r="D278" s="137"/>
      <c r="E278" s="138"/>
      <c r="F278" s="138"/>
      <c r="G278" s="16"/>
      <c r="H278" s="112"/>
    </row>
    <row r="279" spans="2:8" ht="16.2" thickBot="1">
      <c r="B279" s="135"/>
      <c r="C279" s="17"/>
      <c r="D279" s="135"/>
      <c r="E279" s="139"/>
      <c r="F279" s="139"/>
      <c r="G279" s="17"/>
      <c r="H279" s="112"/>
    </row>
    <row r="280" spans="2:8" ht="16.2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2" thickBot="1">
      <c r="B281" s="5"/>
      <c r="C281" s="3"/>
      <c r="D281" s="5"/>
      <c r="E281" s="5"/>
      <c r="H281" s="112"/>
    </row>
    <row r="282" spans="2:8" ht="14.4" customHeight="1">
      <c r="B282" s="402" t="str">
        <f>AÑO!A34</f>
        <v>Regalos</v>
      </c>
      <c r="C282" s="409"/>
      <c r="D282" s="409"/>
      <c r="E282" s="409"/>
      <c r="F282" s="409"/>
      <c r="G282" s="410"/>
      <c r="H282" s="112"/>
    </row>
    <row r="283" spans="2:8" ht="15" customHeight="1" thickBot="1">
      <c r="B283" s="411"/>
      <c r="C283" s="412"/>
      <c r="D283" s="412"/>
      <c r="E283" s="412"/>
      <c r="F283" s="412"/>
      <c r="G283" s="413"/>
      <c r="H283" s="112"/>
    </row>
    <row r="284" spans="2:8" ht="15.6">
      <c r="B284" s="400" t="s">
        <v>8</v>
      </c>
      <c r="C284" s="401"/>
      <c r="D284" s="408" t="s">
        <v>9</v>
      </c>
      <c r="E284" s="408"/>
      <c r="F284" s="408"/>
      <c r="G284" s="401"/>
      <c r="H284" s="112"/>
    </row>
    <row r="285" spans="2:8" ht="15.6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6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247</v>
      </c>
      <c r="H286" s="112"/>
    </row>
    <row r="287" spans="2:8" ht="15.6">
      <c r="B287" s="134">
        <v>137</v>
      </c>
      <c r="C287" s="16" t="s">
        <v>299</v>
      </c>
      <c r="D287" s="137">
        <v>11.43</v>
      </c>
      <c r="E287" s="138"/>
      <c r="F287" s="138"/>
      <c r="G287" s="16" t="s">
        <v>249</v>
      </c>
      <c r="H287" s="112"/>
    </row>
    <row r="288" spans="2:8" ht="15.6">
      <c r="B288" s="134"/>
      <c r="C288" s="16"/>
      <c r="D288" s="137">
        <v>47.4</v>
      </c>
      <c r="E288" s="138"/>
      <c r="F288" s="138"/>
      <c r="G288" s="16" t="s">
        <v>250</v>
      </c>
      <c r="H288" s="112"/>
    </row>
    <row r="289" spans="2:8" ht="15.6">
      <c r="B289" s="134"/>
      <c r="C289" s="16"/>
      <c r="D289" s="137">
        <v>50</v>
      </c>
      <c r="E289" s="138"/>
      <c r="F289" s="138"/>
      <c r="G289" s="16" t="s">
        <v>271</v>
      </c>
      <c r="H289" s="112"/>
    </row>
    <row r="290" spans="2:8" ht="15.6">
      <c r="B290" s="134"/>
      <c r="C290" s="16"/>
      <c r="D290" s="137"/>
      <c r="E290" s="138">
        <v>25</v>
      </c>
      <c r="F290" s="138"/>
      <c r="G290" s="16" t="s">
        <v>280</v>
      </c>
      <c r="H290" s="112"/>
    </row>
    <row r="291" spans="2:8" ht="15.6">
      <c r="B291" s="134"/>
      <c r="C291" s="16"/>
      <c r="D291" s="137"/>
      <c r="E291" s="138">
        <v>137</v>
      </c>
      <c r="F291" s="138"/>
      <c r="G291" s="16" t="s">
        <v>281</v>
      </c>
      <c r="H291" s="112" t="s">
        <v>279</v>
      </c>
    </row>
    <row r="292" spans="2:8" ht="15.6">
      <c r="B292" s="134"/>
      <c r="C292" s="16"/>
      <c r="D292" s="137">
        <v>21.99</v>
      </c>
      <c r="E292" s="138"/>
      <c r="F292" s="138">
        <v>2.25</v>
      </c>
      <c r="G292" s="16" t="s">
        <v>282</v>
      </c>
      <c r="H292" s="112"/>
    </row>
    <row r="293" spans="2:8" ht="15.6">
      <c r="B293" s="134"/>
      <c r="C293" s="16"/>
      <c r="D293" s="137"/>
      <c r="E293" s="138"/>
      <c r="F293" s="138"/>
      <c r="G293" s="16"/>
      <c r="H293" s="112"/>
    </row>
    <row r="294" spans="2:8" ht="15.6">
      <c r="B294" s="134"/>
      <c r="C294" s="16"/>
      <c r="D294" s="137"/>
      <c r="E294" s="138"/>
      <c r="F294" s="138"/>
      <c r="G294" s="16"/>
      <c r="H294" s="112"/>
    </row>
    <row r="295" spans="2:8" ht="15.6">
      <c r="B295" s="134"/>
      <c r="C295" s="16"/>
      <c r="D295" s="137"/>
      <c r="E295" s="138"/>
      <c r="F295" s="138"/>
      <c r="G295" s="16"/>
      <c r="H295" s="112"/>
    </row>
    <row r="296" spans="2:8" ht="15.6">
      <c r="B296" s="134"/>
      <c r="C296" s="16"/>
      <c r="D296" s="137"/>
      <c r="E296" s="138"/>
      <c r="F296" s="138"/>
      <c r="G296" s="16"/>
      <c r="H296" s="112"/>
    </row>
    <row r="297" spans="2:8" ht="15.6">
      <c r="B297" s="134"/>
      <c r="C297" s="16"/>
      <c r="D297" s="137"/>
      <c r="E297" s="138"/>
      <c r="F297" s="138"/>
      <c r="G297" s="16"/>
      <c r="H297" s="112"/>
    </row>
    <row r="298" spans="2:8" ht="15.6">
      <c r="B298" s="134"/>
      <c r="C298" s="16"/>
      <c r="D298" s="137"/>
      <c r="E298" s="138"/>
      <c r="F298" s="138"/>
      <c r="G298" s="16"/>
      <c r="H298" s="112"/>
    </row>
    <row r="299" spans="2:8" ht="16.2" thickBot="1">
      <c r="B299" s="135"/>
      <c r="C299" s="17"/>
      <c r="D299" s="135"/>
      <c r="E299" s="139"/>
      <c r="F299" s="139"/>
      <c r="G299" s="17"/>
      <c r="H299" s="112"/>
    </row>
    <row r="300" spans="2:8" ht="16.2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2" thickBot="1">
      <c r="B301" s="5"/>
      <c r="C301" s="3"/>
      <c r="D301" s="5"/>
      <c r="E301" s="5"/>
      <c r="H301" s="112"/>
    </row>
    <row r="302" spans="2:8" ht="14.4" customHeight="1">
      <c r="B302" s="402" t="str">
        <f>AÑO!A35</f>
        <v>Salud</v>
      </c>
      <c r="C302" s="409"/>
      <c r="D302" s="409"/>
      <c r="E302" s="409"/>
      <c r="F302" s="409"/>
      <c r="G302" s="410"/>
      <c r="H302" s="112"/>
    </row>
    <row r="303" spans="2:8" ht="15" customHeight="1" thickBot="1">
      <c r="B303" s="411"/>
      <c r="C303" s="412"/>
      <c r="D303" s="412"/>
      <c r="E303" s="412"/>
      <c r="F303" s="412"/>
      <c r="G303" s="413"/>
      <c r="H303" s="112"/>
    </row>
    <row r="304" spans="2:8" ht="15.6">
      <c r="B304" s="400" t="s">
        <v>8</v>
      </c>
      <c r="C304" s="401"/>
      <c r="D304" s="408" t="s">
        <v>9</v>
      </c>
      <c r="E304" s="408"/>
      <c r="F304" s="408"/>
      <c r="G304" s="401"/>
      <c r="H304" s="112"/>
    </row>
    <row r="305" spans="2:8" ht="15.6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6">
      <c r="B306" s="133">
        <v>115</v>
      </c>
      <c r="C306" s="19" t="s">
        <v>232</v>
      </c>
      <c r="D306" s="137">
        <f>37.5+37.5</f>
        <v>75</v>
      </c>
      <c r="E306" s="138"/>
      <c r="F306" s="138"/>
      <c r="G306" s="16" t="s">
        <v>257</v>
      </c>
      <c r="H306" s="112"/>
    </row>
    <row r="307" spans="2:8" ht="15.6">
      <c r="B307" s="134"/>
      <c r="C307" s="27"/>
      <c r="D307" s="137"/>
      <c r="E307" s="138"/>
      <c r="F307" s="138"/>
      <c r="G307" s="16"/>
      <c r="H307" s="112"/>
    </row>
    <row r="308" spans="2:8" ht="15.6">
      <c r="B308" s="134"/>
      <c r="C308" s="27"/>
      <c r="D308" s="137"/>
      <c r="E308" s="138"/>
      <c r="F308" s="138"/>
      <c r="G308" s="16"/>
      <c r="H308" s="112"/>
    </row>
    <row r="309" spans="2:8" ht="15.6">
      <c r="B309" s="134"/>
      <c r="C309" s="16"/>
      <c r="D309" s="137"/>
      <c r="E309" s="138"/>
      <c r="F309" s="138"/>
      <c r="G309" s="16"/>
      <c r="H309" s="112"/>
    </row>
    <row r="310" spans="2:8" ht="15.6">
      <c r="B310" s="134"/>
      <c r="C310" s="16"/>
      <c r="D310" s="137"/>
      <c r="E310" s="138"/>
      <c r="F310" s="138"/>
      <c r="G310" s="16"/>
      <c r="H310" s="112"/>
    </row>
    <row r="311" spans="2:8" ht="15.6">
      <c r="B311" s="134"/>
      <c r="C311" s="16"/>
      <c r="D311" s="137"/>
      <c r="E311" s="138"/>
      <c r="F311" s="138"/>
      <c r="G311" s="16"/>
      <c r="H311" s="112"/>
    </row>
    <row r="312" spans="2:8" ht="15.6">
      <c r="B312" s="134"/>
      <c r="C312" s="16"/>
      <c r="D312" s="137"/>
      <c r="E312" s="138"/>
      <c r="F312" s="138"/>
      <c r="G312" s="16"/>
      <c r="H312" s="112"/>
    </row>
    <row r="313" spans="2:8" ht="15.6">
      <c r="B313" s="134"/>
      <c r="C313" s="16"/>
      <c r="D313" s="137"/>
      <c r="E313" s="138"/>
      <c r="F313" s="138"/>
      <c r="G313" s="16"/>
      <c r="H313" s="112"/>
    </row>
    <row r="314" spans="2:8" ht="15.6">
      <c r="B314" s="134"/>
      <c r="C314" s="16"/>
      <c r="D314" s="137"/>
      <c r="E314" s="138"/>
      <c r="F314" s="138"/>
      <c r="G314" s="16"/>
      <c r="H314" s="112"/>
    </row>
    <row r="315" spans="2:8" ht="15.6">
      <c r="B315" s="134"/>
      <c r="C315" s="16"/>
      <c r="D315" s="137"/>
      <c r="E315" s="138"/>
      <c r="F315" s="138"/>
      <c r="G315" s="16"/>
      <c r="H315" s="112"/>
    </row>
    <row r="316" spans="2:8" ht="15.6">
      <c r="B316" s="134"/>
      <c r="C316" s="16"/>
      <c r="D316" s="137"/>
      <c r="E316" s="138"/>
      <c r="F316" s="138"/>
      <c r="G316" s="16"/>
      <c r="H316" s="112"/>
    </row>
    <row r="317" spans="2:8" ht="15.6">
      <c r="B317" s="134"/>
      <c r="C317" s="16"/>
      <c r="D317" s="137"/>
      <c r="E317" s="138"/>
      <c r="F317" s="138"/>
      <c r="G317" s="16"/>
      <c r="H317" s="112"/>
    </row>
    <row r="318" spans="2:8" ht="15.6">
      <c r="B318" s="134"/>
      <c r="C318" s="16"/>
      <c r="D318" s="137"/>
      <c r="E318" s="138"/>
      <c r="F318" s="138"/>
      <c r="G318" s="16"/>
      <c r="H318" s="112"/>
    </row>
    <row r="319" spans="2:8" ht="16.2" thickBot="1">
      <c r="B319" s="135"/>
      <c r="C319" s="17"/>
      <c r="D319" s="135"/>
      <c r="E319" s="139"/>
      <c r="F319" s="139"/>
      <c r="G319" s="17"/>
      <c r="H319" s="112"/>
    </row>
    <row r="320" spans="2:8" ht="16.2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2" thickBot="1">
      <c r="H321" s="112"/>
    </row>
    <row r="322" spans="2:8" ht="14.4" customHeight="1">
      <c r="B322" s="402" t="str">
        <f>AÑO!A36</f>
        <v>Nenas</v>
      </c>
      <c r="C322" s="409"/>
      <c r="D322" s="409"/>
      <c r="E322" s="409"/>
      <c r="F322" s="409"/>
      <c r="G322" s="410"/>
      <c r="H322" s="112"/>
    </row>
    <row r="323" spans="2:8" ht="15" customHeight="1" thickBot="1">
      <c r="B323" s="411"/>
      <c r="C323" s="412"/>
      <c r="D323" s="412"/>
      <c r="E323" s="412"/>
      <c r="F323" s="412"/>
      <c r="G323" s="413"/>
      <c r="H323" s="112"/>
    </row>
    <row r="324" spans="2:8" ht="15.6">
      <c r="B324" s="400" t="s">
        <v>8</v>
      </c>
      <c r="C324" s="401"/>
      <c r="D324" s="408" t="s">
        <v>9</v>
      </c>
      <c r="E324" s="408"/>
      <c r="F324" s="408"/>
      <c r="G324" s="401"/>
      <c r="H324" s="112"/>
    </row>
    <row r="325" spans="2:8" ht="15.6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6">
      <c r="B326" s="133">
        <v>90</v>
      </c>
      <c r="C326" s="19"/>
      <c r="D326" s="137">
        <v>261</v>
      </c>
      <c r="E326" s="138"/>
      <c r="F326" s="138"/>
      <c r="G326" s="16" t="s">
        <v>286</v>
      </c>
      <c r="H326" s="112"/>
    </row>
    <row r="327" spans="2:8" ht="15.6">
      <c r="B327" s="134"/>
      <c r="C327" s="16"/>
      <c r="D327" s="137"/>
      <c r="E327" s="138"/>
      <c r="F327" s="138"/>
      <c r="G327" s="16"/>
      <c r="H327" s="112"/>
    </row>
    <row r="328" spans="2:8" ht="15.6">
      <c r="B328" s="134"/>
      <c r="C328" s="16"/>
      <c r="D328" s="137"/>
      <c r="E328" s="138"/>
      <c r="F328" s="138"/>
      <c r="G328" s="16"/>
      <c r="H328" s="112"/>
    </row>
    <row r="329" spans="2:8" ht="15.6">
      <c r="B329" s="134"/>
      <c r="C329" s="16"/>
      <c r="D329" s="137"/>
      <c r="E329" s="138"/>
      <c r="F329" s="138"/>
      <c r="G329" s="16"/>
      <c r="H329" s="112"/>
    </row>
    <row r="330" spans="2:8" ht="15.6">
      <c r="B330" s="134"/>
      <c r="C330" s="16"/>
      <c r="D330" s="137"/>
      <c r="E330" s="138"/>
      <c r="F330" s="138"/>
      <c r="G330" s="16"/>
      <c r="H330" s="112"/>
    </row>
    <row r="331" spans="2:8" ht="15.6">
      <c r="B331" s="134"/>
      <c r="C331" s="16"/>
      <c r="D331" s="137"/>
      <c r="E331" s="138"/>
      <c r="F331" s="138"/>
      <c r="G331" s="16"/>
      <c r="H331" s="112"/>
    </row>
    <row r="332" spans="2:8" ht="15.6">
      <c r="B332" s="134"/>
      <c r="C332" s="16"/>
      <c r="D332" s="137"/>
      <c r="E332" s="138"/>
      <c r="F332" s="138"/>
      <c r="G332" s="16"/>
      <c r="H332" s="112"/>
    </row>
    <row r="333" spans="2:8" ht="15.6">
      <c r="B333" s="134"/>
      <c r="C333" s="16"/>
      <c r="D333" s="137"/>
      <c r="E333" s="138"/>
      <c r="F333" s="138"/>
      <c r="G333" s="16"/>
      <c r="H333" s="112"/>
    </row>
    <row r="334" spans="2:8" ht="15.6">
      <c r="B334" s="134"/>
      <c r="C334" s="16"/>
      <c r="D334" s="137"/>
      <c r="E334" s="138"/>
      <c r="F334" s="138"/>
      <c r="G334" s="16"/>
      <c r="H334" s="112"/>
    </row>
    <row r="335" spans="2:8" ht="15.6">
      <c r="B335" s="134"/>
      <c r="C335" s="16"/>
      <c r="D335" s="137"/>
      <c r="E335" s="138"/>
      <c r="F335" s="138"/>
      <c r="G335" s="16"/>
      <c r="H335" s="112"/>
    </row>
    <row r="336" spans="2:8" ht="15.6">
      <c r="B336" s="134"/>
      <c r="C336" s="16"/>
      <c r="D336" s="137"/>
      <c r="E336" s="138"/>
      <c r="F336" s="138"/>
      <c r="G336" s="16"/>
      <c r="H336" s="112"/>
    </row>
    <row r="337" spans="2:8" ht="15.6">
      <c r="B337" s="134"/>
      <c r="C337" s="16"/>
      <c r="D337" s="137"/>
      <c r="E337" s="138"/>
      <c r="F337" s="138"/>
      <c r="G337" s="16"/>
      <c r="H337" s="112"/>
    </row>
    <row r="338" spans="2:8" ht="15.6">
      <c r="B338" s="134"/>
      <c r="C338" s="16"/>
      <c r="D338" s="137"/>
      <c r="E338" s="138"/>
      <c r="F338" s="138"/>
      <c r="G338" s="16"/>
      <c r="H338" s="112"/>
    </row>
    <row r="339" spans="2:8" ht="16.2" thickBot="1">
      <c r="B339" s="135"/>
      <c r="C339" s="17"/>
      <c r="D339" s="135"/>
      <c r="E339" s="139"/>
      <c r="F339" s="139"/>
      <c r="G339" s="17"/>
      <c r="H339" s="112"/>
    </row>
    <row r="340" spans="2:8" ht="16.2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2" thickBot="1">
      <c r="B341" s="5"/>
      <c r="C341" s="3"/>
      <c r="D341" s="5"/>
      <c r="E341" s="5"/>
      <c r="H341" s="112"/>
    </row>
    <row r="342" spans="2:8" ht="14.4" customHeight="1">
      <c r="B342" s="402" t="str">
        <f>AÑO!A37</f>
        <v>Impuestos</v>
      </c>
      <c r="C342" s="409"/>
      <c r="D342" s="409"/>
      <c r="E342" s="409"/>
      <c r="F342" s="409"/>
      <c r="G342" s="410"/>
      <c r="H342" s="112"/>
    </row>
    <row r="343" spans="2:8" ht="15" customHeight="1" thickBot="1">
      <c r="B343" s="411"/>
      <c r="C343" s="412"/>
      <c r="D343" s="412"/>
      <c r="E343" s="412"/>
      <c r="F343" s="412"/>
      <c r="G343" s="413"/>
      <c r="H343" s="112"/>
    </row>
    <row r="344" spans="2:8" ht="15.6">
      <c r="B344" s="400" t="s">
        <v>8</v>
      </c>
      <c r="C344" s="401"/>
      <c r="D344" s="408" t="s">
        <v>9</v>
      </c>
      <c r="E344" s="408"/>
      <c r="F344" s="408"/>
      <c r="G344" s="401"/>
      <c r="H344" s="112"/>
    </row>
    <row r="345" spans="2:8" ht="15.6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6">
      <c r="B346" s="133">
        <v>45</v>
      </c>
      <c r="C346" s="19" t="s">
        <v>198</v>
      </c>
      <c r="D346" s="137"/>
      <c r="E346" s="138"/>
      <c r="F346" s="138"/>
      <c r="G346" s="16"/>
      <c r="H346" s="112"/>
    </row>
    <row r="347" spans="2:8" ht="15.6">
      <c r="B347" s="134"/>
      <c r="C347" s="16"/>
      <c r="D347" s="137"/>
      <c r="E347" s="138"/>
      <c r="F347" s="138"/>
      <c r="G347" s="16"/>
      <c r="H347" s="112"/>
    </row>
    <row r="348" spans="2:8" ht="15.6">
      <c r="B348" s="134"/>
      <c r="C348" s="16"/>
      <c r="D348" s="137"/>
      <c r="E348" s="138"/>
      <c r="F348" s="138"/>
      <c r="G348" s="16"/>
      <c r="H348" s="112"/>
    </row>
    <row r="349" spans="2:8" ht="15.6">
      <c r="B349" s="134"/>
      <c r="C349" s="16"/>
      <c r="D349" s="137"/>
      <c r="E349" s="138"/>
      <c r="F349" s="138"/>
      <c r="G349" s="16"/>
      <c r="H349" s="112"/>
    </row>
    <row r="350" spans="2:8" ht="15.6">
      <c r="B350" s="134"/>
      <c r="C350" s="16"/>
      <c r="D350" s="137"/>
      <c r="E350" s="138"/>
      <c r="F350" s="138"/>
      <c r="G350" s="16"/>
      <c r="H350" s="112"/>
    </row>
    <row r="351" spans="2:8" ht="15.6">
      <c r="B351" s="134"/>
      <c r="C351" s="16"/>
      <c r="D351" s="137"/>
      <c r="E351" s="138"/>
      <c r="F351" s="138"/>
      <c r="G351" s="16"/>
      <c r="H351" s="112"/>
    </row>
    <row r="352" spans="2:8" ht="15.6">
      <c r="B352" s="134"/>
      <c r="C352" s="16"/>
      <c r="D352" s="137"/>
      <c r="E352" s="138"/>
      <c r="F352" s="138"/>
      <c r="G352" s="16"/>
      <c r="H352" s="112"/>
    </row>
    <row r="353" spans="2:8" ht="15.6">
      <c r="B353" s="134"/>
      <c r="C353" s="16"/>
      <c r="D353" s="137"/>
      <c r="E353" s="138"/>
      <c r="F353" s="138"/>
      <c r="G353" s="16"/>
      <c r="H353" s="112"/>
    </row>
    <row r="354" spans="2:8" ht="15.6">
      <c r="B354" s="134"/>
      <c r="C354" s="16"/>
      <c r="D354" s="137"/>
      <c r="E354" s="138"/>
      <c r="F354" s="138"/>
      <c r="G354" s="16"/>
      <c r="H354" s="112"/>
    </row>
    <row r="355" spans="2:8" ht="15.6">
      <c r="B355" s="134"/>
      <c r="C355" s="16"/>
      <c r="D355" s="137"/>
      <c r="E355" s="138"/>
      <c r="F355" s="138"/>
      <c r="G355" s="16"/>
      <c r="H355" s="112"/>
    </row>
    <row r="356" spans="2:8" ht="15.6">
      <c r="B356" s="134"/>
      <c r="C356" s="16"/>
      <c r="D356" s="137"/>
      <c r="E356" s="138"/>
      <c r="F356" s="138"/>
      <c r="G356" s="16"/>
      <c r="H356" s="112"/>
    </row>
    <row r="357" spans="2:8" ht="15.6">
      <c r="B357" s="134"/>
      <c r="C357" s="16"/>
      <c r="D357" s="137"/>
      <c r="E357" s="138"/>
      <c r="F357" s="138"/>
      <c r="G357" s="16"/>
      <c r="H357" s="112"/>
    </row>
    <row r="358" spans="2:8" ht="15.6">
      <c r="B358" s="134"/>
      <c r="C358" s="16"/>
      <c r="D358" s="137"/>
      <c r="E358" s="138"/>
      <c r="F358" s="138"/>
      <c r="G358" s="16"/>
      <c r="H358" s="112"/>
    </row>
    <row r="359" spans="2:8" ht="16.2" thickBot="1">
      <c r="B359" s="135"/>
      <c r="C359" s="17"/>
      <c r="D359" s="135"/>
      <c r="E359" s="139"/>
      <c r="F359" s="139"/>
      <c r="G359" s="17"/>
      <c r="H359" s="112"/>
    </row>
    <row r="360" spans="2:8" ht="16.2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2" thickBot="1">
      <c r="B361" s="5"/>
      <c r="C361" s="3"/>
      <c r="D361" s="5"/>
      <c r="E361" s="5"/>
      <c r="H361" s="112"/>
    </row>
    <row r="362" spans="2:8" ht="14.4" customHeight="1">
      <c r="B362" s="402" t="str">
        <f>AÑO!A38</f>
        <v>Gastos Curros</v>
      </c>
      <c r="C362" s="409"/>
      <c r="D362" s="409"/>
      <c r="E362" s="409"/>
      <c r="F362" s="409"/>
      <c r="G362" s="410"/>
      <c r="H362" s="112"/>
    </row>
    <row r="363" spans="2:8" ht="15" customHeight="1" thickBot="1">
      <c r="B363" s="411"/>
      <c r="C363" s="412"/>
      <c r="D363" s="412"/>
      <c r="E363" s="412"/>
      <c r="F363" s="412"/>
      <c r="G363" s="413"/>
      <c r="H363" s="112"/>
    </row>
    <row r="364" spans="2:8" ht="15.6">
      <c r="B364" s="400" t="s">
        <v>8</v>
      </c>
      <c r="C364" s="401"/>
      <c r="D364" s="408" t="s">
        <v>9</v>
      </c>
      <c r="E364" s="408"/>
      <c r="F364" s="408"/>
      <c r="G364" s="401"/>
      <c r="H364" s="112"/>
    </row>
    <row r="365" spans="2:8" ht="15.6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6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6">
      <c r="B367" s="134"/>
      <c r="C367" s="16"/>
      <c r="D367" s="137">
        <v>3.5</v>
      </c>
      <c r="E367" s="138"/>
      <c r="F367" s="138"/>
      <c r="G367" s="31" t="s">
        <v>264</v>
      </c>
      <c r="H367" s="112"/>
    </row>
    <row r="368" spans="2:8" ht="15.6">
      <c r="B368" s="134"/>
      <c r="C368" s="16"/>
      <c r="D368" s="137">
        <v>34</v>
      </c>
      <c r="E368" s="138"/>
      <c r="F368" s="138"/>
      <c r="G368" s="16" t="s">
        <v>288</v>
      </c>
      <c r="H368" s="112"/>
    </row>
    <row r="369" spans="2:8" ht="15.6">
      <c r="B369" s="134"/>
      <c r="C369" s="16"/>
      <c r="D369" s="137"/>
      <c r="E369" s="138"/>
      <c r="F369" s="138"/>
      <c r="G369" s="16"/>
      <c r="H369" s="112"/>
    </row>
    <row r="370" spans="2:8" ht="15.6">
      <c r="B370" s="134"/>
      <c r="C370" s="16"/>
      <c r="D370" s="137"/>
      <c r="E370" s="138"/>
      <c r="F370" s="138"/>
      <c r="G370" s="16"/>
      <c r="H370" s="112"/>
    </row>
    <row r="371" spans="2:8" ht="15.6">
      <c r="B371" s="134"/>
      <c r="C371" s="16"/>
      <c r="D371" s="137"/>
      <c r="E371" s="138"/>
      <c r="F371" s="138"/>
      <c r="G371" s="16"/>
      <c r="H371" s="112"/>
    </row>
    <row r="372" spans="2:8" ht="15.6">
      <c r="B372" s="134"/>
      <c r="C372" s="16"/>
      <c r="D372" s="137"/>
      <c r="E372" s="138"/>
      <c r="F372" s="138"/>
      <c r="G372" s="16"/>
      <c r="H372" s="112"/>
    </row>
    <row r="373" spans="2:8" ht="15.6">
      <c r="B373" s="134"/>
      <c r="C373" s="16"/>
      <c r="D373" s="137"/>
      <c r="E373" s="138"/>
      <c r="F373" s="138"/>
      <c r="G373" s="16"/>
      <c r="H373" s="112"/>
    </row>
    <row r="374" spans="2:8" ht="15.6">
      <c r="B374" s="134"/>
      <c r="C374" s="16"/>
      <c r="D374" s="137"/>
      <c r="E374" s="138"/>
      <c r="F374" s="138"/>
      <c r="G374" s="16"/>
      <c r="H374" s="112"/>
    </row>
    <row r="375" spans="2:8" ht="15.6">
      <c r="B375" s="134"/>
      <c r="C375" s="16"/>
      <c r="D375" s="137"/>
      <c r="E375" s="138"/>
      <c r="F375" s="138"/>
      <c r="G375" s="16"/>
      <c r="H375" s="112"/>
    </row>
    <row r="376" spans="2:8" ht="15.6">
      <c r="B376" s="134"/>
      <c r="C376" s="16"/>
      <c r="D376" s="137"/>
      <c r="E376" s="138"/>
      <c r="F376" s="138"/>
      <c r="G376" s="16"/>
      <c r="H376" s="112"/>
    </row>
    <row r="377" spans="2:8" ht="15.6">
      <c r="B377" s="134"/>
      <c r="C377" s="16"/>
      <c r="D377" s="137"/>
      <c r="E377" s="138"/>
      <c r="F377" s="138"/>
      <c r="G377" s="16"/>
      <c r="H377" s="112"/>
    </row>
    <row r="378" spans="2:8" ht="15.6">
      <c r="B378" s="134"/>
      <c r="C378" s="16"/>
      <c r="D378" s="137"/>
      <c r="E378" s="138"/>
      <c r="F378" s="138"/>
      <c r="G378" s="16"/>
      <c r="H378" s="112"/>
    </row>
    <row r="379" spans="2:8" ht="16.2" thickBot="1">
      <c r="B379" s="135"/>
      <c r="C379" s="17"/>
      <c r="D379" s="135"/>
      <c r="E379" s="139"/>
      <c r="F379" s="139"/>
      <c r="G379" s="17"/>
      <c r="H379" s="112"/>
    </row>
    <row r="380" spans="2:8" ht="16.2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2" thickBot="1">
      <c r="B381" s="5"/>
      <c r="C381" s="3"/>
      <c r="D381" s="5"/>
      <c r="E381" s="5"/>
      <c r="H381" s="112"/>
    </row>
    <row r="382" spans="2:8" ht="14.4" customHeight="1">
      <c r="B382" s="402" t="str">
        <f>AÑO!A39</f>
        <v>Dreamed Holidays</v>
      </c>
      <c r="C382" s="409"/>
      <c r="D382" s="409"/>
      <c r="E382" s="409"/>
      <c r="F382" s="409"/>
      <c r="G382" s="410"/>
      <c r="H382" s="112"/>
    </row>
    <row r="383" spans="2:8" ht="15" customHeight="1" thickBot="1">
      <c r="B383" s="411"/>
      <c r="C383" s="412"/>
      <c r="D383" s="412"/>
      <c r="E383" s="412"/>
      <c r="F383" s="412"/>
      <c r="G383" s="413"/>
      <c r="H383" s="112"/>
    </row>
    <row r="384" spans="2:8" ht="15.6">
      <c r="B384" s="400" t="s">
        <v>8</v>
      </c>
      <c r="C384" s="401"/>
      <c r="D384" s="408" t="s">
        <v>9</v>
      </c>
      <c r="E384" s="408"/>
      <c r="F384" s="408"/>
      <c r="G384" s="401"/>
      <c r="H384" s="112"/>
    </row>
    <row r="385" spans="2:8" ht="15.6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6">
      <c r="B386" s="133">
        <v>20</v>
      </c>
      <c r="C386" s="19"/>
      <c r="D386" s="137"/>
      <c r="E386" s="138"/>
      <c r="F386" s="138"/>
      <c r="G386" s="16"/>
      <c r="H386" s="112"/>
    </row>
    <row r="387" spans="2:8" ht="15.6">
      <c r="B387" s="134"/>
      <c r="C387" s="16"/>
      <c r="D387" s="137"/>
      <c r="E387" s="138"/>
      <c r="F387" s="138"/>
      <c r="G387" s="16"/>
      <c r="H387" s="112"/>
    </row>
    <row r="388" spans="2:8" ht="15.6">
      <c r="B388" s="134"/>
      <c r="C388" s="16"/>
      <c r="D388" s="137"/>
      <c r="E388" s="138"/>
      <c r="F388" s="138"/>
      <c r="G388" s="16"/>
      <c r="H388" s="112"/>
    </row>
    <row r="389" spans="2:8" ht="15.6">
      <c r="B389" s="134"/>
      <c r="C389" s="16"/>
      <c r="D389" s="137"/>
      <c r="E389" s="138"/>
      <c r="F389" s="138"/>
      <c r="G389" s="16"/>
      <c r="H389" s="112"/>
    </row>
    <row r="390" spans="2:8" ht="15.6">
      <c r="B390" s="134"/>
      <c r="C390" s="16"/>
      <c r="D390" s="137"/>
      <c r="E390" s="138"/>
      <c r="F390" s="138"/>
      <c r="G390" s="16"/>
      <c r="H390" s="112"/>
    </row>
    <row r="391" spans="2:8" ht="15.6">
      <c r="B391" s="134"/>
      <c r="C391" s="16"/>
      <c r="D391" s="137"/>
      <c r="E391" s="138"/>
      <c r="F391" s="138"/>
      <c r="G391" s="16"/>
      <c r="H391" s="112"/>
    </row>
    <row r="392" spans="2:8" ht="15.6">
      <c r="B392" s="134"/>
      <c r="C392" s="16"/>
      <c r="D392" s="137"/>
      <c r="E392" s="138"/>
      <c r="F392" s="138"/>
      <c r="G392" s="16"/>
      <c r="H392" s="112"/>
    </row>
    <row r="393" spans="2:8" ht="15.6">
      <c r="B393" s="134"/>
      <c r="C393" s="16"/>
      <c r="D393" s="137"/>
      <c r="E393" s="138"/>
      <c r="F393" s="138"/>
      <c r="G393" s="16"/>
      <c r="H393" s="112"/>
    </row>
    <row r="394" spans="2:8" ht="15.6">
      <c r="B394" s="134"/>
      <c r="C394" s="16"/>
      <c r="D394" s="137"/>
      <c r="E394" s="138"/>
      <c r="F394" s="138"/>
      <c r="G394" s="16"/>
      <c r="H394" s="112"/>
    </row>
    <row r="395" spans="2:8" ht="15.6">
      <c r="B395" s="134"/>
      <c r="C395" s="16"/>
      <c r="D395" s="137"/>
      <c r="E395" s="138"/>
      <c r="F395" s="138"/>
      <c r="G395" s="16"/>
      <c r="H395" s="112"/>
    </row>
    <row r="396" spans="2:8" ht="15.6">
      <c r="B396" s="134"/>
      <c r="C396" s="16"/>
      <c r="D396" s="137"/>
      <c r="E396" s="138"/>
      <c r="F396" s="138"/>
      <c r="G396" s="16"/>
      <c r="H396" s="112"/>
    </row>
    <row r="397" spans="2:8" ht="15.6">
      <c r="B397" s="134"/>
      <c r="C397" s="16"/>
      <c r="D397" s="137"/>
      <c r="E397" s="138"/>
      <c r="F397" s="138"/>
      <c r="G397" s="16"/>
      <c r="H397" s="112"/>
    </row>
    <row r="398" spans="2:8" ht="15.6">
      <c r="B398" s="134"/>
      <c r="C398" s="16"/>
      <c r="D398" s="137"/>
      <c r="E398" s="138"/>
      <c r="F398" s="138"/>
      <c r="G398" s="16"/>
      <c r="H398" s="112"/>
    </row>
    <row r="399" spans="2:8" ht="16.2" thickBot="1">
      <c r="B399" s="135"/>
      <c r="C399" s="17"/>
      <c r="D399" s="135"/>
      <c r="E399" s="139"/>
      <c r="F399" s="139"/>
      <c r="G399" s="17"/>
      <c r="H399" s="112"/>
    </row>
    <row r="400" spans="2:8" ht="16.2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2" thickBot="1">
      <c r="B401" s="5"/>
      <c r="C401" s="3"/>
      <c r="D401" s="5"/>
      <c r="E401" s="5"/>
      <c r="H401" s="112"/>
    </row>
    <row r="402" spans="2:8" ht="14.4" customHeight="1">
      <c r="B402" s="402" t="str">
        <f>AÑO!A40</f>
        <v>Financieros</v>
      </c>
      <c r="C402" s="409"/>
      <c r="D402" s="409"/>
      <c r="E402" s="409"/>
      <c r="F402" s="409"/>
      <c r="G402" s="410"/>
      <c r="H402" s="112"/>
    </row>
    <row r="403" spans="2:8" ht="15" customHeight="1" thickBot="1">
      <c r="B403" s="411"/>
      <c r="C403" s="412"/>
      <c r="D403" s="412"/>
      <c r="E403" s="412"/>
      <c r="F403" s="412"/>
      <c r="G403" s="413"/>
      <c r="H403" s="112"/>
    </row>
    <row r="404" spans="2:8" ht="15.6">
      <c r="B404" s="400" t="s">
        <v>8</v>
      </c>
      <c r="C404" s="401"/>
      <c r="D404" s="408" t="s">
        <v>9</v>
      </c>
      <c r="E404" s="408"/>
      <c r="F404" s="408"/>
      <c r="G404" s="401"/>
      <c r="H404" s="112"/>
    </row>
    <row r="405" spans="2:8" ht="15.6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6">
      <c r="B406" s="133">
        <v>20</v>
      </c>
      <c r="C406" s="19"/>
      <c r="D406" s="137">
        <v>10</v>
      </c>
      <c r="E406" s="138"/>
      <c r="F406" s="138"/>
      <c r="G406" s="16" t="s">
        <v>245</v>
      </c>
      <c r="H406" s="112"/>
    </row>
    <row r="407" spans="2:8" ht="15.6">
      <c r="B407" s="134">
        <v>1.87</v>
      </c>
      <c r="C407" s="16" t="s">
        <v>239</v>
      </c>
      <c r="D407" s="137">
        <v>25.87</v>
      </c>
      <c r="E407" s="138"/>
      <c r="F407" s="138"/>
      <c r="G407" s="16" t="s">
        <v>272</v>
      </c>
      <c r="H407" s="112"/>
    </row>
    <row r="408" spans="2:8" ht="15.6">
      <c r="B408" s="134"/>
      <c r="C408" s="16"/>
      <c r="D408" s="137"/>
      <c r="E408" s="138"/>
      <c r="F408" s="138"/>
      <c r="G408" s="16"/>
      <c r="H408" s="112"/>
    </row>
    <row r="409" spans="2:8" ht="15.6">
      <c r="B409" s="134"/>
      <c r="C409" s="16"/>
      <c r="D409" s="137"/>
      <c r="E409" s="138"/>
      <c r="F409" s="138"/>
      <c r="G409" s="16"/>
      <c r="H409" s="112"/>
    </row>
    <row r="410" spans="2:8" ht="15.6">
      <c r="B410" s="134"/>
      <c r="C410" s="16"/>
      <c r="D410" s="137"/>
      <c r="E410" s="138"/>
      <c r="F410" s="138"/>
      <c r="G410" s="16"/>
      <c r="H410" s="112"/>
    </row>
    <row r="411" spans="2:8" ht="15.6">
      <c r="B411" s="134"/>
      <c r="C411" s="16"/>
      <c r="D411" s="137"/>
      <c r="E411" s="138"/>
      <c r="F411" s="138"/>
      <c r="G411" s="16"/>
      <c r="H411" s="112"/>
    </row>
    <row r="412" spans="2:8" ht="15.6">
      <c r="B412" s="134"/>
      <c r="C412" s="16"/>
      <c r="D412" s="137"/>
      <c r="E412" s="138"/>
      <c r="F412" s="138"/>
      <c r="G412" s="16"/>
      <c r="H412" s="112"/>
    </row>
    <row r="413" spans="2:8" ht="15.6">
      <c r="B413" s="134"/>
      <c r="C413" s="16"/>
      <c r="D413" s="137"/>
      <c r="E413" s="138"/>
      <c r="F413" s="138"/>
      <c r="G413" s="16"/>
      <c r="H413" s="112"/>
    </row>
    <row r="414" spans="2:8" ht="15.6">
      <c r="B414" s="134"/>
      <c r="C414" s="16"/>
      <c r="D414" s="137"/>
      <c r="E414" s="138"/>
      <c r="F414" s="138"/>
      <c r="G414" s="16"/>
      <c r="H414" s="112"/>
    </row>
    <row r="415" spans="2:8" ht="15.6">
      <c r="B415" s="134"/>
      <c r="C415" s="16"/>
      <c r="D415" s="137"/>
      <c r="E415" s="138"/>
      <c r="F415" s="138"/>
      <c r="G415" s="16"/>
      <c r="H415" s="112"/>
    </row>
    <row r="416" spans="2:8" ht="15.6">
      <c r="B416" s="134"/>
      <c r="C416" s="16"/>
      <c r="D416" s="137"/>
      <c r="E416" s="138"/>
      <c r="F416" s="138"/>
      <c r="G416" s="16"/>
      <c r="H416" s="112"/>
    </row>
    <row r="417" spans="1:8" ht="15.6">
      <c r="B417" s="134"/>
      <c r="C417" s="16"/>
      <c r="D417" s="137"/>
      <c r="E417" s="138"/>
      <c r="F417" s="138"/>
      <c r="G417" s="16"/>
      <c r="H417" s="112"/>
    </row>
    <row r="418" spans="1:8" ht="15.6">
      <c r="B418" s="134"/>
      <c r="C418" s="16"/>
      <c r="D418" s="137"/>
      <c r="E418" s="138"/>
      <c r="F418" s="138"/>
      <c r="G418" s="16"/>
      <c r="H418" s="112"/>
    </row>
    <row r="419" spans="1:8" ht="16.2" thickBot="1">
      <c r="B419" s="135"/>
      <c r="C419" s="17"/>
      <c r="D419" s="135"/>
      <c r="E419" s="139"/>
      <c r="F419" s="139"/>
      <c r="G419" s="17"/>
      <c r="H419" s="112"/>
    </row>
    <row r="420" spans="1:8" ht="16.2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2" thickBot="1">
      <c r="B421" s="5"/>
      <c r="C421" s="3"/>
      <c r="D421" s="5"/>
      <c r="E421" s="5"/>
      <c r="H421" s="112"/>
    </row>
    <row r="422" spans="1:8" ht="14.4" customHeight="1">
      <c r="B422" s="402" t="str">
        <f>AÑO!A41</f>
        <v>Ahorros Colchón</v>
      </c>
      <c r="C422" s="403"/>
      <c r="D422" s="403"/>
      <c r="E422" s="403"/>
      <c r="F422" s="403"/>
      <c r="G422" s="404"/>
      <c r="H422" s="112"/>
    </row>
    <row r="423" spans="1:8" ht="15" customHeight="1" thickBot="1">
      <c r="B423" s="405"/>
      <c r="C423" s="406"/>
      <c r="D423" s="406"/>
      <c r="E423" s="406"/>
      <c r="F423" s="406"/>
      <c r="G423" s="407"/>
      <c r="H423" s="112"/>
    </row>
    <row r="424" spans="1:8" ht="15.6">
      <c r="B424" s="400" t="s">
        <v>8</v>
      </c>
      <c r="C424" s="401"/>
      <c r="D424" s="408" t="s">
        <v>9</v>
      </c>
      <c r="E424" s="408"/>
      <c r="F424" s="408"/>
      <c r="G424" s="401"/>
      <c r="H424" s="112"/>
    </row>
    <row r="425" spans="1:8" ht="15.6">
      <c r="A425" s="89" t="s">
        <v>219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208</v>
      </c>
    </row>
    <row r="426" spans="1:8" ht="15.6">
      <c r="A426" s="112">
        <f>3900+115.77+3.85+0.02+137+85</f>
        <v>4241.6399999999994</v>
      </c>
      <c r="B426" s="134">
        <f>AÑO!C17 -A426</f>
        <v>-550.06999999999925</v>
      </c>
      <c r="C426" s="19" t="s">
        <v>233</v>
      </c>
      <c r="D426" s="137"/>
      <c r="E426" s="138"/>
      <c r="F426" s="138"/>
      <c r="G426" s="16"/>
      <c r="H426" s="112">
        <v>5860</v>
      </c>
    </row>
    <row r="427" spans="1:8" ht="15.6">
      <c r="A427" s="113"/>
      <c r="B427" s="134"/>
      <c r="C427" s="16"/>
      <c r="D427" s="137"/>
      <c r="E427" s="138"/>
      <c r="F427" s="138"/>
      <c r="G427" s="16"/>
      <c r="H427" s="112"/>
    </row>
    <row r="428" spans="1:8" ht="15.6">
      <c r="A428" s="113"/>
      <c r="B428" s="134"/>
      <c r="C428" s="16"/>
      <c r="D428" s="137"/>
      <c r="E428" s="138"/>
      <c r="F428" s="138"/>
      <c r="G428" s="16"/>
      <c r="H428" s="112"/>
    </row>
    <row r="429" spans="1:8" ht="15.6">
      <c r="A429" s="113"/>
      <c r="B429" s="134"/>
      <c r="C429" s="16"/>
      <c r="D429" s="137"/>
      <c r="E429" s="138"/>
      <c r="F429" s="138"/>
      <c r="G429" s="16"/>
      <c r="H429" s="112"/>
    </row>
    <row r="430" spans="1:8" ht="15.6">
      <c r="A430" s="113"/>
      <c r="B430" s="134"/>
      <c r="C430" s="16"/>
      <c r="D430" s="137"/>
      <c r="E430" s="138"/>
      <c r="F430" s="138"/>
      <c r="G430" s="16"/>
      <c r="H430" s="112"/>
    </row>
    <row r="431" spans="1:8" ht="15.6">
      <c r="B431" s="134"/>
      <c r="C431" s="16"/>
      <c r="D431" s="137"/>
      <c r="E431" s="138"/>
      <c r="F431" s="138"/>
      <c r="G431" s="16"/>
      <c r="H431" s="112"/>
    </row>
    <row r="432" spans="1:8" ht="15.6">
      <c r="B432" s="134"/>
      <c r="C432" s="16"/>
      <c r="D432" s="137"/>
      <c r="E432" s="138"/>
      <c r="F432" s="138"/>
      <c r="G432" s="16"/>
      <c r="H432" s="112"/>
    </row>
    <row r="433" spans="2:8" ht="15.6">
      <c r="B433" s="134"/>
      <c r="C433" s="16"/>
      <c r="D433" s="137"/>
      <c r="E433" s="138"/>
      <c r="F433" s="138"/>
      <c r="G433" s="16"/>
      <c r="H433" s="112"/>
    </row>
    <row r="434" spans="2:8" ht="15.6">
      <c r="B434" s="134"/>
      <c r="C434" s="16"/>
      <c r="D434" s="137"/>
      <c r="E434" s="138"/>
      <c r="F434" s="138"/>
      <c r="G434" s="16"/>
      <c r="H434" s="112"/>
    </row>
    <row r="435" spans="2:8" ht="15.6">
      <c r="B435" s="134"/>
      <c r="C435" s="16"/>
      <c r="D435" s="137"/>
      <c r="E435" s="138"/>
      <c r="F435" s="138"/>
      <c r="G435" s="16"/>
      <c r="H435" s="112"/>
    </row>
    <row r="436" spans="2:8" ht="15.6">
      <c r="B436" s="134"/>
      <c r="C436" s="16"/>
      <c r="D436" s="137"/>
      <c r="E436" s="138"/>
      <c r="F436" s="138"/>
      <c r="G436" s="16"/>
      <c r="H436" s="112"/>
    </row>
    <row r="437" spans="2:8" ht="15.6">
      <c r="B437" s="134"/>
      <c r="C437" s="16"/>
      <c r="D437" s="137"/>
      <c r="E437" s="138"/>
      <c r="F437" s="138"/>
      <c r="G437" s="16"/>
      <c r="H437" s="112"/>
    </row>
    <row r="438" spans="2:8" ht="15.6">
      <c r="B438" s="134"/>
      <c r="C438" s="16"/>
      <c r="D438" s="137"/>
      <c r="E438" s="138"/>
      <c r="F438" s="138"/>
      <c r="G438" s="16"/>
      <c r="H438" s="112"/>
    </row>
    <row r="439" spans="2:8" ht="16.2" thickBot="1">
      <c r="B439" s="135"/>
      <c r="C439" s="17"/>
      <c r="D439" s="135"/>
      <c r="E439" s="139"/>
      <c r="F439" s="139"/>
      <c r="G439" s="17"/>
      <c r="H439" s="112"/>
    </row>
    <row r="440" spans="2:8" ht="16.2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2" thickBot="1">
      <c r="B441" s="5"/>
      <c r="C441" s="3"/>
      <c r="D441" s="5"/>
      <c r="E441" s="5"/>
      <c r="H441" s="112"/>
    </row>
    <row r="442" spans="2:8" ht="14.4" customHeight="1">
      <c r="B442" s="402" t="str">
        <f>AÑO!A42</f>
        <v>Dinero Bloqueado</v>
      </c>
      <c r="C442" s="403"/>
      <c r="D442" s="403"/>
      <c r="E442" s="403"/>
      <c r="F442" s="403"/>
      <c r="G442" s="404"/>
      <c r="H442" s="112"/>
    </row>
    <row r="443" spans="2:8" ht="15" customHeight="1" thickBot="1">
      <c r="B443" s="405"/>
      <c r="C443" s="406"/>
      <c r="D443" s="406"/>
      <c r="E443" s="406"/>
      <c r="F443" s="406"/>
      <c r="G443" s="407"/>
      <c r="H443" s="112"/>
    </row>
    <row r="444" spans="2:8" ht="15.6">
      <c r="B444" s="400" t="s">
        <v>8</v>
      </c>
      <c r="C444" s="401"/>
      <c r="D444" s="408" t="s">
        <v>9</v>
      </c>
      <c r="E444" s="408"/>
      <c r="F444" s="408"/>
      <c r="G444" s="401"/>
      <c r="H444" s="112"/>
    </row>
    <row r="445" spans="2:8" ht="15.6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6">
      <c r="B446" s="133">
        <v>1.98</v>
      </c>
      <c r="C446" s="19" t="s">
        <v>240</v>
      </c>
      <c r="D446" s="137"/>
      <c r="E446" s="138"/>
      <c r="F446" s="138"/>
      <c r="G446" s="16"/>
      <c r="H446" s="112"/>
    </row>
    <row r="447" spans="2:8" ht="15.6">
      <c r="B447" s="134"/>
      <c r="C447" s="16"/>
      <c r="D447" s="137"/>
      <c r="E447" s="138"/>
      <c r="F447" s="138"/>
      <c r="G447" s="16"/>
      <c r="H447" s="112"/>
    </row>
    <row r="448" spans="2:8" ht="15.6">
      <c r="B448" s="134"/>
      <c r="C448" s="16"/>
      <c r="D448" s="137"/>
      <c r="E448" s="138"/>
      <c r="F448" s="138"/>
      <c r="G448" s="16"/>
      <c r="H448" s="112"/>
    </row>
    <row r="449" spans="2:8" ht="15.6">
      <c r="B449" s="134"/>
      <c r="C449" s="16"/>
      <c r="D449" s="137"/>
      <c r="E449" s="138"/>
      <c r="F449" s="138"/>
      <c r="G449" s="16"/>
      <c r="H449" s="112"/>
    </row>
    <row r="450" spans="2:8" ht="15.6">
      <c r="B450" s="134"/>
      <c r="C450" s="16"/>
      <c r="D450" s="137"/>
      <c r="E450" s="138"/>
      <c r="F450" s="138"/>
      <c r="G450" s="16"/>
      <c r="H450" s="112"/>
    </row>
    <row r="451" spans="2:8" ht="15.6">
      <c r="B451" s="134"/>
      <c r="C451" s="16"/>
      <c r="D451" s="137"/>
      <c r="E451" s="138"/>
      <c r="F451" s="138"/>
      <c r="G451" s="16"/>
      <c r="H451" s="112"/>
    </row>
    <row r="452" spans="2:8" ht="15.6">
      <c r="B452" s="134"/>
      <c r="C452" s="16"/>
      <c r="D452" s="137"/>
      <c r="E452" s="138"/>
      <c r="F452" s="138"/>
      <c r="G452" s="16"/>
      <c r="H452" s="112"/>
    </row>
    <row r="453" spans="2:8" ht="15.6">
      <c r="B453" s="134"/>
      <c r="C453" s="16"/>
      <c r="D453" s="137"/>
      <c r="E453" s="138"/>
      <c r="F453" s="138"/>
      <c r="G453" s="16"/>
      <c r="H453" s="112"/>
    </row>
    <row r="454" spans="2:8" ht="15.6">
      <c r="B454" s="134"/>
      <c r="C454" s="16"/>
      <c r="D454" s="137"/>
      <c r="E454" s="138"/>
      <c r="F454" s="138"/>
      <c r="G454" s="16"/>
      <c r="H454" s="112"/>
    </row>
    <row r="455" spans="2:8" ht="15.6">
      <c r="B455" s="134"/>
      <c r="C455" s="16"/>
      <c r="D455" s="137"/>
      <c r="E455" s="138"/>
      <c r="F455" s="138"/>
      <c r="G455" s="16"/>
      <c r="H455" s="112"/>
    </row>
    <row r="456" spans="2:8" ht="15.6">
      <c r="B456" s="134"/>
      <c r="C456" s="16"/>
      <c r="D456" s="137"/>
      <c r="E456" s="138"/>
      <c r="F456" s="138"/>
      <c r="G456" s="16"/>
      <c r="H456" s="112"/>
    </row>
    <row r="457" spans="2:8" ht="15.6">
      <c r="B457" s="134"/>
      <c r="C457" s="16"/>
      <c r="D457" s="137"/>
      <c r="E457" s="138"/>
      <c r="F457" s="138"/>
      <c r="G457" s="16"/>
      <c r="H457" s="112"/>
    </row>
    <row r="458" spans="2:8" ht="15.6">
      <c r="B458" s="134"/>
      <c r="C458" s="16"/>
      <c r="D458" s="137"/>
      <c r="E458" s="138"/>
      <c r="F458" s="138"/>
      <c r="G458" s="16"/>
      <c r="H458" s="112"/>
    </row>
    <row r="459" spans="2:8" ht="16.2" thickBot="1">
      <c r="B459" s="135"/>
      <c r="C459" s="17"/>
      <c r="D459" s="135"/>
      <c r="E459" s="139"/>
      <c r="F459" s="139"/>
      <c r="G459" s="17"/>
      <c r="H459" s="112"/>
    </row>
    <row r="460" spans="2:8" ht="16.2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2" thickBot="1">
      <c r="B461" s="5"/>
      <c r="C461" s="3"/>
      <c r="D461" s="5"/>
      <c r="E461" s="5"/>
      <c r="H461" s="112"/>
    </row>
    <row r="462" spans="2:8" ht="14.4" customHeight="1">
      <c r="B462" s="402" t="str">
        <f>AÑO!A43</f>
        <v>Cartama Finanazas</v>
      </c>
      <c r="C462" s="403"/>
      <c r="D462" s="403"/>
      <c r="E462" s="403"/>
      <c r="F462" s="403"/>
      <c r="G462" s="404"/>
      <c r="H462" s="112"/>
    </row>
    <row r="463" spans="2:8" ht="15" customHeight="1" thickBot="1">
      <c r="B463" s="405"/>
      <c r="C463" s="406"/>
      <c r="D463" s="406"/>
      <c r="E463" s="406"/>
      <c r="F463" s="406"/>
      <c r="G463" s="407"/>
      <c r="H463" s="112"/>
    </row>
    <row r="464" spans="2:8" ht="15.6">
      <c r="B464" s="400" t="s">
        <v>8</v>
      </c>
      <c r="C464" s="401"/>
      <c r="D464" s="408" t="s">
        <v>9</v>
      </c>
      <c r="E464" s="408"/>
      <c r="F464" s="408"/>
      <c r="G464" s="401"/>
      <c r="H464" s="112"/>
    </row>
    <row r="465" spans="1:8" ht="15.6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6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6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6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6">
      <c r="B469" s="134"/>
      <c r="C469" s="16"/>
      <c r="D469" s="137"/>
      <c r="E469" s="138"/>
      <c r="F469" s="138"/>
      <c r="G469" s="16"/>
      <c r="H469" s="112"/>
    </row>
    <row r="470" spans="1:8" ht="15.6">
      <c r="B470" s="134"/>
      <c r="C470" s="16"/>
      <c r="D470" s="137"/>
      <c r="E470" s="138"/>
      <c r="F470" s="138"/>
      <c r="G470" s="16"/>
      <c r="H470" s="112"/>
    </row>
    <row r="471" spans="1:8" ht="15.6">
      <c r="B471" s="134"/>
      <c r="C471" s="16"/>
      <c r="D471" s="137"/>
      <c r="E471" s="138"/>
      <c r="F471" s="138"/>
      <c r="G471" s="16"/>
      <c r="H471" s="112"/>
    </row>
    <row r="472" spans="1:8" ht="15.6">
      <c r="B472" s="134"/>
      <c r="C472" s="16"/>
      <c r="D472" s="137"/>
      <c r="E472" s="138"/>
      <c r="F472" s="138"/>
      <c r="G472" s="16"/>
      <c r="H472" s="112"/>
    </row>
    <row r="473" spans="1:8" ht="15.6">
      <c r="B473" s="134"/>
      <c r="C473" s="16"/>
      <c r="D473" s="137"/>
      <c r="E473" s="138"/>
      <c r="F473" s="138"/>
      <c r="G473" s="16"/>
      <c r="H473" s="112"/>
    </row>
    <row r="474" spans="1:8" ht="15.6">
      <c r="B474" s="134"/>
      <c r="C474" s="16"/>
      <c r="D474" s="137"/>
      <c r="E474" s="138"/>
      <c r="F474" s="138"/>
      <c r="G474" s="16"/>
      <c r="H474" s="112"/>
    </row>
    <row r="475" spans="1:8" ht="15.6">
      <c r="B475" s="134"/>
      <c r="C475" s="16"/>
      <c r="D475" s="137"/>
      <c r="E475" s="138"/>
      <c r="F475" s="138"/>
      <c r="G475" s="16"/>
      <c r="H475" s="112"/>
    </row>
    <row r="476" spans="1:8" ht="15.6">
      <c r="B476" s="134"/>
      <c r="C476" s="16"/>
      <c r="D476" s="137"/>
      <c r="E476" s="138"/>
      <c r="F476" s="138"/>
      <c r="G476" s="16"/>
      <c r="H476" s="112"/>
    </row>
    <row r="477" spans="1:8" ht="15.6">
      <c r="B477" s="134"/>
      <c r="C477" s="16"/>
      <c r="D477" s="137"/>
      <c r="E477" s="138"/>
      <c r="F477" s="138"/>
      <c r="G477" s="16"/>
      <c r="H477" s="112"/>
    </row>
    <row r="478" spans="1:8" ht="15.6">
      <c r="B478" s="134"/>
      <c r="C478" s="16"/>
      <c r="D478" s="137"/>
      <c r="E478" s="138"/>
      <c r="F478" s="138"/>
      <c r="G478" s="16"/>
      <c r="H478" s="112"/>
    </row>
    <row r="479" spans="1:8" ht="16.2" thickBot="1">
      <c r="B479" s="135"/>
      <c r="C479" s="17"/>
      <c r="D479" s="135"/>
      <c r="E479" s="139"/>
      <c r="F479" s="139"/>
      <c r="G479" s="17"/>
      <c r="H479" s="112"/>
    </row>
    <row r="480" spans="1:8" ht="16.2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2" thickBot="1">
      <c r="H481" s="112"/>
    </row>
    <row r="482" spans="2:8" ht="14.4" customHeight="1">
      <c r="B482" s="402" t="str">
        <f>AÑO!A44</f>
        <v>NULO</v>
      </c>
      <c r="C482" s="403"/>
      <c r="D482" s="403"/>
      <c r="E482" s="403"/>
      <c r="F482" s="403"/>
      <c r="G482" s="404"/>
      <c r="H482" s="112"/>
    </row>
    <row r="483" spans="2:8" ht="15" customHeight="1" thickBot="1">
      <c r="B483" s="405"/>
      <c r="C483" s="406"/>
      <c r="D483" s="406"/>
      <c r="E483" s="406"/>
      <c r="F483" s="406"/>
      <c r="G483" s="407"/>
      <c r="H483" s="112"/>
    </row>
    <row r="484" spans="2:8" ht="15.6">
      <c r="B484" s="400" t="s">
        <v>8</v>
      </c>
      <c r="C484" s="401"/>
      <c r="D484" s="408" t="s">
        <v>9</v>
      </c>
      <c r="E484" s="408"/>
      <c r="F484" s="408"/>
      <c r="G484" s="401"/>
      <c r="H484" s="112"/>
    </row>
    <row r="485" spans="2:8" ht="15.6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6">
      <c r="B486" s="133"/>
      <c r="C486" s="19"/>
      <c r="D486" s="137"/>
      <c r="E486" s="138"/>
      <c r="F486" s="138"/>
      <c r="G486" s="16"/>
      <c r="H486" s="112"/>
    </row>
    <row r="487" spans="2:8" ht="15.6">
      <c r="B487" s="134"/>
      <c r="C487" s="16"/>
      <c r="D487" s="137"/>
      <c r="E487" s="138"/>
      <c r="F487" s="138"/>
      <c r="G487" s="16"/>
      <c r="H487" s="112"/>
    </row>
    <row r="488" spans="2:8" ht="15.6">
      <c r="B488" s="134"/>
      <c r="C488" s="16"/>
      <c r="D488" s="137"/>
      <c r="E488" s="138"/>
      <c r="F488" s="138"/>
      <c r="G488" s="16"/>
      <c r="H488" s="112"/>
    </row>
    <row r="489" spans="2:8" ht="15.6">
      <c r="B489" s="134"/>
      <c r="C489" s="16"/>
      <c r="D489" s="137"/>
      <c r="E489" s="138"/>
      <c r="F489" s="138"/>
      <c r="G489" s="16"/>
      <c r="H489" s="112"/>
    </row>
    <row r="490" spans="2:8" ht="15.6">
      <c r="B490" s="134"/>
      <c r="C490" s="16"/>
      <c r="D490" s="137"/>
      <c r="E490" s="138"/>
      <c r="F490" s="138"/>
      <c r="G490" s="16"/>
      <c r="H490" s="112"/>
    </row>
    <row r="491" spans="2:8" ht="15.6">
      <c r="B491" s="134"/>
      <c r="C491" s="16"/>
      <c r="D491" s="137"/>
      <c r="E491" s="138"/>
      <c r="F491" s="138"/>
      <c r="G491" s="16"/>
      <c r="H491" s="112"/>
    </row>
    <row r="492" spans="2:8" ht="15.6">
      <c r="B492" s="134"/>
      <c r="C492" s="16"/>
      <c r="D492" s="137"/>
      <c r="E492" s="138"/>
      <c r="F492" s="138"/>
      <c r="G492" s="16"/>
      <c r="H492" s="112"/>
    </row>
    <row r="493" spans="2:8" ht="15.6">
      <c r="B493" s="134"/>
      <c r="C493" s="16"/>
      <c r="D493" s="137"/>
      <c r="E493" s="138"/>
      <c r="F493" s="138"/>
      <c r="G493" s="16"/>
      <c r="H493" s="112"/>
    </row>
    <row r="494" spans="2:8" ht="15.6">
      <c r="B494" s="134"/>
      <c r="C494" s="16"/>
      <c r="D494" s="137"/>
      <c r="E494" s="138"/>
      <c r="F494" s="138"/>
      <c r="G494" s="16"/>
      <c r="H494" s="112"/>
    </row>
    <row r="495" spans="2:8" ht="15.6">
      <c r="B495" s="134"/>
      <c r="C495" s="16"/>
      <c r="D495" s="137"/>
      <c r="E495" s="138"/>
      <c r="F495" s="138"/>
      <c r="G495" s="16"/>
      <c r="H495" s="112"/>
    </row>
    <row r="496" spans="2:8" ht="15.6">
      <c r="B496" s="134"/>
      <c r="C496" s="16"/>
      <c r="D496" s="137"/>
      <c r="E496" s="138"/>
      <c r="F496" s="138"/>
      <c r="G496" s="16"/>
      <c r="H496" s="112"/>
    </row>
    <row r="497" spans="2:8" ht="15.6">
      <c r="B497" s="134"/>
      <c r="C497" s="16"/>
      <c r="D497" s="137"/>
      <c r="E497" s="138"/>
      <c r="F497" s="138"/>
      <c r="G497" s="16"/>
      <c r="H497" s="112"/>
    </row>
    <row r="498" spans="2:8" ht="15.6">
      <c r="B498" s="134"/>
      <c r="C498" s="16"/>
      <c r="D498" s="137"/>
      <c r="E498" s="138"/>
      <c r="F498" s="138"/>
      <c r="G498" s="16"/>
      <c r="H498" s="112"/>
    </row>
    <row r="499" spans="2:8" ht="16.2" thickBot="1">
      <c r="B499" s="135"/>
      <c r="C499" s="17"/>
      <c r="D499" s="135"/>
      <c r="E499" s="139"/>
      <c r="F499" s="139"/>
      <c r="G499" s="17"/>
      <c r="H499" s="112"/>
    </row>
    <row r="500" spans="2:8" ht="16.2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2" thickBot="1">
      <c r="B501" s="5"/>
      <c r="C501" s="3"/>
      <c r="D501" s="5"/>
      <c r="E501" s="5"/>
      <c r="H501" s="112"/>
    </row>
    <row r="502" spans="2:8" ht="14.4" customHeight="1">
      <c r="B502" s="402" t="str">
        <f>AÑO!A45</f>
        <v>OTROS</v>
      </c>
      <c r="C502" s="403"/>
      <c r="D502" s="403"/>
      <c r="E502" s="403"/>
      <c r="F502" s="403"/>
      <c r="G502" s="404"/>
      <c r="H502" s="112"/>
    </row>
    <row r="503" spans="2:8" ht="15" customHeight="1" thickBot="1">
      <c r="B503" s="405"/>
      <c r="C503" s="406"/>
      <c r="D503" s="406"/>
      <c r="E503" s="406"/>
      <c r="F503" s="406"/>
      <c r="G503" s="407"/>
      <c r="H503" s="112"/>
    </row>
    <row r="504" spans="2:8" ht="15.6">
      <c r="B504" s="400" t="s">
        <v>8</v>
      </c>
      <c r="C504" s="401"/>
      <c r="D504" s="408" t="s">
        <v>9</v>
      </c>
      <c r="E504" s="408"/>
      <c r="F504" s="408"/>
      <c r="G504" s="401"/>
      <c r="H504" s="112"/>
    </row>
    <row r="505" spans="2:8" ht="15.6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6">
      <c r="B506" s="133"/>
      <c r="C506" s="19"/>
      <c r="D506" s="137">
        <v>25.25</v>
      </c>
      <c r="E506" s="138"/>
      <c r="F506" s="138"/>
      <c r="G506" s="16" t="s">
        <v>284</v>
      </c>
      <c r="H506" s="112"/>
    </row>
    <row r="507" spans="2:8" ht="15.6">
      <c r="B507" s="134"/>
      <c r="C507" s="16"/>
      <c r="D507" s="137"/>
      <c r="E507" s="138"/>
      <c r="F507" s="138"/>
      <c r="G507" s="16"/>
      <c r="H507" s="112"/>
    </row>
    <row r="508" spans="2:8" ht="15.6">
      <c r="B508" s="134"/>
      <c r="C508" s="16"/>
      <c r="D508" s="137"/>
      <c r="E508" s="138"/>
      <c r="F508" s="138"/>
      <c r="G508" s="16"/>
      <c r="H508" s="112"/>
    </row>
    <row r="509" spans="2:8" ht="15.6">
      <c r="B509" s="134"/>
      <c r="C509" s="16"/>
      <c r="D509" s="137"/>
      <c r="E509" s="138"/>
      <c r="F509" s="138"/>
      <c r="G509" s="16"/>
      <c r="H509" s="112"/>
    </row>
    <row r="510" spans="2:8" ht="15.6">
      <c r="B510" s="134"/>
      <c r="C510" s="16"/>
      <c r="D510" s="137"/>
      <c r="E510" s="138"/>
      <c r="F510" s="138"/>
      <c r="G510" s="16"/>
      <c r="H510" s="112"/>
    </row>
    <row r="511" spans="2:8" ht="15.6">
      <c r="B511" s="134"/>
      <c r="C511" s="16"/>
      <c r="D511" s="137"/>
      <c r="E511" s="138"/>
      <c r="F511" s="138"/>
      <c r="G511" s="16"/>
      <c r="H511" s="112"/>
    </row>
    <row r="512" spans="2:8" ht="15.6">
      <c r="B512" s="134"/>
      <c r="C512" s="16"/>
      <c r="D512" s="137"/>
      <c r="E512" s="138"/>
      <c r="F512" s="138"/>
      <c r="G512" s="16"/>
      <c r="H512" s="112"/>
    </row>
    <row r="513" spans="2:8" ht="15.6">
      <c r="B513" s="134"/>
      <c r="C513" s="16"/>
      <c r="D513" s="137"/>
      <c r="E513" s="138"/>
      <c r="F513" s="138"/>
      <c r="G513" s="16"/>
      <c r="H513" s="112"/>
    </row>
    <row r="514" spans="2:8" ht="15.6">
      <c r="B514" s="134"/>
      <c r="C514" s="16"/>
      <c r="D514" s="137"/>
      <c r="E514" s="138"/>
      <c r="F514" s="138"/>
      <c r="G514" s="16"/>
      <c r="H514" s="112"/>
    </row>
    <row r="515" spans="2:8" ht="15.6">
      <c r="B515" s="134"/>
      <c r="C515" s="16"/>
      <c r="D515" s="137"/>
      <c r="E515" s="138"/>
      <c r="F515" s="138"/>
      <c r="G515" s="16"/>
      <c r="H515" s="112"/>
    </row>
    <row r="516" spans="2:8" ht="15.6">
      <c r="B516" s="134"/>
      <c r="C516" s="16"/>
      <c r="D516" s="137"/>
      <c r="E516" s="138"/>
      <c r="F516" s="138"/>
      <c r="G516" s="16"/>
      <c r="H516" s="112"/>
    </row>
    <row r="517" spans="2:8" ht="15.6">
      <c r="B517" s="134"/>
      <c r="C517" s="16"/>
      <c r="D517" s="137"/>
      <c r="E517" s="138"/>
      <c r="F517" s="138"/>
      <c r="G517" s="16"/>
      <c r="H517" s="112"/>
    </row>
    <row r="518" spans="2:8" ht="15.6">
      <c r="B518" s="134"/>
      <c r="C518" s="16"/>
      <c r="D518" s="137"/>
      <c r="E518" s="138"/>
      <c r="F518" s="138"/>
      <c r="G518" s="16"/>
      <c r="H518" s="112"/>
    </row>
    <row r="519" spans="2:8" ht="16.2" thickBot="1">
      <c r="B519" s="135"/>
      <c r="C519" s="17"/>
      <c r="D519" s="135"/>
      <c r="E519" s="139"/>
      <c r="F519" s="139"/>
      <c r="G519" s="17"/>
      <c r="H519" s="112"/>
    </row>
    <row r="520" spans="2:8" ht="16.2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/>
    <hyperlink ref="I22:L23" location="AÑO!C7:F17" display="INGRESOS"/>
    <hyperlink ref="I2" location="Trimestre!C39:F40" display="TELÉFONO"/>
    <hyperlink ref="I2:L3" location="AÑO!C4:F5" display="SALDO REAL"/>
    <hyperlink ref="B2" location="Trimestre!C25:F26" display="HIPOTECA"/>
    <hyperlink ref="B2:G3" location="AÑO!C20:F20" display="AÑO!C20:F20"/>
    <hyperlink ref="B22" location="Trimestre!C25:F26" display="HIPOTECA"/>
    <hyperlink ref="B22:G23" location="AÑO!C21:F21" display="AÑO!C21:F21"/>
    <hyperlink ref="B42" location="Trimestre!C25:F26" display="HIPOTECA"/>
    <hyperlink ref="B42:G43" location="AÑO!C22:F22" display="AÑO!C22:F22"/>
    <hyperlink ref="B62" location="Trimestre!C25:F26" display="HIPOTECA"/>
    <hyperlink ref="B62:G63" location="AÑO!C23:F23" display="AÑO!C23:F23"/>
    <hyperlink ref="B82" location="Trimestre!C25:F26" display="HIPOTECA"/>
    <hyperlink ref="B82:G83" location="AÑO!C24:F24" display="AÑO!C24:F24"/>
    <hyperlink ref="B102" location="Trimestre!C25:F26" display="HIPOTECA"/>
    <hyperlink ref="B102:G103" location="AÑO!C25:F25" display="AÑO!C25:F25"/>
    <hyperlink ref="B122" location="Trimestre!C25:F26" display="HIPOTECA"/>
    <hyperlink ref="B122:G123" location="AÑO!C26:F26" display="AÑO!C26:F26"/>
    <hyperlink ref="B142" location="Trimestre!C25:F26" display="HIPOTECA"/>
    <hyperlink ref="B142:G143" location="AÑO!C27:F27" display="AÑO!C27:F27"/>
    <hyperlink ref="B162" location="Trimestre!C25:F26" display="HIPOTECA"/>
    <hyperlink ref="B162:G163" location="AÑO!C28:F28" display="AÑO!C28:F28"/>
    <hyperlink ref="B182" location="Trimestre!C25:F26" display="HIPOTECA"/>
    <hyperlink ref="B182:G183" location="AÑO!C29:F29" display="AÑO!C29:F29"/>
    <hyperlink ref="B202" location="Trimestre!C25:F26" display="HIPOTECA"/>
    <hyperlink ref="B202:G203" location="AÑO!C30:F30" display="AÑO!C30:F30"/>
    <hyperlink ref="B222" location="Trimestre!C25:F26" display="HIPOTECA"/>
    <hyperlink ref="B222:G223" location="AÑO!C31:F31" display="AÑO!C31:F31"/>
    <hyperlink ref="B242" location="Trimestre!C25:F26" display="HIPOTECA"/>
    <hyperlink ref="B242:G243" location="AÑO!C32:F32" display="AÑO!C32:F32"/>
    <hyperlink ref="B262" location="Trimestre!C25:F26" display="HIPOTECA"/>
    <hyperlink ref="B282" location="Trimestre!C25:F26" display="HIPOTECA"/>
    <hyperlink ref="B282:G283" location="AÑO!C34:F34" display="AÑO!C34:F34"/>
    <hyperlink ref="B302" location="Trimestre!C25:F26" display="HIPOTECA"/>
    <hyperlink ref="B302:G303" location="AÑO!C35:F35" display="AÑO!C35:F35"/>
    <hyperlink ref="B322" location="Trimestre!C25:F26" display="HIPOTECA"/>
    <hyperlink ref="B322:G323" location="AÑO!C36:F36" display="AÑO!C36:F36"/>
    <hyperlink ref="B342" location="Trimestre!C25:F26" display="HIPOTECA"/>
    <hyperlink ref="B342:G343" location="AÑO!C37:F37" display="AÑO!C37:F37"/>
    <hyperlink ref="B362" location="Trimestre!C25:F26" display="HIPOTECA"/>
    <hyperlink ref="B362:G363" location="AÑO!C38:F38" display="AÑO!C38:F38"/>
    <hyperlink ref="B382" location="Trimestre!C25:F26" display="HIPOTECA"/>
    <hyperlink ref="B382:G383" location="AÑO!C39:F39" display="AÑO!C39:F39"/>
    <hyperlink ref="B402" location="Trimestre!C25:F26" display="HIPOTECA"/>
    <hyperlink ref="B402:G403" location="AÑO!C40:F40" display="AÑO!C40:F40"/>
    <hyperlink ref="B422" location="Trimestre!C25:F26" display="HIPOTECA"/>
    <hyperlink ref="B422:G423" location="AÑO!C41:F41" display="AÑO!C41:F41"/>
    <hyperlink ref="B442" location="Trimestre!C25:F26" display="HIPOTECA"/>
    <hyperlink ref="B442:G443" location="AÑO!C42:F42" display="AÑO!C42:F42"/>
    <hyperlink ref="B462" location="Trimestre!C25:F26" display="HIPOTECA"/>
    <hyperlink ref="B462:G463" location="AÑO!C43:F43" display="AÑO!C43:F43"/>
    <hyperlink ref="B482" location="Trimestre!C25:F26" display="HIPOTECA"/>
    <hyperlink ref="B482:G483" location="AÑO!C44:F44" display="AÑO!C44:F44"/>
    <hyperlink ref="B502" location="Trimestre!C25:F26" display="HIPOTECA"/>
    <hyperlink ref="B502:G503" location="AÑO!C45:F45" display="AÑO!C45:F45"/>
    <hyperlink ref="B262:G263" location="AÑO!C33:F33" display="AÑO!C33:F33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4" zoomScaleNormal="100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" t="s">
        <v>220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8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f>2397.48-4.45</f>
        <v>2393.0300000000002</v>
      </c>
      <c r="L5" s="431"/>
      <c r="M5" s="1"/>
      <c r="N5" s="1"/>
      <c r="R5" s="3"/>
    </row>
    <row r="6" spans="1:22" ht="15.6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620.08000000000004</v>
      </c>
      <c r="L6" s="415"/>
      <c r="M6" s="1" t="s">
        <v>165</v>
      </c>
      <c r="N6" s="1"/>
      <c r="R6" s="3"/>
    </row>
    <row r="7" spans="1:22" ht="15.6">
      <c r="A7" s="112">
        <f>'01'!A7+(B7-SUM(D7:F7))</f>
        <v>579.63999999999987</v>
      </c>
      <c r="B7" s="134">
        <v>70.180000000000007</v>
      </c>
      <c r="C7" s="16" t="s">
        <v>199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4">
        <f>7340.23-4.45</f>
        <v>7335.78</v>
      </c>
      <c r="L7" s="415"/>
      <c r="M7" s="1"/>
      <c r="N7" s="1"/>
      <c r="R7" s="3"/>
    </row>
    <row r="8" spans="1:22" ht="15.6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7001.87</v>
      </c>
      <c r="L8" s="415"/>
      <c r="M8" s="1"/>
      <c r="N8" s="1"/>
      <c r="R8" s="3"/>
    </row>
    <row r="9" spans="1:22" ht="15.6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4">
        <v>669.52</v>
      </c>
      <c r="L9" s="415"/>
      <c r="M9" s="1"/>
      <c r="N9" s="1"/>
      <c r="R9" s="3"/>
    </row>
    <row r="10" spans="1:22" ht="15.6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160+155</f>
        <v>315</v>
      </c>
      <c r="L11" s="415"/>
      <c r="M11" s="1"/>
      <c r="N11" s="1"/>
      <c r="R11" s="3"/>
    </row>
    <row r="12" spans="1:22" ht="15.6">
      <c r="A12" s="112">
        <f>'01'!A12+(B12-SUM(D12:F12))</f>
        <v>88.04000000000002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6">
      <c r="A13" s="112">
        <f>'01'!A13+(B13-SUM(D13:F13))</f>
        <v>77</v>
      </c>
      <c r="B13" s="134">
        <v>7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6">
        <f>SUM(K5:K18)</f>
        <v>25229.379999999997</v>
      </c>
      <c r="L19" s="417"/>
      <c r="M19" s="1"/>
      <c r="N19" s="1"/>
      <c r="R19" s="3"/>
    </row>
    <row r="20" spans="1:18" ht="16.2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8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198">
        <v>2592.42</v>
      </c>
      <c r="M25" s="1"/>
      <c r="R25" s="3"/>
    </row>
    <row r="26" spans="1:18" ht="15.6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199"/>
      <c r="M26" s="1"/>
      <c r="R26" s="3"/>
    </row>
    <row r="27" spans="1:18" ht="15.6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20"/>
      <c r="J27" s="424"/>
      <c r="K27" s="425"/>
      <c r="L27" s="199"/>
      <c r="M27" s="1"/>
      <c r="R27" s="3"/>
    </row>
    <row r="28" spans="1:18" ht="15.6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199"/>
      <c r="M28" s="1"/>
      <c r="R28" s="3"/>
    </row>
    <row r="29" spans="1:18" ht="15.6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313</v>
      </c>
      <c r="K30" s="423"/>
      <c r="L30" s="198">
        <v>80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318</v>
      </c>
      <c r="K31" s="425"/>
      <c r="L31" s="199">
        <v>379.17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199">
        <v>181.09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 t="s">
        <v>313</v>
      </c>
      <c r="K33" s="425"/>
      <c r="L33" s="199">
        <v>120</v>
      </c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 t="s">
        <v>358</v>
      </c>
      <c r="K35" s="423"/>
      <c r="L35" s="198">
        <v>107.38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01"/>
      <c r="M39" s="1"/>
      <c r="R39" s="3"/>
    </row>
    <row r="40" spans="1:18" ht="16.2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19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19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199"/>
      <c r="M43" s="1"/>
      <c r="R43" s="3"/>
    </row>
    <row r="44" spans="1:18" ht="15.6">
      <c r="A44" s="1"/>
      <c r="B44" s="400" t="s">
        <v>8</v>
      </c>
      <c r="C44" s="401"/>
      <c r="D44" s="408" t="s">
        <v>9</v>
      </c>
      <c r="E44" s="408"/>
      <c r="F44" s="408"/>
      <c r="G44" s="401"/>
      <c r="H44" s="1"/>
      <c r="I44" s="421"/>
      <c r="J44" s="426"/>
      <c r="K44" s="427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160</v>
      </c>
      <c r="K45" s="423"/>
      <c r="L45" s="198">
        <v>600.04</v>
      </c>
      <c r="M45" s="1"/>
      <c r="R45" s="3"/>
    </row>
    <row r="46" spans="1:18" ht="15.6">
      <c r="A46" s="1"/>
      <c r="B46" s="133">
        <v>419.65</v>
      </c>
      <c r="C46" s="19"/>
      <c r="D46" s="137"/>
      <c r="E46" s="138"/>
      <c r="F46" s="138">
        <v>50</v>
      </c>
      <c r="G46" s="30" t="s">
        <v>306</v>
      </c>
      <c r="H46" s="1"/>
      <c r="I46" s="420"/>
      <c r="J46" s="424"/>
      <c r="K46" s="425"/>
      <c r="L46" s="199"/>
      <c r="M46" s="1"/>
      <c r="R46" s="3"/>
    </row>
    <row r="47" spans="1:18" ht="15.6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307</v>
      </c>
      <c r="H47" s="1"/>
      <c r="I47" s="420"/>
      <c r="J47" s="424"/>
      <c r="K47" s="425"/>
      <c r="L47" s="199"/>
      <c r="M47" s="1"/>
      <c r="R47" s="3"/>
    </row>
    <row r="48" spans="1:18" ht="15.6">
      <c r="A48" s="1"/>
      <c r="B48" s="134"/>
      <c r="C48" s="16"/>
      <c r="D48" s="137">
        <v>78</v>
      </c>
      <c r="E48" s="138"/>
      <c r="F48" s="138"/>
      <c r="G48" s="16" t="s">
        <v>311</v>
      </c>
      <c r="H48" s="1"/>
      <c r="I48" s="420"/>
      <c r="J48" s="424"/>
      <c r="K48" s="425"/>
      <c r="L48" s="199"/>
      <c r="M48" s="1"/>
      <c r="R48" s="3"/>
    </row>
    <row r="49" spans="1:18" ht="15.6">
      <c r="A49" s="1"/>
      <c r="B49" s="134"/>
      <c r="C49" s="16"/>
      <c r="D49" s="137">
        <v>59.09</v>
      </c>
      <c r="E49" s="138"/>
      <c r="F49" s="138"/>
      <c r="G49" s="16" t="s">
        <v>312</v>
      </c>
      <c r="H49" s="1"/>
      <c r="I49" s="421"/>
      <c r="J49" s="426"/>
      <c r="K49" s="427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323</v>
      </c>
      <c r="H50" s="1"/>
      <c r="I50" s="419" t="str">
        <f>AÑO!A13</f>
        <v>Gubernamental</v>
      </c>
      <c r="J50" s="422" t="s">
        <v>258</v>
      </c>
      <c r="K50" s="423"/>
      <c r="L50" s="198">
        <v>95.8</v>
      </c>
      <c r="M50" s="1"/>
      <c r="R50" s="3"/>
    </row>
    <row r="51" spans="1:18" ht="15.6">
      <c r="A51" s="1"/>
      <c r="B51" s="134"/>
      <c r="C51" s="16"/>
      <c r="D51" s="137">
        <v>13</v>
      </c>
      <c r="E51" s="138"/>
      <c r="F51" s="138"/>
      <c r="G51" s="16" t="s">
        <v>330</v>
      </c>
      <c r="H51" s="1"/>
      <c r="I51" s="420"/>
      <c r="J51" s="424"/>
      <c r="K51" s="425"/>
      <c r="L51" s="199"/>
      <c r="M51" s="1"/>
      <c r="R51" s="3"/>
    </row>
    <row r="52" spans="1:18" ht="15.6">
      <c r="A52" s="1"/>
      <c r="B52" s="134"/>
      <c r="C52" s="16"/>
      <c r="D52" s="137">
        <v>11.85</v>
      </c>
      <c r="E52" s="138"/>
      <c r="F52" s="138"/>
      <c r="G52" s="16" t="s">
        <v>331</v>
      </c>
      <c r="H52" s="1"/>
      <c r="I52" s="420"/>
      <c r="J52" s="424"/>
      <c r="K52" s="425"/>
      <c r="L52" s="199"/>
      <c r="M52" s="1"/>
      <c r="R52" s="3"/>
    </row>
    <row r="53" spans="1:18" ht="15.6">
      <c r="A53" s="1"/>
      <c r="B53" s="134"/>
      <c r="C53" s="16"/>
      <c r="D53" s="137">
        <f>25.68-D148+16.09</f>
        <v>25.77</v>
      </c>
      <c r="E53" s="138"/>
      <c r="F53" s="138"/>
      <c r="G53" s="16" t="s">
        <v>344</v>
      </c>
      <c r="H53" s="1"/>
      <c r="I53" s="420"/>
      <c r="J53" s="424"/>
      <c r="K53" s="425"/>
      <c r="L53" s="199"/>
      <c r="M53" s="1"/>
      <c r="R53" s="3"/>
    </row>
    <row r="54" spans="1:18" ht="15.6">
      <c r="A54" s="1"/>
      <c r="B54" s="134"/>
      <c r="C54" s="16"/>
      <c r="D54" s="137">
        <f>45.81+4.8</f>
        <v>50.61</v>
      </c>
      <c r="E54" s="138"/>
      <c r="F54" s="138"/>
      <c r="G54" s="16" t="s">
        <v>348</v>
      </c>
      <c r="H54" s="1"/>
      <c r="I54" s="421"/>
      <c r="J54" s="426"/>
      <c r="K54" s="427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349</v>
      </c>
      <c r="H55" s="1"/>
      <c r="I55" s="419" t="str">
        <f>AÑO!A14</f>
        <v>Mutualite/DKV</v>
      </c>
      <c r="J55" s="422"/>
      <c r="K55" s="423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19" t="str">
        <f>AÑO!A15</f>
        <v>Alquiler Cartama</v>
      </c>
      <c r="J60" s="422" t="s">
        <v>314</v>
      </c>
      <c r="K60" s="423"/>
      <c r="L60" s="198">
        <v>665.77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19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19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199"/>
      <c r="M63" s="1"/>
      <c r="R63" s="3"/>
    </row>
    <row r="64" spans="1:18" ht="15.6">
      <c r="A64" s="1"/>
      <c r="B64" s="400" t="s">
        <v>8</v>
      </c>
      <c r="C64" s="401"/>
      <c r="D64" s="408" t="s">
        <v>9</v>
      </c>
      <c r="E64" s="408"/>
      <c r="F64" s="408"/>
      <c r="G64" s="401"/>
      <c r="H64" s="1"/>
      <c r="I64" s="421"/>
      <c r="J64" s="426"/>
      <c r="K64" s="427"/>
      <c r="L64" s="201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198"/>
      <c r="M65" s="1"/>
      <c r="R65" s="3"/>
    </row>
    <row r="66" spans="1:18" ht="15.6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319</v>
      </c>
      <c r="H66" s="1"/>
      <c r="I66" s="420"/>
      <c r="J66" s="424"/>
      <c r="K66" s="425"/>
      <c r="L66" s="199"/>
      <c r="M66" s="1"/>
      <c r="R66" s="3"/>
    </row>
    <row r="67" spans="1:18" ht="15.6">
      <c r="A67" s="112"/>
      <c r="B67" s="134">
        <v>10</v>
      </c>
      <c r="C67" s="16"/>
      <c r="D67" s="137"/>
      <c r="E67" s="138"/>
      <c r="F67" s="138">
        <v>25</v>
      </c>
      <c r="G67" s="31" t="s">
        <v>333</v>
      </c>
      <c r="H67" s="1"/>
      <c r="I67" s="420"/>
      <c r="J67" s="424"/>
      <c r="K67" s="425"/>
      <c r="L67" s="199"/>
      <c r="M67" s="1"/>
      <c r="R67" s="3"/>
    </row>
    <row r="68" spans="1:18" ht="15.6">
      <c r="A68" s="112"/>
      <c r="B68" s="134"/>
      <c r="C68" s="16"/>
      <c r="D68" s="137">
        <v>35.840000000000003</v>
      </c>
      <c r="E68" s="138"/>
      <c r="F68" s="138"/>
      <c r="G68" s="16" t="s">
        <v>335</v>
      </c>
      <c r="H68" s="1"/>
      <c r="I68" s="420"/>
      <c r="J68" s="424"/>
      <c r="K68" s="425"/>
      <c r="L68" s="199"/>
      <c r="M68" s="1"/>
      <c r="R68" s="3"/>
    </row>
    <row r="69" spans="1:18" ht="16.2" thickBot="1">
      <c r="A69" s="112"/>
      <c r="B69" s="134"/>
      <c r="C69" s="16"/>
      <c r="D69" s="137">
        <f>24.9+6.8</f>
        <v>31.7</v>
      </c>
      <c r="E69" s="138"/>
      <c r="F69" s="138"/>
      <c r="G69" s="16" t="s">
        <v>340</v>
      </c>
      <c r="H69" s="1"/>
      <c r="I69" s="435"/>
      <c r="J69" s="436"/>
      <c r="K69" s="437"/>
      <c r="L69" s="200"/>
      <c r="M69" s="1"/>
      <c r="R69" s="3"/>
    </row>
    <row r="70" spans="1:18" ht="15.6">
      <c r="A70" s="112"/>
      <c r="B70" s="134"/>
      <c r="C70" s="16"/>
      <c r="D70" s="137">
        <f>35.5+26</f>
        <v>61.5</v>
      </c>
      <c r="E70" s="138"/>
      <c r="F70" s="138"/>
      <c r="G70" s="16" t="s">
        <v>352</v>
      </c>
      <c r="H70" s="1"/>
      <c r="M70" s="1"/>
      <c r="R70" s="3"/>
    </row>
    <row r="71" spans="1:18" ht="15.6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'01'!A79+(B79-SUM(D79:F79))</f>
        <v>40</v>
      </c>
      <c r="B79" s="233">
        <v>20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8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201</v>
      </c>
      <c r="D86" s="137">
        <v>48.45</v>
      </c>
      <c r="E86" s="138"/>
      <c r="F86" s="138"/>
      <c r="G86" s="16" t="s">
        <v>328</v>
      </c>
      <c r="H86" s="1"/>
      <c r="M86" s="1"/>
      <c r="R86" s="3"/>
    </row>
    <row r="87" spans="1:18" ht="15.6">
      <c r="A87" s="1"/>
      <c r="B87" s="134"/>
      <c r="C87" s="16"/>
      <c r="D87" s="137">
        <v>43.81</v>
      </c>
      <c r="E87" s="138"/>
      <c r="F87" s="138"/>
      <c r="G87" s="16" t="s">
        <v>343</v>
      </c>
      <c r="H87" s="1"/>
      <c r="M87" s="1"/>
      <c r="R87" s="3"/>
    </row>
    <row r="88" spans="1:18" ht="15.6">
      <c r="A88" s="1"/>
      <c r="B88" s="134"/>
      <c r="C88" s="16"/>
      <c r="D88" s="137">
        <v>1</v>
      </c>
      <c r="E88" s="138"/>
      <c r="F88" s="138"/>
      <c r="G88" s="16" t="s">
        <v>342</v>
      </c>
      <c r="H88" s="1"/>
      <c r="M88" s="1"/>
      <c r="R88" s="3"/>
    </row>
    <row r="89" spans="1:18" ht="15.6">
      <c r="A89" s="1"/>
      <c r="B89" s="134"/>
      <c r="C89" s="16"/>
      <c r="D89" s="137">
        <v>53.9</v>
      </c>
      <c r="E89" s="138"/>
      <c r="F89" s="138"/>
      <c r="G89" s="16" t="s">
        <v>356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'01'!A109+(B109-SUM(D109:F109))</f>
        <v>3019.1200000000008</v>
      </c>
      <c r="B109" s="134">
        <v>27.53</v>
      </c>
      <c r="C109" s="18" t="s">
        <v>204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D127+D128+'01'!I127</f>
        <v>45</v>
      </c>
      <c r="M127" s="1"/>
      <c r="R127" s="3"/>
    </row>
    <row r="128" spans="1:18" ht="15.6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307</v>
      </c>
      <c r="H146" s="1"/>
      <c r="M146" s="1"/>
      <c r="R146" s="3"/>
    </row>
    <row r="147" spans="1:22" ht="15.6">
      <c r="A147" s="1"/>
      <c r="B147" s="134"/>
      <c r="C147" s="16"/>
      <c r="D147" s="137">
        <v>5</v>
      </c>
      <c r="E147" s="138"/>
      <c r="F147" s="138"/>
      <c r="G147" s="16" t="s">
        <v>326</v>
      </c>
      <c r="H147" s="1"/>
      <c r="M147" s="1"/>
      <c r="R147" s="3"/>
    </row>
    <row r="148" spans="1:22" ht="15.6">
      <c r="A148" s="1"/>
      <c r="B148" s="134"/>
      <c r="C148" s="16"/>
      <c r="D148" s="137">
        <v>16</v>
      </c>
      <c r="E148" s="138"/>
      <c r="F148" s="138"/>
      <c r="G148" s="16" t="s">
        <v>339</v>
      </c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315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>
        <v>455.41</v>
      </c>
      <c r="F174" s="138"/>
      <c r="G174" s="16" t="s">
        <v>329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8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8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349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2:7" ht="15" customHeight="1" thickBot="1">
      <c r="B243" s="411"/>
      <c r="C243" s="412"/>
      <c r="D243" s="412"/>
      <c r="E243" s="412"/>
      <c r="F243" s="412"/>
      <c r="G243" s="413"/>
    </row>
    <row r="244" spans="2:7" ht="15" customHeight="1">
      <c r="B244" s="400" t="s">
        <v>8</v>
      </c>
      <c r="C244" s="401"/>
      <c r="D244" s="408" t="s">
        <v>9</v>
      </c>
      <c r="E244" s="408"/>
      <c r="F244" s="408"/>
      <c r="G244" s="40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349</v>
      </c>
    </row>
    <row r="247" spans="2:7" ht="15" customHeight="1">
      <c r="B247" s="134">
        <v>40</v>
      </c>
      <c r="C247" s="16" t="s">
        <v>360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2:7" ht="15" customHeight="1" thickBot="1">
      <c r="B263" s="411"/>
      <c r="C263" s="412"/>
      <c r="D263" s="412"/>
      <c r="E263" s="412"/>
      <c r="F263" s="412"/>
      <c r="G263" s="413"/>
    </row>
    <row r="264" spans="2:7">
      <c r="B264" s="400" t="s">
        <v>8</v>
      </c>
      <c r="C264" s="401"/>
      <c r="D264" s="408" t="s">
        <v>9</v>
      </c>
      <c r="E264" s="408"/>
      <c r="F264" s="408"/>
      <c r="G264" s="40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316</v>
      </c>
    </row>
    <row r="267" spans="2:7">
      <c r="B267" s="134"/>
      <c r="C267" s="16"/>
      <c r="D267" s="137">
        <v>10.45</v>
      </c>
      <c r="E267" s="138"/>
      <c r="F267" s="138"/>
      <c r="G267" s="16" t="s">
        <v>320</v>
      </c>
    </row>
    <row r="268" spans="2:7">
      <c r="B268" s="134"/>
      <c r="C268" s="16"/>
      <c r="D268" s="137"/>
      <c r="E268" s="138">
        <v>57.96</v>
      </c>
      <c r="F268" s="138"/>
      <c r="G268" s="16" t="s">
        <v>346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8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8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332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345</v>
      </c>
    </row>
    <row r="308" spans="2:7">
      <c r="B308" s="134">
        <v>61.11</v>
      </c>
      <c r="C308" s="27" t="s">
        <v>359</v>
      </c>
      <c r="D308" s="137">
        <v>11.12</v>
      </c>
      <c r="E308" s="138"/>
      <c r="F308" s="138"/>
      <c r="G308" s="16" t="s">
        <v>350</v>
      </c>
    </row>
    <row r="309" spans="2:7">
      <c r="B309" s="134"/>
      <c r="C309" s="16"/>
      <c r="D309" s="137">
        <v>6</v>
      </c>
      <c r="E309" s="138"/>
      <c r="F309" s="138"/>
      <c r="G309" s="16" t="s">
        <v>349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9"/>
      <c r="D322" s="409"/>
      <c r="E322" s="409"/>
      <c r="F322" s="409"/>
      <c r="G322" s="410"/>
    </row>
    <row r="323" spans="2:7" ht="15" customHeight="1" thickBot="1">
      <c r="B323" s="411"/>
      <c r="C323" s="412"/>
      <c r="D323" s="412"/>
      <c r="E323" s="412"/>
      <c r="F323" s="412"/>
      <c r="G323" s="413"/>
    </row>
    <row r="324" spans="2:7">
      <c r="B324" s="400" t="s">
        <v>8</v>
      </c>
      <c r="C324" s="401"/>
      <c r="D324" s="408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8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>
        <v>285.64999999999998</v>
      </c>
      <c r="E346" s="138"/>
      <c r="F346" s="138"/>
      <c r="G346" s="16" t="s">
        <v>317</v>
      </c>
    </row>
    <row r="347" spans="2:7">
      <c r="B347" s="134"/>
      <c r="C347" s="16"/>
      <c r="D347" s="137"/>
      <c r="E347" s="138"/>
      <c r="F347" s="138">
        <v>30</v>
      </c>
      <c r="G347" s="16" t="s">
        <v>341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8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326</v>
      </c>
    </row>
    <row r="368" spans="2:7">
      <c r="B368" s="134"/>
      <c r="C368" s="16"/>
      <c r="D368" s="137">
        <v>60</v>
      </c>
      <c r="E368" s="138"/>
      <c r="F368" s="138"/>
      <c r="G368" s="16" t="s">
        <v>334</v>
      </c>
    </row>
    <row r="369" spans="2:7">
      <c r="B369" s="134"/>
      <c r="C369" s="16"/>
      <c r="D369" s="137">
        <v>26.58</v>
      </c>
      <c r="E369" s="138"/>
      <c r="F369" s="138"/>
      <c r="G369" s="16" t="s">
        <v>338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9"/>
      <c r="D382" s="409"/>
      <c r="E382" s="409"/>
      <c r="F382" s="409"/>
      <c r="G382" s="410"/>
    </row>
    <row r="383" spans="2:7" ht="15" customHeight="1" thickBot="1">
      <c r="B383" s="411"/>
      <c r="C383" s="412"/>
      <c r="D383" s="412"/>
      <c r="E383" s="412"/>
      <c r="F383" s="412"/>
      <c r="G383" s="413"/>
    </row>
    <row r="384" spans="2:7">
      <c r="B384" s="400" t="s">
        <v>8</v>
      </c>
      <c r="C384" s="401"/>
      <c r="D384" s="408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8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272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" thickBot="1">
      <c r="B419" s="135"/>
      <c r="C419" s="17"/>
      <c r="D419" s="135"/>
      <c r="E419" s="139"/>
      <c r="F419" s="139"/>
      <c r="G419" s="17"/>
    </row>
    <row r="420" spans="1:8" ht="1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" thickBot="1">
      <c r="B421" s="5"/>
      <c r="C421" s="3"/>
      <c r="D421" s="5"/>
      <c r="E421" s="5"/>
    </row>
    <row r="422" spans="1:8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8" ht="15" customHeight="1" thickBot="1">
      <c r="B423" s="405"/>
      <c r="C423" s="406"/>
      <c r="D423" s="406"/>
      <c r="E423" s="406"/>
      <c r="F423" s="406"/>
      <c r="G423" s="407"/>
    </row>
    <row r="424" spans="1:8">
      <c r="B424" s="400" t="s">
        <v>8</v>
      </c>
      <c r="C424" s="401"/>
      <c r="D424" s="408" t="s">
        <v>9</v>
      </c>
      <c r="E424" s="408"/>
      <c r="F424" s="408"/>
      <c r="G424" s="401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355</v>
      </c>
    </row>
    <row r="426" spans="1:8" ht="15.6">
      <c r="A426" s="112">
        <v>3900</v>
      </c>
      <c r="B426" s="134">
        <f>A425-SUM(A426:A439)</f>
        <v>120.06999999999971</v>
      </c>
      <c r="C426" s="19" t="s">
        <v>233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6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308</v>
      </c>
    </row>
    <row r="468" spans="1:7" ht="15.6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8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/>
    <hyperlink ref="I22:L23" location="AÑO!G7:J17" display="INGRESOS"/>
    <hyperlink ref="I2" location="Trimestre!C39:F40" display="TELÉFONO"/>
    <hyperlink ref="I2:L3" location="AÑO!G4:J5" display="SALDO REAL"/>
    <hyperlink ref="B2" location="Trimestre!C25:F26" display="HIPOTECA"/>
    <hyperlink ref="B2:G3" location="AÑO!G20:J20" display="AÑO!G20:J20"/>
    <hyperlink ref="B22" location="Trimestre!C25:F26" display="HIPOTECA"/>
    <hyperlink ref="B22:G23" location="AÑO!G21:J21" display="AÑO!G21:J21"/>
    <hyperlink ref="B42" location="Trimestre!C25:F26" display="HIPOTECA"/>
    <hyperlink ref="B42:G43" location="AÑO!G22:J22" display="AÑO!G22:J22"/>
    <hyperlink ref="B62" location="Trimestre!C25:F26" display="HIPOTECA"/>
    <hyperlink ref="B62:G63" location="AÑO!G23:J23" display="AÑO!G23:J23"/>
    <hyperlink ref="B82" location="Trimestre!C25:F26" display="HIPOTECA"/>
    <hyperlink ref="B82:G83" location="AÑO!G24:J24" display="AÑO!G24:J24"/>
    <hyperlink ref="B102" location="Trimestre!C25:F26" display="HIPOTECA"/>
    <hyperlink ref="B102:G103" location="AÑO!G25:J25" display="AÑO!G25:J25"/>
    <hyperlink ref="B122" location="Trimestre!C25:F26" display="HIPOTECA"/>
    <hyperlink ref="B122:G123" location="AÑO!G26:J26" display="AÑO!G26:J26"/>
    <hyperlink ref="B142" location="Trimestre!C25:F26" display="HIPOTECA"/>
    <hyperlink ref="B142:G143" location="AÑO!G27:J27" display="AÑO!G27:J27"/>
    <hyperlink ref="B162" location="Trimestre!C25:F26" display="HIPOTECA"/>
    <hyperlink ref="B162:G163" location="AÑO!G28:J28" display="AÑO!G28:J28"/>
    <hyperlink ref="B182" location="Trimestre!C25:F26" display="HIPOTECA"/>
    <hyperlink ref="B182:G183" location="AÑO!G29:J29" display="AÑO!G29:J29"/>
    <hyperlink ref="B202" location="Trimestre!C25:F26" display="HIPOTECA"/>
    <hyperlink ref="B202:G203" location="AÑO!G30:J30" display="AÑO!G30:J30"/>
    <hyperlink ref="B222" location="Trimestre!C25:F26" display="HIPOTECA"/>
    <hyperlink ref="B222:G223" location="AÑO!G31:J31" display="AÑO!G31:J31"/>
    <hyperlink ref="B242" location="Trimestre!C25:F26" display="HIPOTECA"/>
    <hyperlink ref="B242:G243" location="AÑO!G32:J32" display="AÑO!G32:J32"/>
    <hyperlink ref="B262" location="Trimestre!C25:F26" display="HIPOTECA"/>
    <hyperlink ref="B262:G263" location="AÑO!G33:J33" display="AÑO!G33:J33"/>
    <hyperlink ref="B282" location="Trimestre!C25:F26" display="HIPOTECA"/>
    <hyperlink ref="B282:G283" location="AÑO!G34:J34" display="AÑO!G34:J34"/>
    <hyperlink ref="B302" location="Trimestre!C25:F26" display="HIPOTECA"/>
    <hyperlink ref="B302:G303" location="AÑO!G35:J35" display="AÑO!G35:J35"/>
    <hyperlink ref="B322" location="Trimestre!C25:F26" display="HIPOTECA"/>
    <hyperlink ref="B322:G323" location="AÑO!G36:J36" display="AÑO!G36:J36"/>
    <hyperlink ref="B342" location="Trimestre!C25:F26" display="HIPOTECA"/>
    <hyperlink ref="B342:G343" location="AÑO!G37:J37" display="AÑO!G37:J37"/>
    <hyperlink ref="B362" location="Trimestre!C25:F26" display="HIPOTECA"/>
    <hyperlink ref="B362:G363" location="AÑO!G38:J38" display="AÑO!G38:J38"/>
    <hyperlink ref="B382" location="Trimestre!C25:F26" display="HIPOTECA"/>
    <hyperlink ref="B382:G383" location="AÑO!G39:J39" display="AÑO!G39:J39"/>
    <hyperlink ref="B402" location="Trimestre!C25:F26" display="HIPOTECA"/>
    <hyperlink ref="B402:G403" location="AÑO!G40:J40" display="AÑO!G40:J40"/>
    <hyperlink ref="B422" location="Trimestre!C25:F26" display="HIPOTECA"/>
    <hyperlink ref="B422:G423" location="AÑO!G41:J41" display="AÑO!G41:J41"/>
    <hyperlink ref="B442" location="Trimestre!C25:F26" display="HIPOTECA"/>
    <hyperlink ref="B442:G443" location="AÑO!G42:J42" display="AÑO!G42:J42"/>
    <hyperlink ref="B462" location="Trimestre!C25:F26" display="HIPOTECA"/>
    <hyperlink ref="B462:G463" location="AÑO!G43:J43" display="AÑO!G43:J43"/>
    <hyperlink ref="B482" location="Trimestre!C25:F26" display="HIPOTECA"/>
    <hyperlink ref="B482:G483" location="AÑO!G44:J44" display="AÑO!G44:J44"/>
    <hyperlink ref="B502" location="Trimestre!C25:F26" display="HIPOTECA"/>
    <hyperlink ref="B502:G503" location="AÑO!G45:J45" display="AÑO!G45:J45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9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8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1559.34</v>
      </c>
      <c r="L5" s="431"/>
      <c r="M5" s="1"/>
      <c r="N5" s="1"/>
      <c r="R5" s="3"/>
    </row>
    <row r="6" spans="1:22" ht="15.6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620.08000000000004</v>
      </c>
      <c r="L6" s="415"/>
      <c r="M6" s="1" t="s">
        <v>165</v>
      </c>
      <c r="N6" s="1"/>
      <c r="R6" s="3"/>
    </row>
    <row r="7" spans="1:22" ht="15.6">
      <c r="A7" s="112">
        <f>'02'!A7+(B7-SUM(D7:F7))</f>
        <v>-98.710000000000036</v>
      </c>
      <c r="B7" s="134">
        <v>70.180000000000007</v>
      </c>
      <c r="C7" s="16" t="s">
        <v>199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14">
        <v>8577.0300000000007</v>
      </c>
      <c r="L7" s="415"/>
      <c r="M7" s="1"/>
      <c r="N7" s="1"/>
      <c r="R7" s="3"/>
    </row>
    <row r="8" spans="1:22" ht="15.6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3501.87</v>
      </c>
      <c r="L8" s="415"/>
      <c r="M8" s="1"/>
      <c r="N8" s="1"/>
      <c r="R8" s="3"/>
    </row>
    <row r="9" spans="1:22" ht="15.6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14">
        <v>4167.34</v>
      </c>
      <c r="L9" s="415"/>
      <c r="M9" s="1"/>
      <c r="N9" s="1"/>
      <c r="R9" s="3"/>
    </row>
    <row r="10" spans="1:22" ht="15.6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255</v>
      </c>
      <c r="L11" s="415"/>
      <c r="M11" s="1"/>
      <c r="N11" s="1"/>
      <c r="R11" s="3"/>
    </row>
    <row r="12" spans="1:22" ht="15.6">
      <c r="A12" s="112">
        <f>'02'!A12+(B12-SUM(D12:F12))</f>
        <v>113.04000000000002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6">
      <c r="A13" s="112">
        <f>'02'!A13+(B13-SUM(D13:F13))</f>
        <v>5</v>
      </c>
      <c r="B13" s="134">
        <v>7</v>
      </c>
      <c r="C13" s="16" t="s">
        <v>325</v>
      </c>
      <c r="D13" s="137"/>
      <c r="E13" s="138">
        <v>79</v>
      </c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6">
        <f>SUM(K5:K18)</f>
        <v>25574.760000000002</v>
      </c>
      <c r="L19" s="417"/>
      <c r="M19" s="1"/>
      <c r="N19" s="1"/>
      <c r="R19" s="3"/>
    </row>
    <row r="20" spans="1:18" ht="16.2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8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198">
        <v>2526.87</v>
      </c>
      <c r="M25" s="1"/>
      <c r="R25" s="3"/>
    </row>
    <row r="26" spans="1:18" ht="15.6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199"/>
      <c r="M26" s="1"/>
      <c r="R26" s="3"/>
    </row>
    <row r="27" spans="1:18" ht="15.6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20"/>
      <c r="J27" s="424"/>
      <c r="K27" s="425"/>
      <c r="L27" s="199"/>
      <c r="M27" s="1"/>
      <c r="R27" s="3"/>
    </row>
    <row r="28" spans="1:18" ht="15.6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199"/>
      <c r="M28" s="1"/>
      <c r="R28" s="3"/>
    </row>
    <row r="29" spans="1:18" ht="15.6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361</v>
      </c>
      <c r="K30" s="423"/>
      <c r="L30" s="198">
        <v>40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237</v>
      </c>
      <c r="K31" s="425"/>
      <c r="L31" s="199">
        <v>315.7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199">
        <v>160.74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198">
        <v>91.73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01"/>
      <c r="M39" s="1"/>
      <c r="R39" s="3"/>
    </row>
    <row r="40" spans="1:18" ht="16.2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19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19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199"/>
      <c r="M43" s="1"/>
      <c r="R43" s="3"/>
    </row>
    <row r="44" spans="1:18" ht="15.6">
      <c r="A44" s="1"/>
      <c r="B44" s="400" t="s">
        <v>8</v>
      </c>
      <c r="C44" s="401"/>
      <c r="D44" s="408" t="s">
        <v>9</v>
      </c>
      <c r="E44" s="408"/>
      <c r="F44" s="408"/>
      <c r="G44" s="401"/>
      <c r="H44" s="1"/>
      <c r="I44" s="421"/>
      <c r="J44" s="426"/>
      <c r="K44" s="427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378</v>
      </c>
      <c r="K45" s="423"/>
      <c r="L45" s="198">
        <v>100</v>
      </c>
      <c r="M45" s="1"/>
      <c r="R45" s="3"/>
    </row>
    <row r="46" spans="1:18" ht="15.6">
      <c r="A46" s="1"/>
      <c r="B46" s="133">
        <v>409.65</v>
      </c>
      <c r="C46" s="19"/>
      <c r="D46" s="137">
        <v>94.81</v>
      </c>
      <c r="E46" s="138"/>
      <c r="F46" s="138"/>
      <c r="G46" s="30" t="s">
        <v>362</v>
      </c>
      <c r="H46" s="1"/>
      <c r="I46" s="420"/>
      <c r="J46" s="424" t="s">
        <v>160</v>
      </c>
      <c r="K46" s="425"/>
      <c r="L46" s="199">
        <v>280</v>
      </c>
      <c r="M46" s="112">
        <f>600.04-L46</f>
        <v>320.03999999999996</v>
      </c>
      <c r="R46" s="3"/>
    </row>
    <row r="47" spans="1:18" ht="15.6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363</v>
      </c>
      <c r="H47" s="1"/>
      <c r="I47" s="420"/>
      <c r="J47" s="424"/>
      <c r="K47" s="425"/>
      <c r="L47" s="199"/>
      <c r="M47" s="1"/>
      <c r="R47" s="3"/>
    </row>
    <row r="48" spans="1:18" ht="15.6">
      <c r="A48" s="1"/>
      <c r="B48" s="134"/>
      <c r="C48" s="16"/>
      <c r="D48" s="137">
        <v>14.98</v>
      </c>
      <c r="E48" s="138"/>
      <c r="F48" s="138"/>
      <c r="G48" s="16" t="s">
        <v>370</v>
      </c>
      <c r="H48" s="1"/>
      <c r="I48" s="420"/>
      <c r="J48" s="424"/>
      <c r="K48" s="425"/>
      <c r="L48" s="199"/>
      <c r="M48" s="1"/>
      <c r="R48" s="3"/>
    </row>
    <row r="49" spans="1:18" ht="15.6">
      <c r="A49" s="1"/>
      <c r="B49" s="134"/>
      <c r="C49" s="16"/>
      <c r="D49" s="137">
        <f>43.52+7.87-D67</f>
        <v>26.39</v>
      </c>
      <c r="E49" s="138"/>
      <c r="F49" s="138"/>
      <c r="G49" s="16" t="s">
        <v>374</v>
      </c>
      <c r="H49" s="1"/>
      <c r="I49" s="421"/>
      <c r="J49" s="426"/>
      <c r="K49" s="427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373</v>
      </c>
      <c r="H50" s="1"/>
      <c r="I50" s="419" t="str">
        <f>AÑO!A13</f>
        <v>Gubernamental</v>
      </c>
      <c r="J50" s="422" t="s">
        <v>258</v>
      </c>
      <c r="K50" s="423"/>
      <c r="L50" s="198">
        <v>95.8</v>
      </c>
      <c r="M50" s="1"/>
      <c r="R50" s="3"/>
    </row>
    <row r="51" spans="1:18" ht="15.6">
      <c r="A51" s="1"/>
      <c r="B51" s="134"/>
      <c r="C51" s="16"/>
      <c r="D51" s="137">
        <f>50.78-D247</f>
        <v>36.78</v>
      </c>
      <c r="E51" s="138"/>
      <c r="F51" s="138"/>
      <c r="G51" s="16" t="s">
        <v>380</v>
      </c>
      <c r="H51" s="1"/>
      <c r="I51" s="420"/>
      <c r="J51" s="424" t="s">
        <v>416</v>
      </c>
      <c r="K51" s="425"/>
      <c r="L51" s="199">
        <v>4421.9399999999996</v>
      </c>
      <c r="M51" s="1"/>
      <c r="R51" s="3"/>
    </row>
    <row r="52" spans="1:18" ht="15.6">
      <c r="A52" s="1"/>
      <c r="B52" s="134"/>
      <c r="C52" s="16"/>
      <c r="D52" s="137">
        <f>53.36-D147</f>
        <v>23.36</v>
      </c>
      <c r="E52" s="138"/>
      <c r="F52" s="138"/>
      <c r="G52" s="16" t="s">
        <v>385</v>
      </c>
      <c r="H52" s="1"/>
      <c r="I52" s="420"/>
      <c r="J52" s="424"/>
      <c r="K52" s="425"/>
      <c r="L52" s="199"/>
      <c r="M52" s="1"/>
      <c r="R52" s="3"/>
    </row>
    <row r="53" spans="1:18" ht="15.6">
      <c r="A53" s="1"/>
      <c r="B53" s="134"/>
      <c r="C53" s="16"/>
      <c r="D53" s="137">
        <f>10.5+3.1</f>
        <v>13.6</v>
      </c>
      <c r="E53" s="138"/>
      <c r="F53" s="138"/>
      <c r="G53" s="16" t="s">
        <v>386</v>
      </c>
      <c r="H53" s="1"/>
      <c r="I53" s="420"/>
      <c r="J53" s="424"/>
      <c r="K53" s="425"/>
      <c r="L53" s="199"/>
      <c r="M53" s="1"/>
      <c r="R53" s="3"/>
    </row>
    <row r="54" spans="1:18" ht="15.6">
      <c r="A54" s="1"/>
      <c r="B54" s="134"/>
      <c r="C54" s="16"/>
      <c r="D54" s="137">
        <v>9.9499999999999993</v>
      </c>
      <c r="E54" s="138"/>
      <c r="F54" s="138"/>
      <c r="G54" s="16" t="s">
        <v>406</v>
      </c>
      <c r="H54" s="1"/>
      <c r="I54" s="421"/>
      <c r="J54" s="426"/>
      <c r="K54" s="427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420</v>
      </c>
      <c r="H55" s="1"/>
      <c r="I55" s="419" t="str">
        <f>AÑO!A14</f>
        <v>Mutualite/DKV</v>
      </c>
      <c r="J55" s="438" t="str">
        <f>G306</f>
        <v>12/03 Chirec</v>
      </c>
      <c r="K55" s="423"/>
      <c r="L55" s="198">
        <v>9.44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365</v>
      </c>
      <c r="K60" s="423"/>
      <c r="L60" s="198">
        <v>682.39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19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19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199"/>
      <c r="M63" s="1"/>
      <c r="R63" s="3"/>
    </row>
    <row r="64" spans="1:18" ht="15.6">
      <c r="A64" s="1"/>
      <c r="B64" s="400" t="s">
        <v>8</v>
      </c>
      <c r="C64" s="401"/>
      <c r="D64" s="408" t="s">
        <v>9</v>
      </c>
      <c r="E64" s="408"/>
      <c r="F64" s="408"/>
      <c r="G64" s="401"/>
      <c r="H64" s="1"/>
      <c r="I64" s="421"/>
      <c r="J64" s="426"/>
      <c r="K64" s="427"/>
      <c r="L64" s="201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198"/>
      <c r="M65" s="1"/>
      <c r="R65" s="3"/>
    </row>
    <row r="66" spans="1:18" ht="15.6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364</v>
      </c>
      <c r="H66" s="1"/>
      <c r="I66" s="420"/>
      <c r="J66" s="424"/>
      <c r="K66" s="425"/>
      <c r="L66" s="199"/>
      <c r="M66" s="1"/>
      <c r="R66" s="3"/>
    </row>
    <row r="67" spans="1:18" ht="15.6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372</v>
      </c>
      <c r="H67" s="1"/>
      <c r="I67" s="420"/>
      <c r="J67" s="424"/>
      <c r="K67" s="425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>
        <f>17</f>
        <v>17</v>
      </c>
      <c r="G68" s="16" t="s">
        <v>376</v>
      </c>
      <c r="H68" s="1"/>
      <c r="I68" s="420"/>
      <c r="J68" s="424"/>
      <c r="K68" s="425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>
        <v>21</v>
      </c>
      <c r="G69" s="16" t="s">
        <v>387</v>
      </c>
      <c r="H69" s="1"/>
      <c r="I69" s="435"/>
      <c r="J69" s="436"/>
      <c r="K69" s="437"/>
      <c r="L69" s="200"/>
      <c r="M69" s="1"/>
      <c r="R69" s="3"/>
    </row>
    <row r="70" spans="1:18" ht="15.6">
      <c r="A70" s="1"/>
      <c r="B70" s="134"/>
      <c r="C70" s="16"/>
      <c r="D70" s="137">
        <v>27.57</v>
      </c>
      <c r="E70" s="138"/>
      <c r="F70" s="138"/>
      <c r="G70" s="16" t="s">
        <v>389</v>
      </c>
      <c r="H70" s="1"/>
      <c r="M70" s="1"/>
      <c r="R70" s="3"/>
    </row>
    <row r="71" spans="1:18" ht="15.6">
      <c r="A71" s="1"/>
      <c r="B71" s="134"/>
      <c r="C71" s="16"/>
      <c r="D71" s="137">
        <v>17.45</v>
      </c>
      <c r="E71" s="138"/>
      <c r="F71" s="138"/>
      <c r="G71" s="16" t="s">
        <v>419</v>
      </c>
      <c r="H71" s="1"/>
      <c r="M71" s="1"/>
      <c r="R71" s="3"/>
    </row>
    <row r="72" spans="1:18" ht="15.6">
      <c r="A72" s="1"/>
      <c r="B72" s="134"/>
      <c r="C72" s="16"/>
      <c r="D72" s="137">
        <v>17.5</v>
      </c>
      <c r="E72" s="138"/>
      <c r="F72" s="138"/>
      <c r="G72" s="16" t="s">
        <v>421</v>
      </c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366</v>
      </c>
      <c r="H78" s="1" t="s">
        <v>160</v>
      </c>
      <c r="M78" s="1"/>
      <c r="R78" s="3"/>
    </row>
    <row r="79" spans="1:18" ht="16.2" thickBot="1">
      <c r="A79" s="112">
        <f>'02'!A79+(B79-SUM(D79:F79))</f>
        <v>50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8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201</v>
      </c>
      <c r="D86" s="137">
        <v>49.03</v>
      </c>
      <c r="E86" s="138"/>
      <c r="F86" s="138"/>
      <c r="G86" s="16" t="s">
        <v>391</v>
      </c>
      <c r="H86" s="1"/>
      <c r="M86" s="1"/>
      <c r="R86" s="3"/>
    </row>
    <row r="87" spans="1:18" ht="15.6">
      <c r="A87" s="1"/>
      <c r="B87" s="134">
        <v>10</v>
      </c>
      <c r="C87" s="16"/>
      <c r="D87" s="137">
        <v>50.06</v>
      </c>
      <c r="E87" s="138"/>
      <c r="F87" s="138"/>
      <c r="G87" s="16" t="s">
        <v>392</v>
      </c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>
        <v>2</v>
      </c>
      <c r="G88" s="16" t="s">
        <v>393</v>
      </c>
      <c r="H88" s="1"/>
      <c r="M88" s="1"/>
      <c r="R88" s="3"/>
    </row>
    <row r="89" spans="1:18" ht="15.6">
      <c r="A89" s="1"/>
      <c r="B89" s="134"/>
      <c r="C89" s="16"/>
      <c r="D89" s="137">
        <v>5</v>
      </c>
      <c r="E89" s="138"/>
      <c r="F89" s="138"/>
      <c r="G89" s="16" t="s">
        <v>397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'02'!A109+(B109-SUM(D109:F109))</f>
        <v>1776.6500000000008</v>
      </c>
      <c r="B109" s="134">
        <f>37.53-1370+80+10</f>
        <v>-1242.47</v>
      </c>
      <c r="C109" s="18" t="s">
        <v>413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877</v>
      </c>
      <c r="I127" s="113">
        <f>D127+D128+'02'!I127</f>
        <v>60</v>
      </c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371</v>
      </c>
      <c r="H146" s="1"/>
      <c r="M146" s="1"/>
      <c r="R146" s="3"/>
    </row>
    <row r="147" spans="1:22" ht="15.6">
      <c r="A147" s="1"/>
      <c r="B147" s="134"/>
      <c r="C147" s="16"/>
      <c r="D147" s="137">
        <v>30</v>
      </c>
      <c r="E147" s="138"/>
      <c r="F147" s="138"/>
      <c r="G147" s="16" t="s">
        <v>385</v>
      </c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409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8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383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407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8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" thickBot="1">
      <c r="B241" s="5"/>
      <c r="C241" s="3"/>
      <c r="D241" s="5"/>
      <c r="E241" s="5"/>
    </row>
    <row r="242" spans="1:8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8" ht="15" customHeight="1" thickBot="1">
      <c r="B243" s="411"/>
      <c r="C243" s="412"/>
      <c r="D243" s="412"/>
      <c r="E243" s="412"/>
      <c r="F243" s="412"/>
      <c r="G243" s="413"/>
    </row>
    <row r="244" spans="1:8" ht="15" customHeight="1">
      <c r="B244" s="400" t="s">
        <v>8</v>
      </c>
      <c r="C244" s="401"/>
      <c r="D244" s="408" t="s">
        <v>9</v>
      </c>
      <c r="E244" s="408"/>
      <c r="F244" s="408"/>
      <c r="G244" s="401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377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381</v>
      </c>
    </row>
    <row r="248" spans="1:8" ht="15.6">
      <c r="A248" s="112"/>
      <c r="B248" s="134"/>
      <c r="C248" s="16"/>
      <c r="D248" s="137">
        <v>19.07</v>
      </c>
      <c r="E248" s="138"/>
      <c r="F248" s="138"/>
      <c r="G248" s="16" t="s">
        <v>398</v>
      </c>
    </row>
    <row r="249" spans="1:8" ht="15.6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6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6">
      <c r="A256" s="112">
        <f>(B256-SUM(D256:F256))</f>
        <v>10</v>
      </c>
      <c r="B256" s="134">
        <v>10</v>
      </c>
      <c r="C256" s="16" t="s">
        <v>408</v>
      </c>
      <c r="D256" s="137"/>
      <c r="E256" s="138"/>
      <c r="F256" s="138"/>
      <c r="G256" s="16"/>
      <c r="H256" s="113"/>
    </row>
    <row r="257" spans="1:7" ht="15.6">
      <c r="A257" s="112">
        <f t="shared" ref="A257:A259" si="0">(B257-SUM(D257:F257))</f>
        <v>60</v>
      </c>
      <c r="B257" s="134">
        <v>60</v>
      </c>
      <c r="C257" s="16" t="s">
        <v>404</v>
      </c>
      <c r="D257" s="137"/>
      <c r="E257" s="138"/>
      <c r="F257" s="138"/>
      <c r="G257" s="16"/>
    </row>
    <row r="258" spans="1:7" ht="15.6">
      <c r="A258" s="112">
        <f t="shared" si="0"/>
        <v>20</v>
      </c>
      <c r="B258" s="134">
        <v>20</v>
      </c>
      <c r="C258" s="16" t="s">
        <v>402</v>
      </c>
      <c r="D258" s="137"/>
      <c r="E258" s="138"/>
      <c r="F258" s="138"/>
      <c r="G258" s="16"/>
    </row>
    <row r="259" spans="1:7" ht="16.2" thickBot="1">
      <c r="A259" s="112">
        <f t="shared" si="0"/>
        <v>10</v>
      </c>
      <c r="B259" s="135">
        <v>10</v>
      </c>
      <c r="C259" s="17" t="s">
        <v>403</v>
      </c>
      <c r="D259" s="135"/>
      <c r="E259" s="139"/>
      <c r="F259" s="139"/>
      <c r="G259" s="17"/>
    </row>
    <row r="260" spans="1:7" ht="1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" thickBot="1">
      <c r="B261" s="5"/>
      <c r="C261" s="3"/>
      <c r="D261" s="5"/>
      <c r="E261" s="5"/>
    </row>
    <row r="262" spans="1:7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7" ht="15" customHeight="1" thickBot="1">
      <c r="B263" s="411"/>
      <c r="C263" s="412"/>
      <c r="D263" s="412"/>
      <c r="E263" s="412"/>
      <c r="F263" s="412"/>
      <c r="G263" s="413"/>
    </row>
    <row r="264" spans="1:7">
      <c r="B264" s="400" t="s">
        <v>8</v>
      </c>
      <c r="C264" s="401"/>
      <c r="D264" s="408" t="s">
        <v>9</v>
      </c>
      <c r="E264" s="408"/>
      <c r="F264" s="408"/>
      <c r="G264" s="40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367</v>
      </c>
    </row>
    <row r="267" spans="1:7">
      <c r="B267" s="134">
        <v>4021.94</v>
      </c>
      <c r="C267" s="16" t="s">
        <v>416</v>
      </c>
      <c r="D267" s="137"/>
      <c r="E267" s="138"/>
      <c r="F267" s="138">
        <v>15</v>
      </c>
      <c r="G267" s="16" t="s">
        <v>422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8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8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379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394</v>
      </c>
    </row>
    <row r="308" spans="2:7">
      <c r="B308" s="134">
        <f>L55</f>
        <v>9.44</v>
      </c>
      <c r="C308" s="27" t="s">
        <v>405</v>
      </c>
      <c r="D308" s="137">
        <v>8.27</v>
      </c>
      <c r="E308" s="138"/>
      <c r="F308" s="138"/>
      <c r="G308" s="16" t="s">
        <v>395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415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417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9"/>
      <c r="D322" s="409"/>
      <c r="E322" s="409"/>
      <c r="F322" s="409"/>
      <c r="G322" s="410"/>
    </row>
    <row r="323" spans="2:7" ht="15" customHeight="1" thickBot="1">
      <c r="B323" s="411"/>
      <c r="C323" s="412"/>
      <c r="D323" s="412"/>
      <c r="E323" s="412"/>
      <c r="F323" s="412"/>
      <c r="G323" s="413"/>
    </row>
    <row r="324" spans="2:7">
      <c r="B324" s="400" t="s">
        <v>8</v>
      </c>
      <c r="C324" s="401"/>
      <c r="D324" s="408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390</v>
      </c>
    </row>
    <row r="327" spans="2:7">
      <c r="B327" s="134">
        <v>100</v>
      </c>
      <c r="C327" s="16" t="s">
        <v>378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8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>
        <v>16</v>
      </c>
      <c r="E346" s="138"/>
      <c r="F346" s="138"/>
      <c r="G346" s="16" t="s">
        <v>368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369</v>
      </c>
    </row>
    <row r="348" spans="2:7">
      <c r="B348" s="134"/>
      <c r="C348" s="16"/>
      <c r="D348" s="137">
        <v>16</v>
      </c>
      <c r="E348" s="138"/>
      <c r="F348" s="138"/>
      <c r="G348" s="16" t="s">
        <v>382</v>
      </c>
    </row>
    <row r="349" spans="2:7">
      <c r="B349" s="134"/>
      <c r="C349" s="16"/>
      <c r="D349" s="137">
        <v>10</v>
      </c>
      <c r="E349" s="138"/>
      <c r="F349" s="138"/>
      <c r="G349" s="16" t="s">
        <v>383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8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9"/>
      <c r="D382" s="409"/>
      <c r="E382" s="409"/>
      <c r="F382" s="409"/>
      <c r="G382" s="410"/>
    </row>
    <row r="383" spans="2:7" ht="15" customHeight="1" thickBot="1">
      <c r="B383" s="411"/>
      <c r="C383" s="412"/>
      <c r="D383" s="412"/>
      <c r="E383" s="412"/>
      <c r="F383" s="412"/>
      <c r="G383" s="413"/>
    </row>
    <row r="384" spans="2:7">
      <c r="B384" s="400" t="s">
        <v>8</v>
      </c>
      <c r="C384" s="401"/>
      <c r="D384" s="408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8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272</v>
      </c>
    </row>
    <row r="407" spans="2:7">
      <c r="B407" s="134">
        <v>-984.2</v>
      </c>
      <c r="C407" s="16" t="s">
        <v>411</v>
      </c>
      <c r="D407" s="137">
        <v>44.93</v>
      </c>
      <c r="E407" s="138"/>
      <c r="F407" s="138"/>
      <c r="G407" s="16" t="s">
        <v>410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8" t="s">
        <v>9</v>
      </c>
      <c r="E424" s="408"/>
      <c r="F424" s="408"/>
      <c r="G424" s="401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-119.16000000000167</v>
      </c>
      <c r="C426" s="19" t="s">
        <v>233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6">
      <c r="A466" s="112">
        <f>'02'!A466+(B466-SUM(D466:F466))</f>
        <v>50</v>
      </c>
      <c r="B466" s="134">
        <v>-500</v>
      </c>
      <c r="C466" s="16" t="s">
        <v>412</v>
      </c>
      <c r="D466" s="137"/>
      <c r="E466" s="138"/>
      <c r="F466" s="138"/>
      <c r="G466" s="16"/>
    </row>
    <row r="467" spans="1:9" ht="15.6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6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" thickBot="1">
      <c r="B479" s="135"/>
      <c r="C479" s="17"/>
      <c r="D479" s="135"/>
      <c r="E479" s="139"/>
      <c r="F479" s="139"/>
      <c r="G479" s="17"/>
    </row>
    <row r="480" spans="1:9" ht="1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8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/>
    <hyperlink ref="I22:L23" location="AÑO!K7:N17" display="INGRESOS"/>
    <hyperlink ref="I2" location="Trimestre!C39:F40" display="TELÉFONO"/>
    <hyperlink ref="I2:L3" location="AÑO!K4:N5" display="SALDO REAL"/>
    <hyperlink ref="B2" location="Trimestre!C25:F26" display="HIPOTECA"/>
    <hyperlink ref="B2:G3" location="AÑO!K20:N20" display="AÑO!K20:N20"/>
    <hyperlink ref="B22" location="Trimestre!C25:F26" display="HIPOTECA"/>
    <hyperlink ref="B22:G23" location="AÑO!K21:N21" display="AÑO!K21:N21"/>
    <hyperlink ref="B42" location="Trimestre!C25:F26" display="HIPOTECA"/>
    <hyperlink ref="B42:G43" location="AÑO!K22:N22" display="AÑO!K22:N22"/>
    <hyperlink ref="B62" location="Trimestre!C25:F26" display="HIPOTECA"/>
    <hyperlink ref="B62:G63" location="AÑO!K23:N23" display="AÑO!K23:N23"/>
    <hyperlink ref="B82" location="Trimestre!C25:F26" display="HIPOTECA"/>
    <hyperlink ref="B82:G83" location="AÑO!K24:N24" display="AÑO!K24:N24"/>
    <hyperlink ref="B102" location="Trimestre!C25:F26" display="HIPOTECA"/>
    <hyperlink ref="B102:G103" location="AÑO!K25:N25" display="AÑO!K25:N25"/>
    <hyperlink ref="B122" location="Trimestre!C25:F26" display="HIPOTECA"/>
    <hyperlink ref="B122:G123" location="AÑO!K26:N26" display="AÑO!K26:N26"/>
    <hyperlink ref="B142" location="Trimestre!C25:F26" display="HIPOTECA"/>
    <hyperlink ref="B142:G143" location="AÑO!K27:N27" display="AÑO!K27:N27"/>
    <hyperlink ref="B162" location="Trimestre!C25:F26" display="HIPOTECA"/>
    <hyperlink ref="B162:G163" location="AÑO!K28:N28" display="AÑO!K28:N28"/>
    <hyperlink ref="B182" location="Trimestre!C25:F26" display="HIPOTECA"/>
    <hyperlink ref="B182:G183" location="AÑO!K29:N29" display="AÑO!K29:N29"/>
    <hyperlink ref="B202" location="Trimestre!C25:F26" display="HIPOTECA"/>
    <hyperlink ref="B202:G203" location="AÑO!K30:N30" display="AÑO!K30:N30"/>
    <hyperlink ref="B222" location="Trimestre!C25:F26" display="HIPOTECA"/>
    <hyperlink ref="B222:G223" location="AÑO!K31:N31" display="AÑO!K31:N31"/>
    <hyperlink ref="B242" location="Trimestre!C25:F26" display="HIPOTECA"/>
    <hyperlink ref="B242:G243" location="AÑO!K32:N32" display="AÑO!K32:N32"/>
    <hyperlink ref="B262" location="Trimestre!C25:F26" display="HIPOTECA"/>
    <hyperlink ref="B262:G263" location="AÑO!K33:N33" display="AÑO!K33:N33"/>
    <hyperlink ref="B282" location="Trimestre!C25:F26" display="HIPOTECA"/>
    <hyperlink ref="B282:G283" location="AÑO!K34:N34" display="AÑO!K34:N34"/>
    <hyperlink ref="B302" location="Trimestre!C25:F26" display="HIPOTECA"/>
    <hyperlink ref="B302:G303" location="AÑO!K35:N35" display="AÑO!K35:N35"/>
    <hyperlink ref="B322" location="Trimestre!C25:F26" display="HIPOTECA"/>
    <hyperlink ref="B322:G323" location="AÑO!K36:N36" display="AÑO!K36:N36"/>
    <hyperlink ref="B342" location="Trimestre!C25:F26" display="HIPOTECA"/>
    <hyperlink ref="B342:G343" location="AÑO!K37:N37" display="AÑO!K37:N37"/>
    <hyperlink ref="B362" location="Trimestre!C25:F26" display="HIPOTECA"/>
    <hyperlink ref="B362:G363" location="AÑO!K38:N38" display="AÑO!K38:N38"/>
    <hyperlink ref="B382" location="Trimestre!C25:F26" display="HIPOTECA"/>
    <hyperlink ref="B382:G383" location="AÑO!K39:N39" display="AÑO!K39:N39"/>
    <hyperlink ref="B402" location="Trimestre!C25:F26" display="HIPOTECA"/>
    <hyperlink ref="B402:G403" location="AÑO!K40:N40" display="AÑO!K40:N40"/>
    <hyperlink ref="B422" location="Trimestre!C25:F26" display="HIPOTECA"/>
    <hyperlink ref="B422:G423" location="AÑO!K41:N41" display="AÑO!K41:N41"/>
    <hyperlink ref="B442" location="Trimestre!C25:F26" display="HIPOTECA"/>
    <hyperlink ref="B442:G443" location="AÑO!K42:N42" display="AÑO!K42:N42"/>
    <hyperlink ref="B462" location="Trimestre!C25:F26" display="HIPOTECA"/>
    <hyperlink ref="B462:G463" location="AÑO!K43:N43" display="AÑO!K43:N43"/>
    <hyperlink ref="B482" location="Trimestre!C25:F26" display="HIPOTECA"/>
    <hyperlink ref="B482:G483" location="AÑO!K44:N44" display="AÑO!K44:N44"/>
    <hyperlink ref="B502" location="Trimestre!C25:F26" display="HIPOTECA"/>
    <hyperlink ref="B502:G503" location="AÑO!K45:N45" display="AÑO!K45:N45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5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861.84</v>
      </c>
      <c r="L5" s="431"/>
      <c r="M5" s="1"/>
      <c r="N5" s="1"/>
      <c r="R5" s="3"/>
    </row>
    <row r="6" spans="1:22" ht="15.6">
      <c r="A6" s="112">
        <f>'03'!A6+(B6-SUM(D6:F6))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620.08000000000004</v>
      </c>
      <c r="L6" s="415"/>
      <c r="M6" s="1" t="s">
        <v>165</v>
      </c>
      <c r="N6" s="1"/>
      <c r="R6" s="3"/>
    </row>
    <row r="7" spans="1:22" ht="15.6">
      <c r="A7" s="112">
        <f>'03'!A7+(B7-SUM(D7:F7))</f>
        <v>-31.520000000000039</v>
      </c>
      <c r="B7" s="134">
        <v>67.19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10075.709999999999</v>
      </c>
      <c r="L7" s="415"/>
      <c r="M7" s="1"/>
      <c r="N7" s="1"/>
      <c r="R7" s="3"/>
    </row>
    <row r="8" spans="1:22" ht="15.6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3501.87</v>
      </c>
      <c r="L8" s="415"/>
      <c r="M8" s="1"/>
      <c r="N8" s="1"/>
      <c r="R8" s="3"/>
    </row>
    <row r="9" spans="1:22" ht="15.6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35.96</v>
      </c>
      <c r="L9" s="415"/>
      <c r="M9" s="1"/>
      <c r="N9" s="1"/>
      <c r="R9" s="3"/>
    </row>
    <row r="10" spans="1:22" ht="15.6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370</v>
      </c>
      <c r="L11" s="415"/>
      <c r="M11" s="1"/>
      <c r="N11" s="1"/>
      <c r="R11" s="3"/>
    </row>
    <row r="12" spans="1:22" ht="15.6">
      <c r="A12" s="112">
        <f>'03'!A12+(B12-SUM(D12:F12))</f>
        <v>138.04000000000002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5092.08+4084.2</f>
        <v>9176.2799999999988</v>
      </c>
      <c r="L12" s="415"/>
      <c r="M12" s="92"/>
      <c r="N12" s="1"/>
      <c r="R12" s="3"/>
    </row>
    <row r="13" spans="1:22" ht="15.6">
      <c r="A13" s="112">
        <f>'03'!A13+(B13-SUM(D13:F13))</f>
        <v>11.5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26443.759999999998</v>
      </c>
      <c r="L19" s="440"/>
      <c r="M19" s="1"/>
      <c r="N19" s="1"/>
      <c r="R19" s="3"/>
    </row>
    <row r="20" spans="1:18" ht="16.2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2570.56</v>
      </c>
      <c r="M25" s="1">
        <f>16*1.09</f>
        <v>17.440000000000001</v>
      </c>
      <c r="R25" s="3"/>
    </row>
    <row r="26" spans="1:18" ht="15.6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361</v>
      </c>
      <c r="K30" s="423"/>
      <c r="L30" s="231">
        <v>30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429</v>
      </c>
      <c r="K31" s="425"/>
      <c r="L31" s="229">
        <v>286.92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229">
        <v>190.62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>
        <v>204.23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423</v>
      </c>
      <c r="K40" s="423"/>
      <c r="L40" s="231">
        <v>3.75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443</v>
      </c>
      <c r="K41" s="425"/>
      <c r="L41" s="229">
        <v>352.82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 t="s">
        <v>60</v>
      </c>
      <c r="K42" s="425"/>
      <c r="L42" s="229">
        <v>0.02</v>
      </c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6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444</v>
      </c>
      <c r="H46" s="1"/>
      <c r="I46" s="420"/>
      <c r="J46" s="424"/>
      <c r="K46" s="425"/>
      <c r="L46" s="229"/>
      <c r="M46" s="1"/>
      <c r="R46" s="3"/>
    </row>
    <row r="47" spans="1:18" ht="15.6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450</v>
      </c>
      <c r="H47" s="1"/>
      <c r="I47" s="420"/>
      <c r="J47" s="424"/>
      <c r="K47" s="425"/>
      <c r="L47" s="229"/>
      <c r="M47" s="1"/>
      <c r="R47" s="3"/>
    </row>
    <row r="48" spans="1:18" ht="15.6">
      <c r="A48" s="1"/>
      <c r="B48" s="134">
        <v>40</v>
      </c>
      <c r="C48" s="16" t="s">
        <v>428</v>
      </c>
      <c r="D48" s="137">
        <v>5.35</v>
      </c>
      <c r="E48" s="138"/>
      <c r="F48" s="138"/>
      <c r="G48" s="16" t="s">
        <v>455</v>
      </c>
      <c r="H48" s="1"/>
      <c r="I48" s="420"/>
      <c r="J48" s="424"/>
      <c r="K48" s="425"/>
      <c r="L48" s="229"/>
      <c r="M48" s="1"/>
      <c r="R48" s="3"/>
    </row>
    <row r="49" spans="1:18" ht="15.6">
      <c r="A49" s="1"/>
      <c r="B49" s="134"/>
      <c r="C49" s="16" t="s">
        <v>460</v>
      </c>
      <c r="D49" s="137"/>
      <c r="E49" s="138"/>
      <c r="F49" s="138"/>
      <c r="G49" s="16"/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>
        <v>-146</v>
      </c>
      <c r="C50" s="16" t="s">
        <v>463</v>
      </c>
      <c r="D50" s="137"/>
      <c r="E50" s="138"/>
      <c r="F50" s="138"/>
      <c r="G50" s="16"/>
      <c r="H50" s="1"/>
      <c r="I50" s="419" t="str">
        <f>AÑO!A13</f>
        <v>Gubernamental</v>
      </c>
      <c r="J50" s="422" t="s">
        <v>432</v>
      </c>
      <c r="K50" s="423"/>
      <c r="L50" s="231">
        <v>95.8</v>
      </c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38" t="str">
        <f>'03'!G307</f>
        <v>22/03 Chirec</v>
      </c>
      <c r="K55" s="423"/>
      <c r="L55" s="231">
        <v>9.44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41" t="str">
        <f>'03'!G309</f>
        <v>26/03 Ginecologa</v>
      </c>
      <c r="K56" s="425"/>
      <c r="L56" s="229">
        <v>14.27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 t="s">
        <v>447</v>
      </c>
      <c r="K57" s="425"/>
      <c r="L57" s="229">
        <v>14.27</v>
      </c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/>
      <c r="K60" s="423"/>
      <c r="L60" s="231">
        <v>550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451</v>
      </c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>
        <v>-50</v>
      </c>
      <c r="C67" s="16" t="s">
        <v>463</v>
      </c>
      <c r="D67" s="137">
        <v>41</v>
      </c>
      <c r="E67" s="138"/>
      <c r="F67" s="138"/>
      <c r="G67" s="31" t="s">
        <v>457</v>
      </c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'03'!A79+(B79-SUM(D79:F79))</f>
        <v>60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201</v>
      </c>
      <c r="D86" s="137">
        <v>57.56</v>
      </c>
      <c r="E86" s="138"/>
      <c r="F86" s="138"/>
      <c r="G86" s="16" t="s">
        <v>441</v>
      </c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>
        <v>2</v>
      </c>
      <c r="G87" s="16" t="s">
        <v>458</v>
      </c>
      <c r="H87" s="1"/>
      <c r="M87" s="1"/>
      <c r="R87" s="3"/>
    </row>
    <row r="88" spans="1:18" ht="15.6">
      <c r="A88" s="1"/>
      <c r="B88" s="134"/>
      <c r="C88" s="16"/>
      <c r="D88" s="137">
        <v>53.83</v>
      </c>
      <c r="E88" s="138"/>
      <c r="F88" s="138"/>
      <c r="G88" s="16" t="s">
        <v>464</v>
      </c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453</v>
      </c>
      <c r="H108" s="1"/>
      <c r="M108" s="1"/>
      <c r="R108" s="3"/>
    </row>
    <row r="109" spans="1:18" ht="15.6">
      <c r="A109" s="112">
        <f>'03'!A109+(B109+B110+B111-SUM(D110:F119))</f>
        <v>3332.5300000000007</v>
      </c>
      <c r="B109" s="134">
        <v>67.53</v>
      </c>
      <c r="C109" s="18" t="s">
        <v>454</v>
      </c>
      <c r="D109" s="137">
        <v>11</v>
      </c>
      <c r="E109" s="138"/>
      <c r="F109" s="138">
        <v>3</v>
      </c>
      <c r="G109" s="31" t="s">
        <v>459</v>
      </c>
      <c r="H109" s="1"/>
      <c r="M109" s="1"/>
      <c r="R109" s="3"/>
    </row>
    <row r="110" spans="1:18" ht="15.6">
      <c r="B110" s="134">
        <v>1370</v>
      </c>
      <c r="C110" s="18" t="s">
        <v>442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>
        <v>118.35</v>
      </c>
      <c r="C111" s="27" t="s">
        <v>443</v>
      </c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D127+D128+'03'!I127</f>
        <v>80</v>
      </c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425</v>
      </c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433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>
        <v>7.5</v>
      </c>
      <c r="F168" s="138"/>
      <c r="G168" s="16" t="s">
        <v>438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>
        <v>230</v>
      </c>
      <c r="G169" s="16" t="s">
        <v>439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>
        <v>492.46</v>
      </c>
      <c r="E170" s="138"/>
      <c r="F170" s="138"/>
      <c r="G170" s="16" t="s">
        <v>445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>
        <v>7.5</v>
      </c>
      <c r="F171" s="138"/>
      <c r="G171" s="16" t="s">
        <v>449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>
        <v>97.2</v>
      </c>
      <c r="F172" s="138"/>
      <c r="G172" s="16" t="s">
        <v>462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-40</v>
      </c>
      <c r="C187" s="16" t="s">
        <v>427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'03'!A256+(B256-SUM(D256:F256))</f>
        <v>15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7" ht="15.6">
      <c r="A257" s="112">
        <f>'03'!A257+(B257-SUM(D257:F257))</f>
        <v>269.13</v>
      </c>
      <c r="B257" s="134">
        <f>40+169.13</f>
        <v>209.13</v>
      </c>
      <c r="C257" s="16" t="s">
        <v>430</v>
      </c>
      <c r="D257" s="137"/>
      <c r="E257" s="138"/>
      <c r="F257" s="138"/>
      <c r="G257" s="16"/>
    </row>
    <row r="258" spans="1:7" ht="15.6">
      <c r="A258" s="112">
        <f>'03'!A258+(B258-SUM(D258:F258))</f>
        <v>25</v>
      </c>
      <c r="B258" s="134">
        <v>5</v>
      </c>
      <c r="C258" s="16" t="s">
        <v>402</v>
      </c>
      <c r="D258" s="137"/>
      <c r="E258" s="138"/>
      <c r="F258" s="138"/>
      <c r="G258" s="16"/>
    </row>
    <row r="259" spans="1:7" ht="16.2" thickBot="1">
      <c r="A259" s="112">
        <f>'03'!A259+(B259-SUM(D259:F259))</f>
        <v>15</v>
      </c>
      <c r="B259" s="135">
        <v>5</v>
      </c>
      <c r="C259" s="17" t="s">
        <v>403</v>
      </c>
      <c r="D259" s="135"/>
      <c r="E259" s="139"/>
      <c r="F259" s="139"/>
      <c r="G259" s="17"/>
    </row>
    <row r="260" spans="1:7" ht="16.2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" thickBot="1">
      <c r="B261" s="5"/>
      <c r="C261" s="3"/>
      <c r="D261" s="5"/>
      <c r="E261" s="5"/>
    </row>
    <row r="262" spans="1:7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7" ht="15" customHeight="1" thickBot="1">
      <c r="B263" s="411"/>
      <c r="C263" s="412"/>
      <c r="D263" s="412"/>
      <c r="E263" s="412"/>
      <c r="F263" s="412"/>
      <c r="G263" s="413"/>
    </row>
    <row r="264" spans="1:7">
      <c r="B264" s="400" t="s">
        <v>8</v>
      </c>
      <c r="C264" s="401"/>
      <c r="D264" s="400" t="s">
        <v>9</v>
      </c>
      <c r="E264" s="408"/>
      <c r="F264" s="408"/>
      <c r="G264" s="40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426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431</v>
      </c>
    </row>
    <row r="287" spans="2:8">
      <c r="B287" s="134"/>
      <c r="C287" s="16"/>
      <c r="D287" s="137">
        <v>9.65</v>
      </c>
      <c r="E287" s="138"/>
      <c r="F287" s="138"/>
      <c r="G287" s="16" t="s">
        <v>437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446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>
        <f>37.5+37.5</f>
        <v>75</v>
      </c>
      <c r="E306" s="138"/>
      <c r="F306" s="138"/>
      <c r="G306" s="16" t="s">
        <v>461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440</v>
      </c>
    </row>
    <row r="308" spans="2:7">
      <c r="B308" s="134">
        <f>L55+L56+L57</f>
        <v>37.980000000000004</v>
      </c>
      <c r="C308" s="27" t="s">
        <v>465</v>
      </c>
      <c r="D308" s="137"/>
      <c r="E308" s="138"/>
      <c r="F308" s="138">
        <v>50</v>
      </c>
      <c r="G308" s="16" t="s">
        <v>447</v>
      </c>
    </row>
    <row r="309" spans="2:7">
      <c r="B309" s="134"/>
      <c r="C309" s="16"/>
      <c r="D309" s="137">
        <v>63.9</v>
      </c>
      <c r="E309" s="138"/>
      <c r="F309" s="138"/>
      <c r="G309" s="16" t="s">
        <v>467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0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0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442</v>
      </c>
      <c r="D387" s="137"/>
      <c r="E387" s="138"/>
      <c r="F387" s="138"/>
      <c r="G387" s="16"/>
    </row>
    <row r="388" spans="2:7">
      <c r="B388" s="134">
        <v>106.26</v>
      </c>
      <c r="C388" s="27" t="s">
        <v>443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424</v>
      </c>
    </row>
    <row r="407" spans="2:7">
      <c r="B407" s="134">
        <v>3.75</v>
      </c>
      <c r="C407" s="16" t="s">
        <v>423</v>
      </c>
      <c r="D407" s="137"/>
      <c r="E407" s="138">
        <f>10+10</f>
        <v>20</v>
      </c>
      <c r="F407" s="138"/>
      <c r="G407" s="16" t="s">
        <v>448</v>
      </c>
    </row>
    <row r="408" spans="2:7">
      <c r="B408" s="134">
        <v>984.2</v>
      </c>
      <c r="C408" s="18" t="s">
        <v>442</v>
      </c>
      <c r="D408" s="137"/>
      <c r="E408" s="138"/>
      <c r="F408" s="138"/>
      <c r="G408" s="16"/>
    </row>
    <row r="409" spans="2:7">
      <c r="B409" s="134">
        <v>85.02</v>
      </c>
      <c r="C409" s="27" t="s">
        <v>443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-176.09999999999854</v>
      </c>
      <c r="C426" s="19" t="s">
        <v>233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466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'03'!A466+(B466+B469-SUM(D466:F466))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'03'!A467+(B467-SUM(D467:F467))</f>
        <v>275.22999999999996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6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442</v>
      </c>
      <c r="D469" s="137"/>
      <c r="E469" s="138"/>
      <c r="F469" s="138"/>
      <c r="G469" s="16"/>
    </row>
    <row r="470" spans="1:7">
      <c r="B470" s="134">
        <v>43.19</v>
      </c>
      <c r="C470" s="27" t="s">
        <v>443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O4:R5" display="SALDO REAL"/>
    <hyperlink ref="B2" location="Trimestre!C25:F26" display="HIPOTECA"/>
    <hyperlink ref="B2:G3" location="AÑO!O20:R20" display="AÑO!O20:R20"/>
    <hyperlink ref="I22" location="Trimestre!C39:F40" display="TELÉFONO"/>
    <hyperlink ref="I22:L23" location="AÑO!O7:R17" display="INGRESOS"/>
    <hyperlink ref="B22" location="Trimestre!C25:F26" display="HIPOTECA"/>
    <hyperlink ref="B22:G23" location="AÑO!O21:R21" display="AÑO!O21:R21"/>
    <hyperlink ref="B42" location="Trimestre!C25:F26" display="HIPOTECA"/>
    <hyperlink ref="B42:G43" location="AÑO!O22:R22" display="AÑO!O22:R22"/>
    <hyperlink ref="B62" location="Trimestre!C25:F26" display="HIPOTECA"/>
    <hyperlink ref="B62:G63" location="AÑO!O23:R23" display="AÑO!O23:R23"/>
    <hyperlink ref="B82" location="Trimestre!C25:F26" display="HIPOTECA"/>
    <hyperlink ref="B82:G83" location="AÑO!O24:R24" display="AÑO!O24:R24"/>
    <hyperlink ref="B102" location="Trimestre!C25:F26" display="HIPOTECA"/>
    <hyperlink ref="B102:G103" location="AÑO!O25:R25" display="AÑO!O25:R25"/>
    <hyperlink ref="B122" location="Trimestre!C25:F26" display="HIPOTECA"/>
    <hyperlink ref="B122:G123" location="AÑO!O26:R26" display="AÑO!O26:R26"/>
    <hyperlink ref="B142" location="Trimestre!C25:F26" display="HIPOTECA"/>
    <hyperlink ref="B142:G143" location="AÑO!O27:R27" display="AÑO!O27:R27"/>
    <hyperlink ref="B162" location="Trimestre!C25:F26" display="HIPOTECA"/>
    <hyperlink ref="B162:G163" location="AÑO!O28:R28" display="AÑO!O28:R28"/>
    <hyperlink ref="B182" location="Trimestre!C25:F26" display="HIPOTECA"/>
    <hyperlink ref="B182:G183" location="AÑO!O29:R29" display="AÑO!O29:R29"/>
    <hyperlink ref="B202" location="Trimestre!C25:F26" display="HIPOTECA"/>
    <hyperlink ref="B202:G203" location="AÑO!O30:R30" display="AÑO!O30:R30"/>
    <hyperlink ref="B222" location="Trimestre!C25:F26" display="HIPOTECA"/>
    <hyperlink ref="B222:G223" location="AÑO!O31:R31" display="AÑO!O31:R31"/>
    <hyperlink ref="B242" location="Trimestre!C25:F26" display="HIPOTECA"/>
    <hyperlink ref="B242:G243" location="AÑO!O32:R32" display="AÑO!O32:R32"/>
    <hyperlink ref="B262" location="Trimestre!C25:F26" display="HIPOTECA"/>
    <hyperlink ref="B262:G263" location="AÑO!O33:R33" display="AÑO!O33:R33"/>
    <hyperlink ref="B282" location="Trimestre!C25:F26" display="HIPOTECA"/>
    <hyperlink ref="B282:G283" location="AÑO!O34:R34" display="AÑO!O34:R34"/>
    <hyperlink ref="B302" location="Trimestre!C25:F26" display="HIPOTECA"/>
    <hyperlink ref="B302:G303" location="AÑO!O35:R35" display="AÑO!O35:R35"/>
    <hyperlink ref="B322" location="Trimestre!C25:F26" display="HIPOTECA"/>
    <hyperlink ref="B322:G323" location="AÑO!O36:R36" display="AÑO!O36:R36"/>
    <hyperlink ref="B342" location="Trimestre!C25:F26" display="HIPOTECA"/>
    <hyperlink ref="B342:G343" location="AÑO!O37:R37" display="AÑO!O37:R37"/>
    <hyperlink ref="B362" location="Trimestre!C25:F26" display="HIPOTECA"/>
    <hyperlink ref="B362:G363" location="AÑO!O38:R38" display="AÑO!O38:R38"/>
    <hyperlink ref="B382" location="Trimestre!C25:F26" display="HIPOTECA"/>
    <hyperlink ref="B382:G383" location="AÑO!O39:R39" display="AÑO!O39:R39"/>
    <hyperlink ref="B402" location="Trimestre!C25:F26" display="HIPOTECA"/>
    <hyperlink ref="B402:G403" location="AÑO!O40:R40" display="AÑO!O40:R40"/>
    <hyperlink ref="B422" location="Trimestre!C25:F26" display="HIPOTECA"/>
    <hyperlink ref="B422:G423" location="AÑO!O41:R41" display="AÑO!O41:R41"/>
    <hyperlink ref="B442" location="Trimestre!C25:F26" display="HIPOTECA"/>
    <hyperlink ref="B442:G443" location="AÑO!O42:R42" display="AÑO!O42:R42"/>
    <hyperlink ref="B462" location="Trimestre!C25:F26" display="HIPOTECA"/>
    <hyperlink ref="B462:G463" location="AÑO!O43:R43" display="AÑO!O43:R43"/>
    <hyperlink ref="B482" location="Trimestre!C25:F26" display="HIPOTECA"/>
    <hyperlink ref="B482:G483" location="AÑO!O44:R44" display="AÑO!O44:R44"/>
    <hyperlink ref="B502" location="Trimestre!C25:F26" display="HIPOTECA"/>
    <hyperlink ref="B502:G503" location="AÑO!O45:R45" display="AÑO!O45:R45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3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1773.93</v>
      </c>
      <c r="L5" s="431"/>
      <c r="M5" s="1"/>
      <c r="N5" s="1"/>
      <c r="R5" s="3"/>
    </row>
    <row r="6" spans="1:22" ht="15.6">
      <c r="A6" s="112">
        <f>'04'!A6+(B6-SUM(D6:F6))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</v>
      </c>
      <c r="L6" s="415"/>
      <c r="M6" s="1" t="s">
        <v>165</v>
      </c>
      <c r="N6" s="1"/>
      <c r="R6" s="3"/>
    </row>
    <row r="7" spans="1:22" ht="15.6">
      <c r="A7" s="112">
        <f>'04'!A7+(B7-SUM(D7:F7))</f>
        <v>35.669999999999959</v>
      </c>
      <c r="B7" s="134">
        <v>67.19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7144.52</v>
      </c>
      <c r="L7" s="415"/>
      <c r="M7" s="1"/>
      <c r="N7" s="1"/>
      <c r="R7" s="3"/>
    </row>
    <row r="8" spans="1:22" ht="15.6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10005.620000000001</v>
      </c>
      <c r="L8" s="415"/>
      <c r="M8" s="1"/>
      <c r="N8" s="1"/>
      <c r="R8" s="3"/>
    </row>
    <row r="9" spans="1:22" ht="15.6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514.82000000000005</v>
      </c>
      <c r="L9" s="415"/>
      <c r="M9" s="1"/>
      <c r="N9" s="1"/>
      <c r="R9" s="3"/>
    </row>
    <row r="10" spans="1:22" ht="15.6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210</f>
        <v>210</v>
      </c>
      <c r="L11" s="415"/>
      <c r="M11" s="1"/>
      <c r="N11" s="1"/>
      <c r="R11" s="3"/>
    </row>
    <row r="12" spans="1:22" ht="15.6">
      <c r="A12" s="112">
        <f>'04'!A12+(B12-SUM(D12:F12))</f>
        <v>163.04000000000002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6">
      <c r="A13" s="112">
        <f>'04'!A13+(B13-SUM(D13:F13))</f>
        <v>18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27163.090000000004</v>
      </c>
      <c r="L19" s="440"/>
      <c r="M19" s="1"/>
      <c r="N19" s="1"/>
      <c r="R19" s="3"/>
    </row>
    <row r="20" spans="1:18" ht="16.2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4448.8500000000004</v>
      </c>
      <c r="M25" s="1"/>
      <c r="R25" s="3"/>
    </row>
    <row r="26" spans="1:18" ht="15.6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>
        <v>358.14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361</v>
      </c>
      <c r="K31" s="425"/>
      <c r="L31" s="229">
        <v>40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229">
        <v>180.03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>
        <v>119.85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471</v>
      </c>
      <c r="K40" s="423"/>
      <c r="L40" s="231">
        <v>45.86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6">
      <c r="A46" s="112"/>
      <c r="B46" s="133">
        <v>293.2</v>
      </c>
      <c r="C46" s="19"/>
      <c r="D46" s="137">
        <v>11.89</v>
      </c>
      <c r="E46" s="138"/>
      <c r="F46" s="138"/>
      <c r="G46" s="30" t="s">
        <v>470</v>
      </c>
      <c r="H46" s="1"/>
      <c r="I46" s="420"/>
      <c r="J46" s="424"/>
      <c r="K46" s="425"/>
      <c r="L46" s="229"/>
      <c r="M46" s="1"/>
      <c r="R46" s="3"/>
    </row>
    <row r="47" spans="1:18" ht="15.6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473</v>
      </c>
      <c r="H47" s="1"/>
      <c r="I47" s="420"/>
      <c r="J47" s="424"/>
      <c r="K47" s="425"/>
      <c r="L47" s="229"/>
      <c r="M47" s="1"/>
      <c r="R47" s="3"/>
    </row>
    <row r="48" spans="1:18" ht="15.6">
      <c r="A48" s="1"/>
      <c r="B48" s="134"/>
      <c r="C48" s="16" t="s">
        <v>456</v>
      </c>
      <c r="D48" s="137">
        <v>27.34</v>
      </c>
      <c r="E48" s="138"/>
      <c r="F48" s="138"/>
      <c r="G48" s="16" t="s">
        <v>480</v>
      </c>
      <c r="H48" s="1"/>
      <c r="I48" s="420"/>
      <c r="J48" s="424"/>
      <c r="K48" s="425"/>
      <c r="L48" s="229"/>
      <c r="M48" s="1"/>
      <c r="R48" s="3"/>
    </row>
    <row r="49" spans="1:18" ht="15.6">
      <c r="A49" s="1"/>
      <c r="B49" s="134"/>
      <c r="C49" s="16"/>
      <c r="D49" s="137">
        <v>33.07</v>
      </c>
      <c r="E49" s="138"/>
      <c r="F49" s="138"/>
      <c r="G49" s="16" t="s">
        <v>481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488</v>
      </c>
      <c r="H50" s="1"/>
      <c r="I50" s="419" t="str">
        <f>AÑO!A13</f>
        <v>Gubernamental</v>
      </c>
      <c r="J50" s="422" t="s">
        <v>482</v>
      </c>
      <c r="K50" s="423"/>
      <c r="L50" s="231">
        <v>95.8</v>
      </c>
      <c r="M50" s="1"/>
      <c r="R50" s="3"/>
    </row>
    <row r="51" spans="1:18" ht="15.6">
      <c r="A51" s="1"/>
      <c r="B51" s="134"/>
      <c r="C51" s="16"/>
      <c r="D51" s="137">
        <f>83.74-D246</f>
        <v>68.739999999999995</v>
      </c>
      <c r="E51" s="138"/>
      <c r="F51" s="138"/>
      <c r="G51" s="16" t="s">
        <v>489</v>
      </c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>
        <v>17.45</v>
      </c>
      <c r="E52" s="138"/>
      <c r="F52" s="138"/>
      <c r="G52" s="16" t="s">
        <v>493</v>
      </c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>
        <v>68.010000000000005</v>
      </c>
      <c r="E53" s="138"/>
      <c r="F53" s="138"/>
      <c r="G53" s="16" t="s">
        <v>496</v>
      </c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>
        <v>57.23</v>
      </c>
      <c r="E54" s="138"/>
      <c r="F54" s="138"/>
      <c r="G54" s="16" t="s">
        <v>605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606</v>
      </c>
      <c r="H55" s="1"/>
      <c r="I55" s="419" t="str">
        <f>AÑO!A14</f>
        <v>Mutualite/DKV</v>
      </c>
      <c r="J55" s="422" t="s">
        <v>476</v>
      </c>
      <c r="K55" s="423"/>
      <c r="L55" s="231">
        <v>17.350000000000001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/>
      <c r="K60" s="423"/>
      <c r="L60" s="231">
        <v>652.44000000000005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469</v>
      </c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/>
      <c r="C67" s="16"/>
      <c r="D67" s="137">
        <v>17.2</v>
      </c>
      <c r="E67" s="138"/>
      <c r="F67" s="138"/>
      <c r="G67" s="31" t="s">
        <v>478</v>
      </c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/>
      <c r="C68" s="16"/>
      <c r="D68" s="137">
        <v>42.3</v>
      </c>
      <c r="E68" s="138"/>
      <c r="F68" s="138"/>
      <c r="G68" s="16" t="s">
        <v>479</v>
      </c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>
        <v>16</v>
      </c>
      <c r="E69" s="138"/>
      <c r="F69" s="138"/>
      <c r="G69" s="16" t="s">
        <v>486</v>
      </c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>
        <v>48.8</v>
      </c>
      <c r="E70" s="138"/>
      <c r="F70" s="138"/>
      <c r="G70" s="16" t="s">
        <v>487</v>
      </c>
      <c r="H70" s="1"/>
      <c r="M70" s="1"/>
      <c r="R70" s="3"/>
    </row>
    <row r="71" spans="1:18" ht="15.6">
      <c r="A71" s="1"/>
      <c r="B71" s="134"/>
      <c r="C71" s="16"/>
      <c r="D71" s="137">
        <v>33.75</v>
      </c>
      <c r="E71" s="138"/>
      <c r="F71" s="138"/>
      <c r="G71" s="16" t="s">
        <v>494</v>
      </c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>
        <v>22</v>
      </c>
      <c r="G72" s="16" t="s">
        <v>607</v>
      </c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'04'!A79+(B79-SUM(D79:F79))</f>
        <v>70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201</v>
      </c>
      <c r="D86" s="137">
        <v>55.61</v>
      </c>
      <c r="E86" s="138"/>
      <c r="F86" s="138"/>
      <c r="G86" s="16" t="s">
        <v>474</v>
      </c>
      <c r="H86" s="1"/>
      <c r="M86" s="1"/>
      <c r="R86" s="3"/>
    </row>
    <row r="87" spans="1:18" ht="15.6">
      <c r="A87" s="1"/>
      <c r="B87" s="134"/>
      <c r="C87" s="16"/>
      <c r="D87" s="137">
        <v>53.64</v>
      </c>
      <c r="E87" s="138"/>
      <c r="F87" s="138"/>
      <c r="G87" s="16" t="s">
        <v>490</v>
      </c>
      <c r="H87" s="1"/>
      <c r="M87" s="1"/>
      <c r="R87" s="3"/>
    </row>
    <row r="88" spans="1:18" ht="15.6">
      <c r="A88" s="1"/>
      <c r="B88" s="134"/>
      <c r="C88" s="16"/>
      <c r="D88" s="137">
        <v>7.6</v>
      </c>
      <c r="E88" s="138"/>
      <c r="F88" s="138"/>
      <c r="G88" s="16" t="s">
        <v>499</v>
      </c>
      <c r="H88" s="1"/>
      <c r="M88" s="1"/>
      <c r="R88" s="3"/>
    </row>
    <row r="89" spans="1:18" ht="15.6">
      <c r="A89" s="1"/>
      <c r="B89" s="134"/>
      <c r="C89" s="16"/>
      <c r="D89" s="137">
        <v>58.63</v>
      </c>
      <c r="E89" s="138"/>
      <c r="F89" s="138"/>
      <c r="G89" s="16" t="s">
        <v>608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'04'!A109+(B109+B110-SUM(D109:F109))</f>
        <v>2470.0600000000004</v>
      </c>
      <c r="B109" s="134">
        <f>67.53+120</f>
        <v>187.53</v>
      </c>
      <c r="C109" s="18" t="s">
        <v>613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>
        <v>-1050</v>
      </c>
      <c r="C110" s="18" t="s">
        <v>411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D127+D128+'04'!I127</f>
        <v>80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473</v>
      </c>
      <c r="H146" s="1"/>
      <c r="M146" s="1"/>
      <c r="R146" s="3"/>
    </row>
    <row r="147" spans="1:22" ht="15.6">
      <c r="A147" s="1"/>
      <c r="B147" s="134"/>
      <c r="C147" s="16"/>
      <c r="D147" s="137">
        <v>24.87</v>
      </c>
      <c r="E147" s="138"/>
      <c r="F147" s="138"/>
      <c r="G147" s="16" t="s">
        <v>492</v>
      </c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>
        <v>850</v>
      </c>
      <c r="C167" s="16" t="s">
        <v>566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491</v>
      </c>
    </row>
    <row r="207" spans="2:12">
      <c r="B207" s="134">
        <v>15</v>
      </c>
      <c r="C207" s="16" t="s">
        <v>566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401</v>
      </c>
      <c r="D246" s="137">
        <v>15</v>
      </c>
      <c r="E246" s="138"/>
      <c r="F246" s="138"/>
      <c r="G246" s="16" t="s">
        <v>489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497</v>
      </c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'04'!A256+(B256-SUM(D256:F256))</f>
        <v>20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6">
      <c r="A257" s="112">
        <f>'04'!A257+(B257-SUM(D257:F257))</f>
        <v>707.46</v>
      </c>
      <c r="B257" s="134">
        <f>40+499</f>
        <v>539</v>
      </c>
      <c r="C257" s="16" t="s">
        <v>430</v>
      </c>
      <c r="D257" s="137"/>
      <c r="E257" s="138">
        <f>100.67</f>
        <v>100.67</v>
      </c>
      <c r="F257" s="138"/>
      <c r="G257" s="16" t="s">
        <v>611</v>
      </c>
      <c r="H257" s="113"/>
    </row>
    <row r="258" spans="1:8" ht="15.6">
      <c r="A258" s="112">
        <f>'04'!A258+(B258-SUM(D258:F258))</f>
        <v>95</v>
      </c>
      <c r="B258" s="134">
        <v>70</v>
      </c>
      <c r="C258" s="16" t="s">
        <v>402</v>
      </c>
      <c r="D258" s="137"/>
      <c r="E258" s="138"/>
      <c r="F258" s="138"/>
      <c r="G258" s="16"/>
      <c r="H258" s="113"/>
    </row>
    <row r="259" spans="1:8" ht="16.2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2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  <c r="F261" s="237"/>
      <c r="G261" s="238"/>
    </row>
    <row r="262" spans="1:8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477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  <c r="F281" s="237"/>
      <c r="G281" s="238"/>
    </row>
    <row r="282" spans="2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484</v>
      </c>
    </row>
    <row r="287" spans="2:8">
      <c r="B287" s="134">
        <v>35</v>
      </c>
      <c r="C287" s="16" t="s">
        <v>612</v>
      </c>
      <c r="D287" s="137">
        <v>54.8</v>
      </c>
      <c r="E287" s="138"/>
      <c r="F287" s="138"/>
      <c r="G287" s="16" t="s">
        <v>614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632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  <c r="F301" s="237"/>
      <c r="G301" s="238"/>
    </row>
    <row r="302" spans="2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>
        <v>4.4000000000000004</v>
      </c>
      <c r="E306" s="138"/>
      <c r="F306" s="138"/>
      <c r="G306" s="16" t="s">
        <v>468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476</v>
      </c>
    </row>
    <row r="308" spans="2:7">
      <c r="B308" s="134">
        <v>17.45</v>
      </c>
      <c r="C308" s="27" t="s">
        <v>485</v>
      </c>
      <c r="D308" s="137">
        <f>51.89+44.67</f>
        <v>96.56</v>
      </c>
      <c r="E308" s="138"/>
      <c r="F308" s="138"/>
      <c r="G308" s="16" t="s">
        <v>604</v>
      </c>
    </row>
    <row r="309" spans="2:7">
      <c r="B309" s="134">
        <v>170</v>
      </c>
      <c r="C309" s="16" t="s">
        <v>566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" thickBot="1">
      <c r="B321" s="237"/>
      <c r="C321" s="238"/>
      <c r="D321" s="237"/>
      <c r="E321" s="237"/>
      <c r="F321" s="237"/>
      <c r="G321" s="238"/>
    </row>
    <row r="322" spans="2:7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483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  <c r="F341" s="237"/>
      <c r="G341" s="238"/>
    </row>
    <row r="342" spans="2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0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  <c r="F361" s="237"/>
      <c r="G361" s="238"/>
    </row>
    <row r="362" spans="2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0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633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" thickBot="1">
      <c r="B381" s="5"/>
      <c r="C381" s="3"/>
      <c r="D381" s="5"/>
      <c r="E381" s="5"/>
      <c r="F381" s="237"/>
      <c r="G381" s="238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  <c r="F401" s="237"/>
      <c r="G401" s="238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472</v>
      </c>
    </row>
    <row r="407" spans="2:7">
      <c r="B407" s="134">
        <v>45.86</v>
      </c>
      <c r="C407" s="16" t="s">
        <v>471</v>
      </c>
      <c r="D407" s="137"/>
      <c r="E407" s="138"/>
      <c r="F407" s="138"/>
      <c r="G407" s="16"/>
    </row>
    <row r="408" spans="2:7">
      <c r="B408" s="134">
        <v>-1094.26</v>
      </c>
      <c r="C408" s="16" t="s">
        <v>411</v>
      </c>
      <c r="D408" s="137">
        <v>44.48</v>
      </c>
      <c r="E408" s="138"/>
      <c r="F408" s="138"/>
      <c r="G408" s="16" t="s">
        <v>498</v>
      </c>
    </row>
    <row r="409" spans="2:7">
      <c r="B409" s="134">
        <f>29.29+20</f>
        <v>49.29</v>
      </c>
      <c r="C409" s="16" t="s">
        <v>566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" thickBot="1">
      <c r="B419" s="135"/>
      <c r="C419" s="17"/>
      <c r="D419" s="135"/>
      <c r="E419" s="139"/>
      <c r="F419" s="139"/>
      <c r="G419" s="17"/>
    </row>
    <row r="420" spans="1:8" ht="1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" thickBot="1">
      <c r="B421" s="5"/>
      <c r="C421" s="3"/>
      <c r="D421" s="5"/>
      <c r="E421" s="5"/>
      <c r="F421" s="237"/>
      <c r="G421" s="238"/>
    </row>
    <row r="422" spans="1:8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8" ht="15" customHeight="1" thickBot="1">
      <c r="B423" s="405"/>
      <c r="C423" s="406"/>
      <c r="D423" s="406"/>
      <c r="E423" s="406"/>
      <c r="F423" s="406"/>
      <c r="G423" s="407"/>
    </row>
    <row r="424" spans="1:8">
      <c r="B424" s="400" t="s">
        <v>8</v>
      </c>
      <c r="C424" s="401"/>
      <c r="D424" s="400" t="s">
        <v>9</v>
      </c>
      <c r="E424" s="408"/>
      <c r="F424" s="408"/>
      <c r="G424" s="401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6">
      <c r="A426" s="112">
        <f>3900</f>
        <v>3900</v>
      </c>
      <c r="B426" s="134">
        <f>A425-SUM(A426:A439)</f>
        <v>0.28000000000156433</v>
      </c>
      <c r="C426" s="19" t="s">
        <v>233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'04'!A466+(B466-SUM(D466:F466))</f>
        <v>0</v>
      </c>
      <c r="B466" s="134">
        <v>-550</v>
      </c>
      <c r="C466" s="16" t="s">
        <v>412</v>
      </c>
      <c r="D466" s="137"/>
      <c r="E466" s="138"/>
      <c r="F466" s="138"/>
      <c r="G466" s="16"/>
    </row>
    <row r="467" spans="1:7" ht="15.6">
      <c r="A467" s="112">
        <f>'04'!A467+(B467-SUM(D467:F467))</f>
        <v>375.22999999999996</v>
      </c>
      <c r="B467" s="134">
        <f>50+50</f>
        <v>100</v>
      </c>
      <c r="C467" s="16" t="s">
        <v>452</v>
      </c>
      <c r="D467" s="137"/>
      <c r="E467" s="138"/>
      <c r="F467" s="138"/>
      <c r="G467" s="16"/>
    </row>
    <row r="468" spans="1:7" ht="15.6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S4:V5" display="SALDO REAL"/>
    <hyperlink ref="B2" location="Trimestre!C25:F26" display="HIPOTECA"/>
    <hyperlink ref="B2:G3" location="AÑO!S20:V20" display="AÑO!S20:V20"/>
    <hyperlink ref="I22" location="Trimestre!C39:F40" display="TELÉFONO"/>
    <hyperlink ref="I22:L23" location="AÑO!S7:V17" display="INGRESOS"/>
    <hyperlink ref="B22" location="Trimestre!C25:F26" display="HIPOTECA"/>
    <hyperlink ref="B22:G23" location="AÑO!S21:V21" display="AÑO!S21:V21"/>
    <hyperlink ref="B42" location="Trimestre!C25:F26" display="HIPOTECA"/>
    <hyperlink ref="B42:G43" location="AÑO!S22:V22" display="AÑO!S22:V22"/>
    <hyperlink ref="B62" location="Trimestre!C25:F26" display="HIPOTECA"/>
    <hyperlink ref="B62:G63" location="AÑO!S23:V23" display="AÑO!S23:V23"/>
    <hyperlink ref="B82" location="Trimestre!C25:F26" display="HIPOTECA"/>
    <hyperlink ref="B82:G83" location="AÑO!S24:V24" display="AÑO!S24:V24"/>
    <hyperlink ref="B102" location="Trimestre!C25:F26" display="HIPOTECA"/>
    <hyperlink ref="B102:G103" location="AÑO!S25:V25" display="AÑO!S25:V25"/>
    <hyperlink ref="B122" location="Trimestre!C25:F26" display="HIPOTECA"/>
    <hyperlink ref="B122:G123" location="AÑO!S26:V26" display="AÑO!S26:V26"/>
    <hyperlink ref="B142" location="Trimestre!C25:F26" display="HIPOTECA"/>
    <hyperlink ref="B142:G143" location="AÑO!S27:V27" display="AÑO!S27:V27"/>
    <hyperlink ref="B162" location="Trimestre!C25:F26" display="HIPOTECA"/>
    <hyperlink ref="B162:G163" location="AÑO!S28:V28" display="AÑO!S28:V28"/>
    <hyperlink ref="B182" location="Trimestre!C25:F26" display="HIPOTECA"/>
    <hyperlink ref="B182:G183" location="AÑO!S29:V29" display="AÑO!S29:V29"/>
    <hyperlink ref="B202" location="Trimestre!C25:F26" display="HIPOTECA"/>
    <hyperlink ref="B202:G203" location="AÑO!S30:V30" display="AÑO!S30:V30"/>
    <hyperlink ref="B222" location="Trimestre!C25:F26" display="HIPOTECA"/>
    <hyperlink ref="B222:G223" location="AÑO!S31:V31" display="AÑO!S31:V31"/>
    <hyperlink ref="B242" location="Trimestre!C25:F26" display="HIPOTECA"/>
    <hyperlink ref="B242:G243" location="AÑO!S32:V32" display="AÑO!S32:V32"/>
    <hyperlink ref="B262" location="Trimestre!C25:F26" display="HIPOTECA"/>
    <hyperlink ref="B262:G263" location="AÑO!S33:V33" display="AÑO!S33:V33"/>
    <hyperlink ref="B282" location="Trimestre!C25:F26" display="HIPOTECA"/>
    <hyperlink ref="B282:G283" location="AÑO!S34:V34" display="AÑO!S34:V34"/>
    <hyperlink ref="B302" location="Trimestre!C25:F26" display="HIPOTECA"/>
    <hyperlink ref="B302:G303" location="AÑO!S35:V35" display="AÑO!S35:V35"/>
    <hyperlink ref="B322" location="Trimestre!C25:F26" display="HIPOTECA"/>
    <hyperlink ref="B322:G323" location="AÑO!S36:V36" display="AÑO!S36:V36"/>
    <hyperlink ref="B342" location="Trimestre!C25:F26" display="HIPOTECA"/>
    <hyperlink ref="B342:G343" location="AÑO!S37:V37" display="AÑO!S37:V37"/>
    <hyperlink ref="B362" location="Trimestre!C25:F26" display="HIPOTECA"/>
    <hyperlink ref="B362:G363" location="AÑO!S38:V38" display="AÑO!S38:V38"/>
    <hyperlink ref="B382" location="Trimestre!C25:F26" display="HIPOTECA"/>
    <hyperlink ref="B382:G383" location="AÑO!S39:V39" display="AÑO!S39:V39"/>
    <hyperlink ref="B402" location="Trimestre!C25:F26" display="HIPOTECA"/>
    <hyperlink ref="B402:G403" location="AÑO!S40:V40" display="AÑO!S40:V40"/>
    <hyperlink ref="B422" location="Trimestre!C25:F26" display="HIPOTECA"/>
    <hyperlink ref="B422:G423" location="AÑO!S41:V41" display="AÑO!S41:V41"/>
    <hyperlink ref="B442" location="Trimestre!C25:F26" display="HIPOTECA"/>
    <hyperlink ref="B442:G443" location="AÑO!S42:V42" display="AÑO!S42:V42"/>
    <hyperlink ref="B462" location="Trimestre!C25:F26" display="HIPOTECA"/>
    <hyperlink ref="B462:G463" location="AÑO!S43:V43" display="AÑO!S43:V43"/>
    <hyperlink ref="B482" location="Trimestre!C25:F26" display="HIPOTECA"/>
    <hyperlink ref="B482:G483" location="AÑO!S44:V44" display="AÑO!S44:V44"/>
    <hyperlink ref="B502" location="Trimestre!C25:F26" display="HIPOTECA"/>
    <hyperlink ref="B502:G503" location="AÑO!S45:V45" display="AÑO!S45:V45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5" zoomScaleNormal="100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f>M5+2156.93</f>
        <v>1614.1099999999997</v>
      </c>
      <c r="L5" s="431"/>
      <c r="M5" s="1">
        <f>-542.82</f>
        <v>-542.82000000000005</v>
      </c>
      <c r="N5" s="1" t="s">
        <v>610</v>
      </c>
      <c r="R5" s="3"/>
    </row>
    <row r="6" spans="1:22" ht="15.6">
      <c r="A6" s="112">
        <f>'05'!A6+(B6-SUM(D6:F6))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</v>
      </c>
      <c r="L6" s="415"/>
      <c r="M6" s="1" t="s">
        <v>165</v>
      </c>
      <c r="N6" s="1"/>
      <c r="R6" s="3"/>
    </row>
    <row r="7" spans="1:22" ht="15.6">
      <c r="A7" s="112">
        <f>'05'!A7+(B7-SUM(D7:F7))</f>
        <v>102.84999999999997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f>9234.42-58.2</f>
        <v>9176.2199999999993</v>
      </c>
      <c r="L7" s="415"/>
      <c r="M7" s="1"/>
      <c r="N7" s="1"/>
      <c r="R7" s="3"/>
    </row>
    <row r="8" spans="1:22" ht="15.6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6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14">
        <v>169.67</v>
      </c>
      <c r="L9" s="415"/>
      <c r="M9" s="1"/>
      <c r="N9" s="1"/>
      <c r="R9" s="3"/>
    </row>
    <row r="10" spans="1:22" ht="15.6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190</v>
      </c>
      <c r="L11" s="415"/>
      <c r="M11" s="1"/>
      <c r="N11" s="1"/>
      <c r="R11" s="3"/>
    </row>
    <row r="12" spans="1:22" ht="15.6">
      <c r="A12" s="112">
        <f>'05'!A12+(B12-SUM(D12:F12))</f>
        <v>188.04000000000002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6">
      <c r="A13" s="112">
        <f>'05'!A13+(B13-SUM(D13:F13))</f>
        <v>24.5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29014.079999999998</v>
      </c>
      <c r="L19" s="440"/>
      <c r="M19" s="1"/>
      <c r="N19" s="1"/>
      <c r="R19" s="3"/>
    </row>
    <row r="20" spans="1:18" ht="16.2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2574.61</v>
      </c>
      <c r="M25" s="1"/>
      <c r="R25" s="3"/>
    </row>
    <row r="26" spans="1:18" ht="15.6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625</v>
      </c>
      <c r="K30" s="423"/>
      <c r="L30" s="231">
        <v>160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429</v>
      </c>
      <c r="K31" s="425"/>
      <c r="L31" s="229">
        <v>305.41000000000003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229">
        <v>148.26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 t="s">
        <v>358</v>
      </c>
      <c r="K35" s="423"/>
      <c r="L35" s="231">
        <v>55.09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160</v>
      </c>
      <c r="K45" s="423"/>
      <c r="L45" s="231">
        <v>242.41</v>
      </c>
      <c r="M45" s="1"/>
      <c r="R45" s="3"/>
    </row>
    <row r="46" spans="1:18" ht="15.6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617</v>
      </c>
      <c r="H46" s="1"/>
      <c r="I46" s="420"/>
      <c r="J46" s="424"/>
      <c r="K46" s="425"/>
      <c r="L46" s="229"/>
      <c r="M46" s="1"/>
      <c r="R46" s="3"/>
    </row>
    <row r="47" spans="1:18" ht="15.6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629</v>
      </c>
      <c r="H47" s="1"/>
      <c r="I47" s="420"/>
      <c r="J47" s="424"/>
      <c r="K47" s="425"/>
      <c r="L47" s="229"/>
      <c r="M47" s="1"/>
      <c r="R47" s="3"/>
    </row>
    <row r="48" spans="1:18" ht="15.6">
      <c r="A48" s="1"/>
      <c r="B48" s="134"/>
      <c r="C48" s="16" t="s">
        <v>618</v>
      </c>
      <c r="D48" s="137">
        <v>27.2</v>
      </c>
      <c r="E48" s="138"/>
      <c r="F48" s="138"/>
      <c r="G48" s="16" t="s">
        <v>642</v>
      </c>
      <c r="H48" s="1"/>
      <c r="I48" s="420"/>
      <c r="J48" s="424"/>
      <c r="K48" s="425"/>
      <c r="L48" s="229"/>
      <c r="M48" s="1"/>
      <c r="R48" s="3"/>
    </row>
    <row r="49" spans="1:18" ht="15.6">
      <c r="A49" s="1"/>
      <c r="B49" s="134"/>
      <c r="C49" s="16"/>
      <c r="D49" s="137">
        <v>41.97</v>
      </c>
      <c r="E49" s="138"/>
      <c r="F49" s="138"/>
      <c r="G49" s="16" t="s">
        <v>643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647</v>
      </c>
      <c r="H50" s="1"/>
      <c r="I50" s="419" t="str">
        <f>AÑO!A13</f>
        <v>Gubernamental</v>
      </c>
      <c r="J50" s="422" t="s">
        <v>638</v>
      </c>
      <c r="K50" s="423"/>
      <c r="L50" s="231">
        <v>95.8</v>
      </c>
      <c r="M50" s="1"/>
      <c r="R50" s="3"/>
    </row>
    <row r="51" spans="1:18" ht="15.6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655</v>
      </c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>
        <v>4.8</v>
      </c>
      <c r="E52" s="138"/>
      <c r="F52" s="138"/>
      <c r="G52" s="16" t="s">
        <v>657</v>
      </c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>
        <v>52.62</v>
      </c>
      <c r="E53" s="138"/>
      <c r="F53" s="138"/>
      <c r="G53" s="16" t="s">
        <v>663</v>
      </c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>
        <v>7</v>
      </c>
      <c r="E54" s="138"/>
      <c r="F54" s="138"/>
      <c r="G54" s="16" t="s">
        <v>668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672</v>
      </c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626</v>
      </c>
      <c r="K60" s="423"/>
      <c r="L60" s="231">
        <v>511.74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639</v>
      </c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>
        <v>-35</v>
      </c>
      <c r="C67" s="16" t="s">
        <v>627</v>
      </c>
      <c r="D67" s="137">
        <v>36.049999999999997</v>
      </c>
      <c r="E67" s="138"/>
      <c r="F67" s="138"/>
      <c r="G67" s="31" t="s">
        <v>650</v>
      </c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652</v>
      </c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>
        <v>4.5</v>
      </c>
      <c r="G69" s="16" t="s">
        <v>654</v>
      </c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>
        <v>8</v>
      </c>
      <c r="G70" s="16" t="s">
        <v>658</v>
      </c>
      <c r="H70" s="1"/>
      <c r="M70" s="1"/>
      <c r="R70" s="3"/>
    </row>
    <row r="71" spans="1:18" ht="15.6">
      <c r="A71" s="1"/>
      <c r="B71" s="134"/>
      <c r="C71" s="16"/>
      <c r="D71" s="137">
        <v>9</v>
      </c>
      <c r="E71" s="138"/>
      <c r="F71" s="138"/>
      <c r="G71" s="16" t="s">
        <v>659</v>
      </c>
      <c r="H71" s="1"/>
      <c r="M71" s="1"/>
      <c r="R71" s="3"/>
    </row>
    <row r="72" spans="1:18" ht="15.6">
      <c r="A72" s="1"/>
      <c r="B72" s="134"/>
      <c r="C72" s="16"/>
      <c r="D72" s="137">
        <v>27</v>
      </c>
      <c r="E72" s="138"/>
      <c r="F72" s="138"/>
      <c r="G72" s="16" t="s">
        <v>666</v>
      </c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'05'!A79+(B79-SUM(D79:F79))</f>
        <v>80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201</v>
      </c>
      <c r="D86" s="137">
        <v>41.71</v>
      </c>
      <c r="E86" s="138"/>
      <c r="F86" s="138"/>
      <c r="G86" s="16" t="s">
        <v>621</v>
      </c>
      <c r="H86" s="1"/>
      <c r="M86" s="1"/>
      <c r="R86" s="3"/>
    </row>
    <row r="87" spans="1:18" ht="15.6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623</v>
      </c>
      <c r="H87" s="1"/>
      <c r="M87" s="1"/>
      <c r="R87" s="3"/>
    </row>
    <row r="88" spans="1:18" ht="15.6">
      <c r="A88" s="1"/>
      <c r="B88" s="134"/>
      <c r="C88" s="16"/>
      <c r="D88" s="137">
        <v>46.26</v>
      </c>
      <c r="E88" s="138"/>
      <c r="F88" s="138"/>
      <c r="G88" s="16" t="s">
        <v>640</v>
      </c>
      <c r="H88" s="1"/>
      <c r="M88" s="1"/>
      <c r="R88" s="3"/>
    </row>
    <row r="89" spans="1:18" ht="15.6">
      <c r="A89" s="1"/>
      <c r="B89" s="134"/>
      <c r="C89" s="16"/>
      <c r="D89" s="137">
        <f>7.6+3.8+3.8</f>
        <v>15.2</v>
      </c>
      <c r="E89" s="138"/>
      <c r="F89" s="138"/>
      <c r="G89" s="16" t="s">
        <v>641</v>
      </c>
      <c r="H89" s="1"/>
      <c r="M89" s="1"/>
      <c r="R89" s="3"/>
    </row>
    <row r="90" spans="1:18" ht="15.6">
      <c r="A90" s="1"/>
      <c r="B90" s="134"/>
      <c r="C90" s="16"/>
      <c r="D90" s="137">
        <v>6</v>
      </c>
      <c r="E90" s="138"/>
      <c r="F90" s="138"/>
      <c r="G90" s="16" t="s">
        <v>662</v>
      </c>
      <c r="H90" s="1"/>
      <c r="M90" s="1"/>
      <c r="R90" s="3"/>
    </row>
    <row r="91" spans="1:18" ht="15.6">
      <c r="A91" s="1"/>
      <c r="B91" s="134"/>
      <c r="C91" s="16"/>
      <c r="D91" s="137">
        <v>44.64</v>
      </c>
      <c r="E91" s="138"/>
      <c r="F91" s="138"/>
      <c r="G91" s="16" t="s">
        <v>664</v>
      </c>
      <c r="H91" s="1"/>
      <c r="M91" s="1"/>
      <c r="R91" s="3"/>
    </row>
    <row r="92" spans="1:18" ht="15.6">
      <c r="A92" s="1"/>
      <c r="B92" s="134"/>
      <c r="C92" s="16"/>
      <c r="D92" s="137">
        <v>1.25</v>
      </c>
      <c r="E92" s="138"/>
      <c r="F92" s="138"/>
      <c r="G92" s="16" t="s">
        <v>665</v>
      </c>
      <c r="H92" s="1"/>
      <c r="M92" s="1"/>
      <c r="R92" s="3"/>
    </row>
    <row r="93" spans="1:18" ht="15.6">
      <c r="A93" s="1"/>
      <c r="B93" s="134"/>
      <c r="C93" s="16"/>
      <c r="D93" s="137">
        <v>50.9</v>
      </c>
      <c r="E93" s="138"/>
      <c r="F93" s="138"/>
      <c r="G93" s="16" t="s">
        <v>670</v>
      </c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'05'!A109+(B109-SUM(D109:F109))</f>
        <v>2537.5900000000006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D127+D128+'05'!I127</f>
        <v>100</v>
      </c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671</v>
      </c>
      <c r="H146" s="1"/>
      <c r="M146" s="1"/>
      <c r="R146" s="3"/>
    </row>
    <row r="147" spans="1:22" ht="15.6">
      <c r="A147" s="1"/>
      <c r="B147" s="134">
        <v>-60</v>
      </c>
      <c r="C147" s="16" t="s">
        <v>619</v>
      </c>
      <c r="D147" s="137"/>
      <c r="E147" s="138"/>
      <c r="F147" s="138"/>
      <c r="G147" s="16" t="s">
        <v>620</v>
      </c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10</v>
      </c>
      <c r="C187" s="16"/>
      <c r="D187" s="137">
        <v>23.88</v>
      </c>
      <c r="E187" s="138"/>
      <c r="F187" s="138"/>
      <c r="G187" s="16" t="s">
        <v>648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>
        <v>35</v>
      </c>
      <c r="G188" s="16" t="s">
        <v>653</v>
      </c>
      <c r="I188" s="1"/>
      <c r="J188" s="1"/>
      <c r="K188" s="1"/>
      <c r="L188" s="1"/>
    </row>
    <row r="189" spans="1:22" ht="15.6">
      <c r="B189" s="134"/>
      <c r="C189" s="16"/>
      <c r="D189" s="137">
        <v>15</v>
      </c>
      <c r="E189" s="138"/>
      <c r="F189" s="138"/>
      <c r="G189" s="16" t="s">
        <v>655</v>
      </c>
      <c r="I189" s="1"/>
      <c r="J189" s="1"/>
      <c r="K189" s="1"/>
      <c r="L189" s="1"/>
    </row>
    <row r="190" spans="1:22" ht="15.6">
      <c r="B190" s="134"/>
      <c r="C190" s="16"/>
      <c r="D190" s="137">
        <v>23.94</v>
      </c>
      <c r="E190" s="138"/>
      <c r="F190" s="138"/>
      <c r="G190" s="16" t="s">
        <v>656</v>
      </c>
      <c r="I190" s="1"/>
      <c r="J190" s="1"/>
      <c r="K190" s="1"/>
      <c r="L190" s="1"/>
    </row>
    <row r="191" spans="1:22" ht="15.6">
      <c r="B191" s="134"/>
      <c r="C191" s="16"/>
      <c r="D191" s="137">
        <v>26.98</v>
      </c>
      <c r="E191" s="138"/>
      <c r="F191" s="138"/>
      <c r="G191" s="16" t="s">
        <v>673</v>
      </c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401</v>
      </c>
      <c r="D246" s="137"/>
      <c r="E246" s="138">
        <v>21.08</v>
      </c>
      <c r="F246" s="138"/>
      <c r="G246" s="16" t="s">
        <v>646</v>
      </c>
    </row>
    <row r="247" spans="1:7" ht="15" customHeight="1">
      <c r="A247" s="112"/>
      <c r="B247" s="134">
        <f>-10</f>
        <v>-10</v>
      </c>
      <c r="C247" s="16" t="s">
        <v>675</v>
      </c>
      <c r="D247" s="137">
        <v>12.99</v>
      </c>
      <c r="E247" s="138"/>
      <c r="F247" s="138"/>
      <c r="G247" s="16" t="s">
        <v>655</v>
      </c>
    </row>
    <row r="248" spans="1:7" ht="15.6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668</v>
      </c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'05'!A256+(B256-SUM(D256:F256))</f>
        <v>25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6">
      <c r="A257" s="112">
        <f>'05'!A257+(B257-SUM(D257:F257))</f>
        <v>631.79000000000008</v>
      </c>
      <c r="B257" s="134">
        <v>25</v>
      </c>
      <c r="C257" s="16" t="s">
        <v>430</v>
      </c>
      <c r="D257" s="137"/>
      <c r="E257" s="138">
        <v>100.67</v>
      </c>
      <c r="F257" s="138"/>
      <c r="G257" s="16" t="s">
        <v>404</v>
      </c>
    </row>
    <row r="258" spans="1:8" ht="15.6">
      <c r="A258" s="112">
        <f>'05'!A258+(B258-SUM(D258:F258))+'05'!A259</f>
        <v>140</v>
      </c>
      <c r="B258" s="134">
        <v>25</v>
      </c>
      <c r="C258" s="16" t="s">
        <v>402</v>
      </c>
      <c r="D258" s="137"/>
      <c r="E258" s="138"/>
      <c r="F258" s="138"/>
      <c r="G258" s="16"/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631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661</v>
      </c>
      <c r="H267" s="89" t="s">
        <v>660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667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" thickBot="1">
      <c r="B279" s="135"/>
      <c r="C279" s="17"/>
      <c r="D279" s="135"/>
      <c r="E279" s="139"/>
      <c r="F279" s="139"/>
      <c r="G279" s="17"/>
    </row>
    <row r="280" spans="2:9" ht="1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" thickBot="1">
      <c r="B281" s="5"/>
      <c r="C281" s="3"/>
      <c r="D281" s="5"/>
      <c r="E281" s="5"/>
    </row>
    <row r="282" spans="2:9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9" ht="15" customHeight="1" thickBot="1">
      <c r="B283" s="411"/>
      <c r="C283" s="412"/>
      <c r="D283" s="412"/>
      <c r="E283" s="412"/>
      <c r="F283" s="412"/>
      <c r="G283" s="413"/>
    </row>
    <row r="284" spans="2:9">
      <c r="B284" s="400" t="s">
        <v>8</v>
      </c>
      <c r="C284" s="401"/>
      <c r="D284" s="400" t="s">
        <v>9</v>
      </c>
      <c r="E284" s="408"/>
      <c r="F284" s="408"/>
      <c r="G284" s="401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634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645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615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/>
      <c r="E306" s="138"/>
      <c r="F306" s="138">
        <v>50</v>
      </c>
      <c r="G306" s="16" t="s">
        <v>624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636</v>
      </c>
    </row>
    <row r="308" spans="2:7">
      <c r="B308" s="134"/>
      <c r="C308" s="27"/>
      <c r="D308" s="137"/>
      <c r="E308" s="138"/>
      <c r="F308" s="138">
        <v>50</v>
      </c>
      <c r="G308" s="16" t="s">
        <v>637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140.73+(B346-SUM(D346:F357))</f>
        <v>185.73</v>
      </c>
      <c r="B346" s="133">
        <v>45</v>
      </c>
      <c r="C346" s="19" t="s">
        <v>198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(B358-SUM(D358:F358))+B359</f>
        <v>40</v>
      </c>
      <c r="B358" s="134">
        <v>5</v>
      </c>
      <c r="C358" s="16" t="s">
        <v>616</v>
      </c>
      <c r="D358" s="137"/>
      <c r="E358" s="138"/>
      <c r="F358" s="138"/>
      <c r="G358" s="16"/>
    </row>
    <row r="359" spans="1:7" ht="16.2" thickBot="1">
      <c r="A359" s="112"/>
      <c r="B359" s="135">
        <v>35</v>
      </c>
      <c r="C359" s="17" t="s">
        <v>628</v>
      </c>
      <c r="D359" s="135"/>
      <c r="E359" s="139"/>
      <c r="F359" s="139"/>
      <c r="G359" s="17"/>
    </row>
    <row r="360" spans="1:7" ht="16.2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649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668</v>
      </c>
    </row>
    <row r="369" spans="2:7">
      <c r="B369" s="134"/>
      <c r="C369" s="16"/>
      <c r="D369" s="137">
        <v>11</v>
      </c>
      <c r="E369" s="138"/>
      <c r="F369" s="138"/>
      <c r="G369" s="16" t="s">
        <v>669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630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-0.82999999999901775</v>
      </c>
      <c r="C426" s="19" t="s">
        <v>233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'05'!A466+(B466-SUM(D466:F466))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'05'!A467+(B467-SUM(D467:F467))</f>
        <v>425.22999999999996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6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622</v>
      </c>
      <c r="D469" s="137"/>
      <c r="E469" s="138"/>
      <c r="F469" s="138"/>
      <c r="G469" s="16" t="s">
        <v>295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W4:Z5" display="SALDO REAL"/>
    <hyperlink ref="B2" location="Trimestre!C25:F26" display="HIPOTECA"/>
    <hyperlink ref="B2:G3" location="AÑO!W20:Z20" display="AÑO!W20:Z20"/>
    <hyperlink ref="I22" location="Trimestre!C39:F40" display="TELÉFONO"/>
    <hyperlink ref="I22:L23" location="AÑO!W7:Z17" display="INGRESOS"/>
    <hyperlink ref="B22" location="Trimestre!C25:F26" display="HIPOTECA"/>
    <hyperlink ref="B22:G23" location="AÑO!W21:Z21" display="AÑO!W21:Z21"/>
    <hyperlink ref="B42" location="Trimestre!C25:F26" display="HIPOTECA"/>
    <hyperlink ref="B42:G43" location="AÑO!W22:Z22" display="AÑO!W22:Z22"/>
    <hyperlink ref="B62" location="Trimestre!C25:F26" display="HIPOTECA"/>
    <hyperlink ref="B62:G63" location="AÑO!W23:Z23" display="AÑO!W23:Z23"/>
    <hyperlink ref="B82" location="Trimestre!C25:F26" display="HIPOTECA"/>
    <hyperlink ref="B82:G83" location="AÑO!W24:Z24" display="AÑO!W24:Z24"/>
    <hyperlink ref="B102" location="Trimestre!C25:F26" display="HIPOTECA"/>
    <hyperlink ref="B102:G103" location="AÑO!W25:Z25" display="AÑO!W25:Z25"/>
    <hyperlink ref="B122" location="Trimestre!C25:F26" display="HIPOTECA"/>
    <hyperlink ref="B122:G123" location="AÑO!W26:Z26" display="AÑO!W26:Z26"/>
    <hyperlink ref="B142" location="Trimestre!C25:F26" display="HIPOTECA"/>
    <hyperlink ref="B142:G143" location="AÑO!W27:Z27" display="AÑO!W27:Z27"/>
    <hyperlink ref="B162" location="Trimestre!C25:F26" display="HIPOTECA"/>
    <hyperlink ref="B162:G163" location="AÑO!W28:Z28" display="AÑO!W28:Z28"/>
    <hyperlink ref="B182" location="Trimestre!C25:F26" display="HIPOTECA"/>
    <hyperlink ref="B182:G183" location="AÑO!W29:Z29" display="AÑO!W29:Z29"/>
    <hyperlink ref="B202" location="Trimestre!C25:F26" display="HIPOTECA"/>
    <hyperlink ref="B202:G203" location="AÑO!W30:Z30" display="AÑO!W30:Z30"/>
    <hyperlink ref="B222" location="Trimestre!C25:F26" display="HIPOTECA"/>
    <hyperlink ref="B222:G223" location="AÑO!W31:Z31" display="AÑO!W31:Z31"/>
    <hyperlink ref="B242" location="Trimestre!C25:F26" display="HIPOTECA"/>
    <hyperlink ref="B242:G243" location="AÑO!W32:Z32" display="AÑO!W32:Z32"/>
    <hyperlink ref="B262" location="Trimestre!C25:F26" display="HIPOTECA"/>
    <hyperlink ref="B262:G263" location="AÑO!W33:Z33" display="AÑO!W33:Z33"/>
    <hyperlink ref="B282" location="Trimestre!C25:F26" display="HIPOTECA"/>
    <hyperlink ref="B282:G283" location="AÑO!W34:Z34" display="AÑO!W34:Z34"/>
    <hyperlink ref="B302" location="Trimestre!C25:F26" display="HIPOTECA"/>
    <hyperlink ref="B302:G303" location="AÑO!W35:Z35" display="AÑO!W35:Z35"/>
    <hyperlink ref="B322" location="Trimestre!C25:F26" display="HIPOTECA"/>
    <hyperlink ref="B322:G323" location="AÑO!W36:Z36" display="AÑO!W36:Z36"/>
    <hyperlink ref="B342" location="Trimestre!C25:F26" display="HIPOTECA"/>
    <hyperlink ref="B342:G343" location="AÑO!W37:Z37" display="AÑO!W37:Z37"/>
    <hyperlink ref="B362" location="Trimestre!C25:F26" display="HIPOTECA"/>
    <hyperlink ref="B362:G363" location="AÑO!W38:Z38" display="AÑO!W38:Z38"/>
    <hyperlink ref="B382" location="Trimestre!C25:F26" display="HIPOTECA"/>
    <hyperlink ref="B382:G383" location="AÑO!W39:Z39" display="AÑO!W39:Z39"/>
    <hyperlink ref="B402" location="Trimestre!C25:F26" display="HIPOTECA"/>
    <hyperlink ref="B402:G403" location="AÑO!W40:Z40" display="AÑO!W40:Z40"/>
    <hyperlink ref="B422" location="Trimestre!C25:F26" display="HIPOTECA"/>
    <hyperlink ref="B422:G423" location="AÑO!W41:Z41" display="AÑO!W41:Z41"/>
    <hyperlink ref="B442" location="Trimestre!C25:F26" display="HIPOTECA"/>
    <hyperlink ref="B442:G443" location="AÑO!W42:Z42" display="AÑO!W42:Z42"/>
    <hyperlink ref="B462" location="Trimestre!C25:F26" display="HIPOTECA"/>
    <hyperlink ref="B462:G463" location="AÑO!W43:Z43" display="AÑO!W43:Z43"/>
    <hyperlink ref="B482" location="Trimestre!C25:F26" display="HIPOTECA"/>
    <hyperlink ref="B482:G483" location="AÑO!W44:Z44" display="AÑO!W44:Z44"/>
    <hyperlink ref="B502" location="Trimestre!C25:F26" display="HIPOTECA"/>
    <hyperlink ref="B502:G503" location="AÑO!W45:Z45" display="AÑO!W45:Z45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09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f>2939.95</f>
        <v>2939.95</v>
      </c>
      <c r="L5" s="431"/>
      <c r="M5" s="1"/>
      <c r="N5" s="1"/>
      <c r="R5" s="3"/>
    </row>
    <row r="6" spans="1:22" ht="15.6">
      <c r="A6" s="112">
        <f>'06'!A6+(B6-SUM(D6:F6))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</v>
      </c>
      <c r="L6" s="415"/>
      <c r="M6" s="1" t="s">
        <v>165</v>
      </c>
      <c r="N6" s="1"/>
      <c r="R6" s="3"/>
    </row>
    <row r="7" spans="1:22" ht="15.6">
      <c r="A7" s="112">
        <f>'06'!A7+(B7-SUM(D7:F7))</f>
        <v>170.02999999999997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8049.26</v>
      </c>
      <c r="L7" s="415"/>
      <c r="M7" s="1"/>
      <c r="N7" s="1"/>
      <c r="R7" s="3"/>
    </row>
    <row r="8" spans="1:22" ht="15.6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6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169.67</v>
      </c>
      <c r="L9" s="415"/>
      <c r="M9" s="1"/>
      <c r="N9" s="1"/>
      <c r="R9" s="3"/>
    </row>
    <row r="10" spans="1:22" ht="15.6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260</v>
      </c>
      <c r="L11" s="415"/>
      <c r="M11" s="1"/>
      <c r="N11" s="1"/>
      <c r="R11" s="3"/>
    </row>
    <row r="12" spans="1:22" ht="15.6">
      <c r="A12" s="112">
        <f>'06'!A12+(B12-SUM(D12:F12))</f>
        <v>213.04000000000002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6">
      <c r="A13" s="112">
        <f>'06'!A13+(B13-SUM(D13:F13))</f>
        <v>31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29282.959999999999</v>
      </c>
      <c r="L19" s="440"/>
      <c r="M19" s="1"/>
      <c r="N19" s="1"/>
      <c r="R19" s="3"/>
    </row>
    <row r="20" spans="1:18" ht="16.2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2568.54</v>
      </c>
      <c r="M25" s="1"/>
      <c r="R25" s="3"/>
    </row>
    <row r="26" spans="1:18" ht="15.6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>
        <v>846.9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625</v>
      </c>
      <c r="K31" s="425"/>
      <c r="L31" s="229">
        <v>110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687</v>
      </c>
      <c r="K32" s="425"/>
      <c r="L32" s="229">
        <v>190.62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>
        <v>124.52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674</v>
      </c>
      <c r="K40" s="423"/>
      <c r="L40" s="231">
        <v>1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60</v>
      </c>
      <c r="K41" s="425"/>
      <c r="L41" s="229">
        <v>0.02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6">
      <c r="A46" s="1"/>
      <c r="B46" s="133">
        <v>300</v>
      </c>
      <c r="C46" s="19"/>
      <c r="D46" s="137">
        <v>15.8</v>
      </c>
      <c r="E46" s="138"/>
      <c r="F46" s="138"/>
      <c r="G46" s="30" t="s">
        <v>679</v>
      </c>
      <c r="H46" s="1"/>
      <c r="I46" s="420"/>
      <c r="J46" s="424"/>
      <c r="K46" s="425"/>
      <c r="L46" s="229"/>
      <c r="M46" s="1"/>
      <c r="R46" s="3"/>
    </row>
    <row r="47" spans="1:18" ht="15.6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685</v>
      </c>
      <c r="H47" s="1"/>
      <c r="I47" s="420"/>
      <c r="J47" s="424"/>
      <c r="K47" s="425"/>
      <c r="L47" s="229"/>
      <c r="M47" s="1"/>
      <c r="R47" s="3"/>
    </row>
    <row r="48" spans="1:18" ht="15.6">
      <c r="A48" s="1"/>
      <c r="B48" s="134"/>
      <c r="C48" s="16" t="s">
        <v>618</v>
      </c>
      <c r="D48" s="137">
        <v>8.1</v>
      </c>
      <c r="E48" s="138"/>
      <c r="F48" s="138"/>
      <c r="G48" s="16" t="s">
        <v>704</v>
      </c>
      <c r="H48" s="1"/>
      <c r="I48" s="420"/>
      <c r="J48" s="424"/>
      <c r="K48" s="425"/>
      <c r="L48" s="229"/>
      <c r="M48" s="1"/>
      <c r="R48" s="3"/>
    </row>
    <row r="49" spans="1:18" ht="15.6">
      <c r="A49" s="1"/>
      <c r="B49" s="134">
        <f>-10-4.38-20-15.25-13.1</f>
        <v>-62.73</v>
      </c>
      <c r="C49" s="16" t="s">
        <v>682</v>
      </c>
      <c r="D49" s="137">
        <v>2.5499999999999998</v>
      </c>
      <c r="E49" s="138"/>
      <c r="F49" s="138"/>
      <c r="G49" s="16" t="s">
        <v>713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>
        <v>5</v>
      </c>
      <c r="C50" s="16" t="s">
        <v>709</v>
      </c>
      <c r="D50" s="137">
        <v>69.97</v>
      </c>
      <c r="E50" s="138"/>
      <c r="F50" s="138"/>
      <c r="G50" s="16" t="s">
        <v>725</v>
      </c>
      <c r="H50" s="1"/>
      <c r="I50" s="419" t="str">
        <f>AÑO!A13</f>
        <v>Gubernamental</v>
      </c>
      <c r="J50" s="422" t="s">
        <v>638</v>
      </c>
      <c r="K50" s="423"/>
      <c r="L50" s="231">
        <v>95.8</v>
      </c>
      <c r="M50" s="1"/>
      <c r="R50" s="3"/>
    </row>
    <row r="51" spans="1:18" ht="15.6">
      <c r="A51" s="112"/>
      <c r="B51" s="134">
        <v>-133.91</v>
      </c>
      <c r="C51" s="16" t="s">
        <v>728</v>
      </c>
      <c r="D51" s="137">
        <v>5.29</v>
      </c>
      <c r="E51" s="138"/>
      <c r="F51" s="138"/>
      <c r="G51" s="16" t="s">
        <v>727</v>
      </c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 t="s">
        <v>688</v>
      </c>
      <c r="K55" s="423"/>
      <c r="L55" s="231">
        <f>14.27</f>
        <v>14.27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24" t="s">
        <v>688</v>
      </c>
      <c r="K56" s="425"/>
      <c r="L56" s="229">
        <v>23.22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 t="s">
        <v>688</v>
      </c>
      <c r="K57" s="425"/>
      <c r="L57" s="229">
        <v>14.27</v>
      </c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703</v>
      </c>
      <c r="K60" s="423"/>
      <c r="L60" s="231">
        <v>649.1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680</v>
      </c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/>
      <c r="C67" s="16"/>
      <c r="D67" s="137"/>
      <c r="E67" s="138"/>
      <c r="F67" s="138">
        <v>10</v>
      </c>
      <c r="G67" s="31" t="s">
        <v>689</v>
      </c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/>
      <c r="C68" s="16"/>
      <c r="D68" s="137">
        <v>50.8</v>
      </c>
      <c r="E68" s="138"/>
      <c r="F68" s="138">
        <v>2.5</v>
      </c>
      <c r="G68" s="16" t="s">
        <v>711</v>
      </c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>
        <v>8</v>
      </c>
      <c r="G69" s="16" t="s">
        <v>710</v>
      </c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>
        <v>28.9</v>
      </c>
      <c r="E70" s="138"/>
      <c r="F70" s="138"/>
      <c r="G70" s="16" t="s">
        <v>723</v>
      </c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'06'!A79+(B79-SUM(D79:F79))</f>
        <v>90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201</v>
      </c>
      <c r="D86" s="137">
        <v>47.8</v>
      </c>
      <c r="E86" s="138"/>
      <c r="F86" s="138"/>
      <c r="G86" s="16" t="s">
        <v>712</v>
      </c>
      <c r="H86" s="1"/>
      <c r="M86" s="1"/>
      <c r="R86" s="3"/>
    </row>
    <row r="87" spans="1:18" ht="15.6">
      <c r="A87" s="1"/>
      <c r="B87" s="134"/>
      <c r="C87" s="16"/>
      <c r="D87" s="137">
        <v>7.3</v>
      </c>
      <c r="E87" s="138"/>
      <c r="F87" s="138"/>
      <c r="G87" s="16" t="s">
        <v>718</v>
      </c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'06'!A109+(B109-SUM(D109:F109))</f>
        <v>2605.1200000000008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>
        <v>150</v>
      </c>
      <c r="C110" s="18" t="s">
        <v>730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>
        <v>50</v>
      </c>
      <c r="C111" s="27" t="s">
        <v>733</v>
      </c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D127+D128+'06'!I127</f>
        <v>110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>
        <v>230</v>
      </c>
      <c r="G167" s="16" t="s">
        <v>692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>
        <v>14.99</v>
      </c>
      <c r="E168" s="138"/>
      <c r="F168" s="138"/>
      <c r="G168" s="16" t="s">
        <v>696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>
        <v>11.04</v>
      </c>
      <c r="E169" s="138"/>
      <c r="F169" s="138"/>
      <c r="G169" s="16" t="s">
        <v>698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>
        <v>89.2</v>
      </c>
      <c r="E170" s="138"/>
      <c r="F170" s="138"/>
      <c r="G170" s="16" t="s">
        <v>706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>
        <v>13</v>
      </c>
      <c r="E171" s="138"/>
      <c r="F171" s="138"/>
      <c r="G171" s="16" t="s">
        <v>699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>
        <v>4</v>
      </c>
      <c r="E172" s="138"/>
      <c r="F172" s="138">
        <v>4</v>
      </c>
      <c r="G172" s="16" t="s">
        <v>700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>
        <v>982.42</v>
      </c>
      <c r="E173" s="138"/>
      <c r="F173" s="138"/>
      <c r="G173" s="16" t="s">
        <v>701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686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>
        <v>12</v>
      </c>
      <c r="E187" s="138"/>
      <c r="F187" s="138"/>
      <c r="G187" s="16" t="s">
        <v>685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>
        <v>10.3</v>
      </c>
      <c r="E188" s="138"/>
      <c r="F188" s="138"/>
      <c r="G188" s="16" t="s">
        <v>714</v>
      </c>
      <c r="I188" s="1"/>
      <c r="J188" s="1"/>
      <c r="K188" s="1"/>
      <c r="L188" s="1"/>
    </row>
    <row r="189" spans="1:22" ht="15.6">
      <c r="B189" s="134"/>
      <c r="C189" s="16"/>
      <c r="D189" s="137">
        <v>42.8</v>
      </c>
      <c r="E189" s="138"/>
      <c r="F189" s="138"/>
      <c r="G189" s="16" t="s">
        <v>726</v>
      </c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679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697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401</v>
      </c>
      <c r="D246" s="137">
        <v>33.729999999999997</v>
      </c>
      <c r="E246" s="138"/>
      <c r="F246" s="138"/>
      <c r="G246" s="16" t="s">
        <v>722</v>
      </c>
    </row>
    <row r="247" spans="1:7" ht="15" customHeight="1">
      <c r="A247" s="112"/>
      <c r="B247" s="134">
        <v>-5</v>
      </c>
      <c r="C247" s="16" t="s">
        <v>709</v>
      </c>
      <c r="D247" s="137">
        <v>20</v>
      </c>
      <c r="E247" s="138"/>
      <c r="F247" s="138"/>
      <c r="G247" s="16" t="s">
        <v>725</v>
      </c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'06'!A256+(B256-SUM(D256:F256))</f>
        <v>30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6">
      <c r="A257" s="112">
        <f>'06'!A257+(B257-SUM(D257:F257))</f>
        <v>556.12000000000012</v>
      </c>
      <c r="B257" s="134">
        <v>25</v>
      </c>
      <c r="C257" s="16" t="s">
        <v>707</v>
      </c>
      <c r="D257" s="137"/>
      <c r="E257" s="138">
        <v>100.67</v>
      </c>
      <c r="F257" s="138"/>
      <c r="G257" s="16" t="s">
        <v>734</v>
      </c>
      <c r="H257" s="89">
        <f>1208-(100.67*2)</f>
        <v>1006.66</v>
      </c>
    </row>
    <row r="258" spans="1:8" ht="15.6">
      <c r="A258" s="112">
        <f>'06'!A258+(B258-SUM(D258:F258))</f>
        <v>0</v>
      </c>
      <c r="B258" s="134">
        <f>25+10+4.38+35.25+13.1+121.27</f>
        <v>209</v>
      </c>
      <c r="C258" s="16" t="s">
        <v>716</v>
      </c>
      <c r="D258" s="137">
        <v>349</v>
      </c>
      <c r="E258" s="138"/>
      <c r="F258" s="138"/>
      <c r="G258" s="16" t="s">
        <v>683</v>
      </c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685</v>
      </c>
    </row>
    <row r="287" spans="2:8">
      <c r="B287" s="134"/>
      <c r="C287" s="16"/>
      <c r="D287" s="137"/>
      <c r="E287" s="138"/>
      <c r="F287" s="138">
        <v>50</v>
      </c>
      <c r="G287" s="16" t="s">
        <v>694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695</v>
      </c>
    </row>
    <row r="289" spans="2:8">
      <c r="B289" s="134"/>
      <c r="C289" s="16"/>
      <c r="D289" s="137">
        <v>26.31</v>
      </c>
      <c r="E289" s="138"/>
      <c r="F289" s="138"/>
      <c r="G289" s="16" t="s">
        <v>697</v>
      </c>
    </row>
    <row r="290" spans="2:8">
      <c r="B290" s="134"/>
      <c r="C290" s="16"/>
      <c r="D290" s="137"/>
      <c r="E290" s="138">
        <v>31.95</v>
      </c>
      <c r="F290" s="138"/>
      <c r="G290" s="16" t="s">
        <v>715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/>
      <c r="E306" s="138"/>
      <c r="F306" s="138">
        <v>50</v>
      </c>
      <c r="G306" s="16" t="s">
        <v>676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678</v>
      </c>
    </row>
    <row r="308" spans="2:7">
      <c r="B308" s="134">
        <f>37.49+14.27+14.27</f>
        <v>66.03</v>
      </c>
      <c r="C308" s="27" t="s">
        <v>688</v>
      </c>
      <c r="D308" s="137">
        <f>37.5+37.5</f>
        <v>75</v>
      </c>
      <c r="E308" s="138"/>
      <c r="F308" s="138"/>
      <c r="G308" s="16" t="s">
        <v>705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702</v>
      </c>
    </row>
    <row r="327" spans="2:7">
      <c r="B327" s="134">
        <v>100</v>
      </c>
      <c r="C327" s="16" t="s">
        <v>693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'06'!A346+(B346-SUM(D346:F357))</f>
        <v>230.73</v>
      </c>
      <c r="B346" s="133">
        <v>45</v>
      </c>
      <c r="C346" s="19" t="s">
        <v>198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'06'!A358+(B358-SUM(D358:F358))+B359</f>
        <v>0</v>
      </c>
      <c r="B358" s="134">
        <v>5</v>
      </c>
      <c r="C358" s="16" t="s">
        <v>719</v>
      </c>
      <c r="D358" s="137">
        <v>64.3</v>
      </c>
      <c r="E358" s="138"/>
      <c r="F358" s="138"/>
      <c r="G358" s="16" t="s">
        <v>717</v>
      </c>
    </row>
    <row r="359" spans="1:7" ht="16.2" thickBot="1">
      <c r="A359" s="112"/>
      <c r="B359" s="135">
        <f>12.64+6.66</f>
        <v>19.3</v>
      </c>
      <c r="C359" s="17" t="s">
        <v>728</v>
      </c>
      <c r="D359" s="135"/>
      <c r="E359" s="139"/>
      <c r="F359" s="139"/>
      <c r="G359" s="17"/>
    </row>
    <row r="360" spans="1:7" ht="16.2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681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729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677</v>
      </c>
    </row>
    <row r="407" spans="2:7">
      <c r="B407" s="134">
        <v>1</v>
      </c>
      <c r="C407" s="16" t="s">
        <v>674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729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465.44999999999982</v>
      </c>
      <c r="C426" s="19" t="s">
        <v>233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'06'!A466+(B466-SUM(D466:F466))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'06'!A467+(B467-SUM(D467:F467))</f>
        <v>475.22999999999996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6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AA4:AD5" display="SALDO REAL"/>
    <hyperlink ref="I22" location="Trimestre!C39:F40" display="TELÉFONO"/>
    <hyperlink ref="I22:L23" location="AÑO!AA7:AD17" display="INGRESOS"/>
    <hyperlink ref="B2" location="Trimestre!C25:F26" display="HIPOTECA"/>
    <hyperlink ref="B2:G3" location="AÑO!AA20:AD20" display="AÑO!AA20:AD20"/>
    <hyperlink ref="B22" location="Trimestre!C25:F26" display="HIPOTECA"/>
    <hyperlink ref="B22:G23" location="AÑO!AA21:AD21" display="AÑO!AA21:AD21"/>
    <hyperlink ref="B42" location="Trimestre!C25:F26" display="HIPOTECA"/>
    <hyperlink ref="B42:G43" location="AÑO!AA22:AD22" display="AÑO!AA22:AD22"/>
    <hyperlink ref="B62" location="Trimestre!C25:F26" display="HIPOTECA"/>
    <hyperlink ref="B62:G63" location="AÑO!AA23:AD23" display="AÑO!AA23:AD23"/>
    <hyperlink ref="B82" location="Trimestre!C25:F26" display="HIPOTECA"/>
    <hyperlink ref="B82:G83" location="AÑO!AA24:AD24" display="AÑO!AA24:AD24"/>
    <hyperlink ref="B102" location="Trimestre!C25:F26" display="HIPOTECA"/>
    <hyperlink ref="B102:G103" location="AÑO!AA25:AD25" display="AÑO!AA25:AD25"/>
    <hyperlink ref="B122" location="Trimestre!C25:F26" display="HIPOTECA"/>
    <hyperlink ref="B122:G123" location="AÑO!AA26:AD26" display="AÑO!AA26:AD26"/>
    <hyperlink ref="B142" location="Trimestre!C25:F26" display="HIPOTECA"/>
    <hyperlink ref="B142:G143" location="AÑO!AA27:AD27" display="AÑO!AA27:AD27"/>
    <hyperlink ref="B162" location="Trimestre!C25:F26" display="HIPOTECA"/>
    <hyperlink ref="B162:G163" location="AÑO!AA28:AD28" display="AÑO!AA28:AD28"/>
    <hyperlink ref="B182" location="Trimestre!C25:F26" display="HIPOTECA"/>
    <hyperlink ref="B182:G183" location="AÑO!AA29:AD29" display="AÑO!AA29:AD29"/>
    <hyperlink ref="B202" location="Trimestre!C25:F26" display="HIPOTECA"/>
    <hyperlink ref="B202:G203" location="AÑO!AA30:AD30" display="AÑO!AA30:AD30"/>
    <hyperlink ref="B222" location="Trimestre!C25:F26" display="HIPOTECA"/>
    <hyperlink ref="B222:G223" location="AÑO!AA31:AD31" display="AÑO!AA31:AD31"/>
    <hyperlink ref="B242" location="Trimestre!C25:F26" display="HIPOTECA"/>
    <hyperlink ref="B242:G243" location="AÑO!AA32:AD32" display="AÑO!AA32:AD32"/>
    <hyperlink ref="B262" location="Trimestre!C25:F26" display="HIPOTECA"/>
    <hyperlink ref="B262:G263" location="AÑO!AA33:AD33" display="AÑO!AA33:AD33"/>
    <hyperlink ref="B282" location="Trimestre!C25:F26" display="HIPOTECA"/>
    <hyperlink ref="B282:G283" location="AÑO!AA34:AD34" display="AÑO!AA34:AD34"/>
    <hyperlink ref="B302" location="Trimestre!C25:F26" display="HIPOTECA"/>
    <hyperlink ref="B302:G303" location="AÑO!AA35:AD35" display="AÑO!AA35:AD35"/>
    <hyperlink ref="B322" location="Trimestre!C25:F26" display="HIPOTECA"/>
    <hyperlink ref="B322:G323" location="AÑO!AA36:AD36" display="AÑO!AA36:AD36"/>
    <hyperlink ref="B342" location="Trimestre!C25:F26" display="HIPOTECA"/>
    <hyperlink ref="B342:G343" location="AÑO!AA37:AD37" display="AÑO!AA37:AD37"/>
    <hyperlink ref="B362" location="Trimestre!C25:F26" display="HIPOTECA"/>
    <hyperlink ref="B362:G363" location="AÑO!AA38:AD38" display="AÑO!AA38:AD38"/>
    <hyperlink ref="B382" location="Trimestre!C25:F26" display="HIPOTECA"/>
    <hyperlink ref="B382:G383" location="AÑO!AA39:AD39" display="AÑO!AA39:AD39"/>
    <hyperlink ref="B402" location="Trimestre!C25:F26" display="HIPOTECA"/>
    <hyperlink ref="B402:G403" location="AÑO!AA40:AD40" display="AÑO!AA40:AD40"/>
    <hyperlink ref="B422" location="Trimestre!C25:F26" display="HIPOTECA"/>
    <hyperlink ref="B422:G423" location="AÑO!AA41:AD41" display="AÑO!AA41:AD41"/>
    <hyperlink ref="B442" location="Trimestre!C25:F26" display="HIPOTECA"/>
    <hyperlink ref="B442:G443" location="AÑO!AA42:AD42" display="AÑO!AA42:AD42"/>
    <hyperlink ref="B462" location="Trimestre!C25:F26" display="HIPOTECA"/>
    <hyperlink ref="B462:G463" location="AÑO!AA43:AD43" display="AÑO!AA43:AD43"/>
    <hyperlink ref="B482" location="Trimestre!C25:F26" display="HIPOTECA"/>
    <hyperlink ref="B482:G483" location="AÑO!AA44:AD44" display="AÑO!AA44:AD44"/>
    <hyperlink ref="B502" location="Trimestre!C25:F26" display="HIPOTECA"/>
    <hyperlink ref="B502:G503" location="AÑO!AA45:AD45" display="AÑO!AA45:AD45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09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3508.76</v>
      </c>
      <c r="L5" s="431"/>
      <c r="M5" s="1">
        <f>571.43-192.98-30</f>
        <v>348.44999999999993</v>
      </c>
      <c r="N5" s="1"/>
      <c r="R5" s="3"/>
    </row>
    <row r="6" spans="1:22" ht="15.6">
      <c r="A6" s="112">
        <f>'07'!A6+(B6-SUM(D6:F6))</f>
        <v>6</v>
      </c>
      <c r="B6" s="133">
        <v>403.08</v>
      </c>
      <c r="C6" s="19" t="s">
        <v>736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620.12</v>
      </c>
      <c r="L6" s="415"/>
      <c r="M6" s="1" t="s">
        <v>165</v>
      </c>
      <c r="N6" s="1"/>
      <c r="R6" s="3"/>
    </row>
    <row r="7" spans="1:22" ht="15.6">
      <c r="A7" s="112">
        <f>'07'!A7+(B7-SUM(D7:F7))</f>
        <v>237.20999999999998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7490.36</v>
      </c>
      <c r="L7" s="415"/>
      <c r="M7" s="1"/>
      <c r="N7" s="1"/>
      <c r="R7" s="3"/>
    </row>
    <row r="8" spans="1:22" ht="15.6">
      <c r="A8" s="112">
        <f>'07'!A8+(B8-SUM(D8:F8))</f>
        <v>-103.66999999999999</v>
      </c>
      <c r="B8" s="134">
        <v>0</v>
      </c>
      <c r="C8" s="16" t="s">
        <v>35</v>
      </c>
      <c r="D8" s="137"/>
      <c r="E8" s="113">
        <v>103.76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6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163.63</v>
      </c>
      <c r="L9" s="415"/>
      <c r="M9" s="1"/>
      <c r="N9" s="1"/>
      <c r="R9" s="3"/>
    </row>
    <row r="10" spans="1:22" ht="15.6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20+120</f>
        <v>140</v>
      </c>
      <c r="L11" s="415"/>
      <c r="M11" s="1"/>
      <c r="N11" s="1"/>
      <c r="R11" s="3"/>
    </row>
    <row r="12" spans="1:22" ht="15.6">
      <c r="A12" s="112">
        <f>'07'!A12+(B12-SUM(D12:F12))</f>
        <v>238.04000000000002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6">
      <c r="A13" s="112">
        <f>'07'!A13+(B13-SUM(D13:F13))</f>
        <v>37.5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29166.850000000002</v>
      </c>
      <c r="L19" s="440"/>
      <c r="M19" s="1"/>
      <c r="N19" s="1"/>
      <c r="R19" s="3"/>
    </row>
    <row r="20" spans="1:18" ht="16.2" thickBot="1">
      <c r="A20" s="112">
        <f>SUM(A6:A15)</f>
        <v>427.06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2571.5500000000002</v>
      </c>
      <c r="M25" s="1"/>
      <c r="R25" s="3"/>
    </row>
    <row r="26" spans="1:18" ht="15.6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'07'!A27+(B27-SUM(D27:F27))</f>
        <v>38.049999999999955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'07'!A29+(B29-SUM(D29:F29))</f>
        <v>1.5800000000000054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327</v>
      </c>
      <c r="K30" s="423"/>
      <c r="L30" s="231">
        <v>291.60000000000002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 t="s">
        <v>396</v>
      </c>
      <c r="K35" s="423"/>
      <c r="L35" s="231">
        <v>164.91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320.02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775</v>
      </c>
      <c r="K45" s="423"/>
      <c r="L45" s="231">
        <v>192.98</v>
      </c>
      <c r="M45" s="1"/>
      <c r="R45" s="3"/>
    </row>
    <row r="46" spans="1:18" ht="15.6">
      <c r="A46" s="1"/>
      <c r="B46" s="133">
        <v>300</v>
      </c>
      <c r="C46" s="19"/>
      <c r="D46" s="137">
        <v>51.78</v>
      </c>
      <c r="E46" s="138"/>
      <c r="F46" s="138"/>
      <c r="G46" s="30" t="s">
        <v>743</v>
      </c>
      <c r="H46" s="1"/>
      <c r="I46" s="420"/>
      <c r="J46" s="424" t="s">
        <v>776</v>
      </c>
      <c r="K46" s="425"/>
      <c r="L46" s="229">
        <v>30</v>
      </c>
      <c r="M46" s="1"/>
      <c r="R46" s="3"/>
    </row>
    <row r="47" spans="1:18" ht="15.6">
      <c r="A47" s="1"/>
      <c r="B47" s="134"/>
      <c r="C47" s="16" t="s">
        <v>78</v>
      </c>
      <c r="D47" s="137">
        <v>83.95</v>
      </c>
      <c r="E47" s="138"/>
      <c r="F47" s="138"/>
      <c r="G47" s="16" t="s">
        <v>740</v>
      </c>
      <c r="H47" s="1"/>
      <c r="I47" s="420"/>
      <c r="J47" s="424"/>
      <c r="K47" s="425"/>
      <c r="L47" s="229"/>
      <c r="M47" s="1"/>
      <c r="R47" s="3"/>
    </row>
    <row r="48" spans="1:18" ht="15.6">
      <c r="A48" s="1"/>
      <c r="B48" s="134"/>
      <c r="C48" s="16" t="s">
        <v>720</v>
      </c>
      <c r="D48" s="137">
        <v>22.34</v>
      </c>
      <c r="E48" s="138"/>
      <c r="F48" s="138"/>
      <c r="G48" s="16" t="s">
        <v>744</v>
      </c>
      <c r="H48" s="1">
        <f>22*8</f>
        <v>176</v>
      </c>
      <c r="I48" s="420"/>
      <c r="J48" s="424"/>
      <c r="K48" s="425"/>
      <c r="L48" s="229"/>
      <c r="M48" s="1"/>
      <c r="R48" s="3"/>
    </row>
    <row r="49" spans="1:18" ht="15.6">
      <c r="A49" s="1"/>
      <c r="B49" s="134">
        <v>23.87</v>
      </c>
      <c r="C49" s="16" t="s">
        <v>728</v>
      </c>
      <c r="D49" s="137">
        <v>49.31</v>
      </c>
      <c r="E49" s="138"/>
      <c r="F49" s="138"/>
      <c r="G49" s="16" t="s">
        <v>750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757</v>
      </c>
      <c r="H50" s="1"/>
      <c r="I50" s="419" t="str">
        <f>AÑO!A13</f>
        <v>Gubernamental</v>
      </c>
      <c r="J50" s="422" t="s">
        <v>638</v>
      </c>
      <c r="K50" s="423"/>
      <c r="L50" s="231">
        <v>117.03</v>
      </c>
      <c r="M50" s="1"/>
      <c r="R50" s="3"/>
    </row>
    <row r="51" spans="1:18" ht="15.6">
      <c r="A51" s="1"/>
      <c r="B51" s="134"/>
      <c r="C51" s="16"/>
      <c r="D51" s="137">
        <v>43.81</v>
      </c>
      <c r="E51" s="138"/>
      <c r="F51" s="138"/>
      <c r="G51" s="16" t="s">
        <v>758</v>
      </c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42">
        <v>43692</v>
      </c>
      <c r="K55" s="423"/>
      <c r="L55" s="231">
        <v>13.15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43">
        <v>43696</v>
      </c>
      <c r="K56" s="425"/>
      <c r="L56" s="229">
        <v>14.27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53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39</v>
      </c>
      <c r="K60" s="423"/>
      <c r="L60" s="231">
        <v>550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12">
        <f>'07'!A66+(SUM(B66:B78)-SUM(D66:F78))</f>
        <v>2.830000000000048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749</v>
      </c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>
        <v>30</v>
      </c>
      <c r="C67" s="16" t="s">
        <v>160</v>
      </c>
      <c r="D67" s="137">
        <f>23+8.15</f>
        <v>31.15</v>
      </c>
      <c r="E67" s="138"/>
      <c r="F67" s="138">
        <v>30</v>
      </c>
      <c r="G67" s="31" t="s">
        <v>748</v>
      </c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>
        <v>10</v>
      </c>
      <c r="C68" s="16" t="s">
        <v>728</v>
      </c>
      <c r="D68" s="137">
        <v>19.5</v>
      </c>
      <c r="E68" s="138"/>
      <c r="F68" s="138">
        <v>5.5</v>
      </c>
      <c r="G68" s="16" t="s">
        <v>754</v>
      </c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>
        <v>39.9</v>
      </c>
      <c r="E69" s="138"/>
      <c r="F69" s="138"/>
      <c r="G69" s="16" t="s">
        <v>755</v>
      </c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>
        <v>23.7</v>
      </c>
      <c r="E70" s="138"/>
      <c r="F70" s="138"/>
      <c r="G70" s="16" t="s">
        <v>767</v>
      </c>
      <c r="H70" s="1"/>
      <c r="M70" s="1"/>
      <c r="R70" s="3"/>
    </row>
    <row r="71" spans="1:18" ht="15.6">
      <c r="A71" s="1"/>
      <c r="B71" s="134"/>
      <c r="C71" s="16"/>
      <c r="D71" s="137">
        <v>30</v>
      </c>
      <c r="E71" s="138"/>
      <c r="F71" s="138"/>
      <c r="G71" s="16" t="s">
        <v>777</v>
      </c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'07'!A79+(B79-SUM(D79:F79))</f>
        <v>100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102.83000000000004</v>
      </c>
      <c r="B80" s="233">
        <f>SUM(B66:B79)</f>
        <v>210</v>
      </c>
      <c r="C80" s="17" t="s">
        <v>53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201</v>
      </c>
      <c r="D86" s="137">
        <v>56.61</v>
      </c>
      <c r="E86" s="138"/>
      <c r="F86" s="138"/>
      <c r="G86" s="16" t="s">
        <v>746</v>
      </c>
      <c r="H86" s="1"/>
      <c r="M86" s="1"/>
      <c r="R86" s="3"/>
    </row>
    <row r="87" spans="1:18" ht="15.6">
      <c r="A87" s="1"/>
      <c r="B87" s="134"/>
      <c r="C87" s="16"/>
      <c r="D87" s="137">
        <v>33.08</v>
      </c>
      <c r="E87" s="138"/>
      <c r="F87" s="138"/>
      <c r="G87" s="16" t="s">
        <v>747</v>
      </c>
      <c r="H87" s="1"/>
      <c r="M87" s="1"/>
      <c r="R87" s="3"/>
    </row>
    <row r="88" spans="1:18" ht="15.6">
      <c r="A88" s="1"/>
      <c r="B88" s="134"/>
      <c r="C88" s="16"/>
      <c r="D88" s="137">
        <v>6</v>
      </c>
      <c r="E88" s="138"/>
      <c r="F88" s="138"/>
      <c r="G88" s="16" t="s">
        <v>760</v>
      </c>
      <c r="H88" s="1"/>
      <c r="M88" s="1"/>
      <c r="R88" s="3"/>
    </row>
    <row r="89" spans="1:18" ht="15.6">
      <c r="A89" s="1"/>
      <c r="B89" s="134"/>
      <c r="C89" s="16"/>
      <c r="D89" s="137">
        <v>48.13</v>
      </c>
      <c r="E89" s="138"/>
      <c r="F89" s="138"/>
      <c r="G89" s="16" t="s">
        <v>772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'07'!A109+(B109-SUM(D109:F109))+B110</f>
        <v>3222.650000000001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>
        <v>550</v>
      </c>
      <c r="C110" s="18" t="s">
        <v>742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'07'!A126+(B126-SUM(D126:F126))</f>
        <v>12.5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'07'!A127+(B127-SUM(D127:F128))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D127+D128+'07'!I127</f>
        <v>130</v>
      </c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20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37.29</v>
      </c>
      <c r="E146" s="138"/>
      <c r="F146" s="138"/>
      <c r="G146" s="16" t="s">
        <v>781</v>
      </c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50.2</v>
      </c>
      <c r="E186" s="138"/>
      <c r="F186" s="138"/>
      <c r="G186" s="16" t="s">
        <v>764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691</v>
      </c>
    </row>
    <row r="207" spans="2:12">
      <c r="B207" s="134"/>
      <c r="C207" s="16"/>
      <c r="D207" s="137">
        <v>23</v>
      </c>
      <c r="E207" s="138"/>
      <c r="F207" s="138"/>
      <c r="G207" s="16" t="s">
        <v>761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401</v>
      </c>
      <c r="D246" s="137">
        <f>55.4-D327</f>
        <v>45.4</v>
      </c>
      <c r="E246" s="138"/>
      <c r="F246" s="138"/>
      <c r="G246" s="16" t="s">
        <v>741</v>
      </c>
    </row>
    <row r="247" spans="1:7" ht="15" customHeight="1">
      <c r="A247" s="112"/>
      <c r="B247" s="134">
        <v>12.12</v>
      </c>
      <c r="C247" s="16" t="s">
        <v>728</v>
      </c>
      <c r="D247" s="137">
        <v>16.52</v>
      </c>
      <c r="E247" s="138"/>
      <c r="F247" s="138"/>
      <c r="G247" s="16" t="s">
        <v>756</v>
      </c>
    </row>
    <row r="248" spans="1:7" ht="15.6">
      <c r="A248" s="112"/>
      <c r="B248" s="134"/>
      <c r="C248" s="16"/>
      <c r="D248" s="137">
        <v>7.97</v>
      </c>
      <c r="E248" s="138"/>
      <c r="F248" s="138"/>
      <c r="G248" s="16" t="s">
        <v>762</v>
      </c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'07'!A256+(B256-SUM(D256:F256))</f>
        <v>35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6">
      <c r="A257" s="112">
        <f>'07'!A257+(B257-SUM(D257:F257))</f>
        <v>606.12000000000012</v>
      </c>
      <c r="B257" s="134">
        <v>50</v>
      </c>
      <c r="C257" s="16" t="s">
        <v>708</v>
      </c>
      <c r="D257" s="137"/>
      <c r="E257" s="138"/>
      <c r="F257" s="138"/>
      <c r="G257" s="16"/>
      <c r="H257" s="89">
        <f>1208-(100.67*3)</f>
        <v>905.99</v>
      </c>
    </row>
    <row r="258" spans="1:8" ht="15.6">
      <c r="A258" s="112"/>
      <c r="B258" s="134"/>
      <c r="C258" s="16"/>
      <c r="D258" s="137"/>
      <c r="E258" s="138"/>
      <c r="F258" s="138"/>
      <c r="G258" s="16"/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641.12000000000012</v>
      </c>
      <c r="B260" s="135">
        <f>SUM(B246:B259)</f>
        <v>112.12</v>
      </c>
      <c r="C260" s="17" t="s">
        <v>53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737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" thickBot="1">
      <c r="B279" s="135"/>
      <c r="C279" s="17"/>
      <c r="D279" s="135"/>
      <c r="E279" s="139"/>
      <c r="F279" s="139"/>
      <c r="G279" s="17"/>
    </row>
    <row r="280" spans="1:8" ht="15" thickBot="1">
      <c r="B280" s="135">
        <f>SUM(B266:B279)</f>
        <v>80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" thickBot="1">
      <c r="B281" s="5"/>
      <c r="C281" s="3"/>
      <c r="D281" s="5"/>
      <c r="E281" s="5"/>
    </row>
    <row r="282" spans="1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6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6">
      <c r="A286" s="112">
        <f>AÑO!AD34+(SUM(B286:B298)-SUM(D286:F298))</f>
        <v>45.359999999999808</v>
      </c>
      <c r="B286" s="133">
        <v>70</v>
      </c>
      <c r="C286" s="19" t="s">
        <v>33</v>
      </c>
      <c r="D286" s="137"/>
      <c r="E286" s="138"/>
      <c r="F286" s="138"/>
      <c r="G286" s="16" t="s">
        <v>690</v>
      </c>
    </row>
    <row r="287" spans="1:8" ht="15.6">
      <c r="A287" s="112"/>
      <c r="B287" s="134"/>
      <c r="C287" s="16"/>
      <c r="D287" s="137">
        <v>14.29</v>
      </c>
      <c r="E287" s="138"/>
      <c r="F287" s="138"/>
      <c r="G287" s="16" t="s">
        <v>768</v>
      </c>
      <c r="H287" s="92"/>
    </row>
    <row r="288" spans="1:8" ht="15.6">
      <c r="A288" s="112"/>
      <c r="B288" s="134"/>
      <c r="C288" s="16"/>
      <c r="D288" s="137"/>
      <c r="E288" s="138"/>
      <c r="F288" s="138"/>
      <c r="G288" s="16"/>
    </row>
    <row r="289" spans="1:8" ht="15.6">
      <c r="A289" s="112"/>
      <c r="B289" s="134"/>
      <c r="C289" s="16"/>
      <c r="D289" s="137"/>
      <c r="E289" s="138"/>
      <c r="F289" s="138"/>
      <c r="G289" s="16"/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6.2" thickBot="1">
      <c r="A299" s="112">
        <f>(B299-SUM(D299:F299))</f>
        <v>20</v>
      </c>
      <c r="B299" s="135">
        <v>20</v>
      </c>
      <c r="C299" s="17" t="s">
        <v>765</v>
      </c>
      <c r="D299" s="135"/>
      <c r="E299" s="139"/>
      <c r="F299" s="139"/>
      <c r="G299" s="17"/>
    </row>
    <row r="300" spans="1:8" ht="16.2" thickBot="1">
      <c r="A300" s="112">
        <f>SUM(A286:A299)</f>
        <v>65.359999999999815</v>
      </c>
      <c r="B300" s="135">
        <f>SUM(B286:B299)</f>
        <v>90</v>
      </c>
      <c r="C300" s="17" t="s">
        <v>53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" thickBot="1">
      <c r="B301" s="5"/>
      <c r="C301" s="3"/>
      <c r="D301" s="5"/>
      <c r="E301" s="5"/>
    </row>
    <row r="302" spans="1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>
        <v>35.96</v>
      </c>
      <c r="E306" s="138"/>
      <c r="F306" s="138"/>
      <c r="G306" s="16" t="s">
        <v>751</v>
      </c>
    </row>
    <row r="307" spans="2:7">
      <c r="B307" s="134">
        <v>13.15</v>
      </c>
      <c r="C307" s="27" t="s">
        <v>759</v>
      </c>
      <c r="D307" s="137"/>
      <c r="E307" s="138"/>
      <c r="F307" s="138">
        <v>70</v>
      </c>
      <c r="G307" s="16" t="s">
        <v>753</v>
      </c>
    </row>
    <row r="308" spans="2:7">
      <c r="B308" s="134">
        <v>14.27</v>
      </c>
      <c r="C308" s="27" t="s">
        <v>771</v>
      </c>
      <c r="D308" s="137">
        <v>8.68</v>
      </c>
      <c r="E308" s="138"/>
      <c r="F308" s="138"/>
      <c r="G308" s="16" t="s">
        <v>766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157.42000000000002</v>
      </c>
      <c r="C320" s="17" t="s">
        <v>53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739</v>
      </c>
    </row>
    <row r="327" spans="2:7">
      <c r="B327" s="134">
        <v>192.98</v>
      </c>
      <c r="C327" s="16" t="s">
        <v>778</v>
      </c>
      <c r="D327" s="137">
        <v>10</v>
      </c>
      <c r="E327" s="138"/>
      <c r="F327" s="138"/>
      <c r="G327" s="16" t="s">
        <v>741</v>
      </c>
    </row>
    <row r="328" spans="2:7">
      <c r="B328" s="134"/>
      <c r="C328" s="16"/>
      <c r="D328" s="137">
        <v>187.13</v>
      </c>
      <c r="E328" s="138"/>
      <c r="F328" s="138"/>
      <c r="G328" s="16" t="s">
        <v>745</v>
      </c>
    </row>
    <row r="329" spans="2:7">
      <c r="B329" s="134"/>
      <c r="C329" s="16"/>
      <c r="D329" s="137">
        <v>32.14</v>
      </c>
      <c r="E329" s="138"/>
      <c r="F329" s="138"/>
      <c r="G329" s="16" t="s">
        <v>769</v>
      </c>
    </row>
    <row r="330" spans="2:7">
      <c r="B330" s="134"/>
      <c r="C330" s="16"/>
      <c r="D330" s="137">
        <v>7.49</v>
      </c>
      <c r="E330" s="138"/>
      <c r="F330" s="138"/>
      <c r="G330" s="16" t="s">
        <v>770</v>
      </c>
    </row>
    <row r="331" spans="2:7">
      <c r="B331" s="134"/>
      <c r="C331" s="16"/>
      <c r="D331" s="137"/>
      <c r="E331" s="138">
        <v>192.98</v>
      </c>
      <c r="F331" s="138"/>
      <c r="G331" s="16" t="s">
        <v>773</v>
      </c>
    </row>
    <row r="332" spans="2:7">
      <c r="B332" s="134"/>
      <c r="C332" s="16"/>
      <c r="D332" s="137"/>
      <c r="E332" s="138">
        <v>96.65</v>
      </c>
      <c r="F332" s="138"/>
      <c r="G332" s="16" t="s">
        <v>774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282.98</v>
      </c>
      <c r="C340" s="17" t="s">
        <v>53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'07'!A346+(B346-SUM(D346:F357))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'07'!A358+(B358-SUM(D358:F358))</f>
        <v>35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2" thickBot="1">
      <c r="A359" s="112">
        <f>'07'!A359+(B359-SUM(D359:F359))</f>
        <v>10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2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5+4.5+4+4+4+4.5+3.8+3.5+3.5+4.5</f>
        <v>41.3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738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AÑO!AE17</f>
        <v>3945.4900000000002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-300.89999999999918</v>
      </c>
      <c r="C426" s="19" t="s">
        <v>233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-300.89999999999918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'07'!A466+(B466-SUM(D466:F466))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'07'!A467+(B467-SUM(D467:F467))+B476</f>
        <v>-24.769999999999982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6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729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20</v>
      </c>
      <c r="C506" s="19" t="s">
        <v>728</v>
      </c>
      <c r="D506" s="137">
        <v>23.43</v>
      </c>
      <c r="E506" s="138"/>
      <c r="F506" s="138"/>
      <c r="G506" s="16" t="s">
        <v>752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20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AE4:AH5" display="SALDO REAL"/>
    <hyperlink ref="I22" location="Trimestre!C39:F40" display="TELÉFONO"/>
    <hyperlink ref="I22:L23" location="AÑO!AE7:AH17" display="INGRESOS"/>
    <hyperlink ref="B2" location="Trimestre!C25:F26" display="HIPOTECA"/>
    <hyperlink ref="B2:G3" location="AÑO!AE20:AH20" display="AÑO!AE20:AH20"/>
    <hyperlink ref="B22" location="Trimestre!C25:F26" display="HIPOTECA"/>
    <hyperlink ref="B22:G23" location="AÑO!AE21:AH21" display="AÑO!AE21:AH21"/>
    <hyperlink ref="B42" location="Trimestre!C25:F26" display="HIPOTECA"/>
    <hyperlink ref="B42:G43" location="AÑO!AE22:AH22" display="AÑO!AE22:AH22"/>
    <hyperlink ref="B62" location="Trimestre!C25:F26" display="HIPOTECA"/>
    <hyperlink ref="B62:G63" location="AÑO!AE23:AH23" display="AÑO!AE23:AH23"/>
    <hyperlink ref="B82" location="Trimestre!C25:F26" display="HIPOTECA"/>
    <hyperlink ref="B82:G83" location="AÑO!AE24:AH24" display="AÑO!AE24:AH24"/>
    <hyperlink ref="B102" location="Trimestre!C25:F26" display="HIPOTECA"/>
    <hyperlink ref="B102:G103" location="AÑO!AE25:AH25" display="AÑO!AE25:AH25"/>
    <hyperlink ref="B122" location="Trimestre!C25:F26" display="HIPOTECA"/>
    <hyperlink ref="B122:G123" location="AÑO!AE26:AH26" display="AÑO!AE26:AH26"/>
    <hyperlink ref="B142" location="Trimestre!C25:F26" display="HIPOTECA"/>
    <hyperlink ref="B142:G143" location="AÑO!AE27:AH27" display="AÑO!AE27:AH27"/>
    <hyperlink ref="B162" location="Trimestre!C25:F26" display="HIPOTECA"/>
    <hyperlink ref="B162:G163" location="AÑO!AE28:AH28" display="AÑO!AE28:AH28"/>
    <hyperlink ref="B182" location="Trimestre!C25:F26" display="HIPOTECA"/>
    <hyperlink ref="B182:G183" location="AÑO!AE29:AH29" display="AÑO!AE29:AH29"/>
    <hyperlink ref="B202" location="Trimestre!C25:F26" display="HIPOTECA"/>
    <hyperlink ref="B202:G203" location="AÑO!AE30:AH30" display="AÑO!AE30:AH30"/>
    <hyperlink ref="B222" location="Trimestre!C25:F26" display="HIPOTECA"/>
    <hyperlink ref="B222:G223" location="AÑO!AE31:AH31" display="AÑO!AE31:AH31"/>
    <hyperlink ref="B242" location="Trimestre!C25:F26" display="HIPOTECA"/>
    <hyperlink ref="B242:G243" location="AÑO!AE32:AH32" display="AÑO!AE32:AH32"/>
    <hyperlink ref="B262" location="Trimestre!C25:F26" display="HIPOTECA"/>
    <hyperlink ref="B262:G263" location="AÑO!AE33:AH33" display="AÑO!AE33:AH33"/>
    <hyperlink ref="B282" location="Trimestre!C25:F26" display="HIPOTECA"/>
    <hyperlink ref="B282:G283" location="AÑO!AE34:AH34" display="AÑO!AE34:AH34"/>
    <hyperlink ref="B302" location="Trimestre!C25:F26" display="HIPOTECA"/>
    <hyperlink ref="B302:G303" location="AÑO!AE35:AH35" display="AÑO!AE35:AH35"/>
    <hyperlink ref="B322" location="Trimestre!C25:F26" display="HIPOTECA"/>
    <hyperlink ref="B322:G323" location="AÑO!AE36:AH36" display="AÑO!AE36:AH36"/>
    <hyperlink ref="B342" location="Trimestre!C25:F26" display="HIPOTECA"/>
    <hyperlink ref="B342:G343" location="AÑO!AE37:AH37" display="AÑO!AE37:AH37"/>
    <hyperlink ref="B362" location="Trimestre!C25:F26" display="HIPOTECA"/>
    <hyperlink ref="B362:G363" location="AÑO!AE38:AH38" display="AÑO!AE38:AH38"/>
    <hyperlink ref="B382" location="Trimestre!C25:F26" display="HIPOTECA"/>
    <hyperlink ref="B382:G383" location="AÑO!AE39:AH39" display="AÑO!AE39:AH39"/>
    <hyperlink ref="B402" location="Trimestre!C25:F26" display="HIPOTECA"/>
    <hyperlink ref="B402:G403" location="AÑO!AE40:AH40" display="AÑO!AE40:AH40"/>
    <hyperlink ref="B422" location="Trimestre!C25:F26" display="HIPOTECA"/>
    <hyperlink ref="B422:G423" location="AÑO!AE41:AH41" display="AÑO!AE41:AH41"/>
    <hyperlink ref="B442" location="Trimestre!C25:F26" display="HIPOTECA"/>
    <hyperlink ref="B442:G443" location="AÑO!AE42:AH42" display="AÑO!AE42:AH42"/>
    <hyperlink ref="B462" location="Trimestre!C25:F26" display="HIPOTECA"/>
    <hyperlink ref="B462:G463" location="AÑO!AE43:AH43" display="AÑO!AE43:AH43"/>
    <hyperlink ref="B482" location="Trimestre!C25:F26" display="HIPOTECA"/>
    <hyperlink ref="B482:G483" location="AÑO!AE44:AH44" display="AÑO!AE44:AH44"/>
    <hyperlink ref="B502" location="Trimestre!C25:F26" display="HIPOTECA"/>
    <hyperlink ref="B502:G503" location="AÑO!AE45:AH45" display="AÑO!AE45:AH45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2019-11-19T15:51:27Z</dcterms:modified>
</cp:coreProperties>
</file>