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DF60BBF3-A098-4C16-9679-10DC33613C55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7" i="7" l="1"/>
  <c r="D366" i="7"/>
  <c r="D89" i="7"/>
  <c r="A260" i="7" l="1"/>
  <c r="H289" i="7" l="1"/>
  <c r="E287" i="7"/>
  <c r="F366" i="7" l="1"/>
  <c r="A258" i="7" l="1"/>
  <c r="A260" i="6"/>
  <c r="A256" i="7"/>
  <c r="A257" i="7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<sst xmlns="http://schemas.openxmlformats.org/spreadsheetml/2006/main" count="5401" uniqueCount="655">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</sst>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48" zoomScaleNormal="100" workbookViewId="0">
      <pane xSplit="1" topLeftCell="Q1" activePane="topRight" state="frozen"/>
      <selection pane="topRight" activeCell="AB62" sqref="AB62:AC6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71</v>
      </c>
      <c r="T4" s="384"/>
      <c r="U4" s="384"/>
      <c r="V4" s="385"/>
      <c r="W4" s="383" t="s">
        <v>70</v>
      </c>
      <c r="X4" s="384"/>
      <c r="Y4" s="384"/>
      <c r="Z4" s="385"/>
      <c r="AA4" s="383" t="s">
        <v>72</v>
      </c>
      <c r="AB4" s="384"/>
      <c r="AC4" s="384"/>
      <c r="AD4" s="385"/>
      <c r="AE4" s="383" t="s">
        <v>73</v>
      </c>
      <c r="AF4" s="384"/>
      <c r="AG4" s="384"/>
      <c r="AH4" s="385"/>
      <c r="AI4" s="383" t="s">
        <v>75</v>
      </c>
      <c r="AJ4" s="384"/>
      <c r="AK4" s="384"/>
      <c r="AL4" s="385"/>
      <c r="AM4" s="383" t="s">
        <v>77</v>
      </c>
      <c r="AN4" s="384"/>
      <c r="AO4" s="384"/>
      <c r="AP4" s="385"/>
      <c r="AQ4" s="383" t="s">
        <v>79</v>
      </c>
      <c r="AR4" s="384"/>
      <c r="AS4" s="384"/>
      <c r="AT4" s="385"/>
      <c r="AU4" s="383" t="s">
        <v>84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2">
        <f>'01'!K19</f>
        <v>26383.54</v>
      </c>
      <c r="D5" s="390"/>
      <c r="E5" s="390"/>
      <c r="F5" s="391"/>
      <c r="G5" s="392">
        <f>'02'!K19</f>
        <v>25229.379999999997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29615.1</v>
      </c>
      <c r="AB5" s="390"/>
      <c r="AC5" s="390"/>
      <c r="AD5" s="391"/>
      <c r="AE5" s="389">
        <f>'08'!K19</f>
        <v>15101.890000000001</v>
      </c>
      <c r="AF5" s="390"/>
      <c r="AG5" s="390"/>
      <c r="AH5" s="391"/>
      <c r="AI5" s="389">
        <f>'09'!K19</f>
        <v>15101.890000000001</v>
      </c>
      <c r="AJ5" s="390"/>
      <c r="AK5" s="390"/>
      <c r="AL5" s="391"/>
      <c r="AM5" s="389">
        <f>'10'!K19</f>
        <v>15101.890000000001</v>
      </c>
      <c r="AN5" s="390"/>
      <c r="AO5" s="390"/>
      <c r="AP5" s="391"/>
      <c r="AQ5" s="389">
        <f>'11'!K19</f>
        <v>15101.890000000001</v>
      </c>
      <c r="AR5" s="390"/>
      <c r="AS5" s="390"/>
      <c r="AT5" s="391"/>
      <c r="AU5" s="389">
        <f>'12'!K19</f>
        <v>15101.890000000001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6" t="s">
        <v>230</v>
      </c>
      <c r="D7" s="387"/>
      <c r="E7" s="387"/>
      <c r="F7" s="388"/>
      <c r="G7" s="386" t="s">
        <v>230</v>
      </c>
      <c r="H7" s="387"/>
      <c r="I7" s="387"/>
      <c r="J7" s="388"/>
      <c r="K7" s="386" t="s">
        <v>230</v>
      </c>
      <c r="L7" s="387"/>
      <c r="M7" s="387"/>
      <c r="N7" s="388"/>
      <c r="O7" s="386" t="s">
        <v>230</v>
      </c>
      <c r="P7" s="387"/>
      <c r="Q7" s="387"/>
      <c r="R7" s="388"/>
      <c r="S7" s="386" t="s">
        <v>230</v>
      </c>
      <c r="T7" s="387"/>
      <c r="U7" s="387"/>
      <c r="V7" s="388"/>
      <c r="W7" s="386" t="s">
        <v>230</v>
      </c>
      <c r="X7" s="387"/>
      <c r="Y7" s="387"/>
      <c r="Z7" s="388"/>
      <c r="AA7" s="386" t="s">
        <v>230</v>
      </c>
      <c r="AB7" s="387"/>
      <c r="AC7" s="387"/>
      <c r="AD7" s="388"/>
      <c r="AE7" s="386" t="s">
        <v>230</v>
      </c>
      <c r="AF7" s="387"/>
      <c r="AG7" s="387"/>
      <c r="AH7" s="388"/>
      <c r="AI7" s="386" t="s">
        <v>230</v>
      </c>
      <c r="AJ7" s="387"/>
      <c r="AK7" s="387"/>
      <c r="AL7" s="388"/>
      <c r="AM7" s="386" t="s">
        <v>230</v>
      </c>
      <c r="AN7" s="387"/>
      <c r="AO7" s="387"/>
      <c r="AP7" s="388"/>
      <c r="AQ7" s="386" t="s">
        <v>230</v>
      </c>
      <c r="AR7" s="387"/>
      <c r="AS7" s="387"/>
      <c r="AT7" s="388"/>
      <c r="AU7" s="386" t="s">
        <v>230</v>
      </c>
      <c r="AV7" s="387"/>
      <c r="AW7" s="387"/>
      <c r="AX7" s="388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3">
        <f>SUM('01'!L25:'01'!L29)</f>
        <v>2593.46</v>
      </c>
      <c r="D8" s="394"/>
      <c r="E8" s="394"/>
      <c r="F8" s="395"/>
      <c r="G8" s="393">
        <f>SUM('02'!L25:'02'!L29)</f>
        <v>2592.42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0</v>
      </c>
      <c r="X8" s="394"/>
      <c r="Y8" s="394"/>
      <c r="Z8" s="395"/>
      <c r="AA8" s="393">
        <f>SUM('07'!L25:'07'!L29)</f>
        <v>0</v>
      </c>
      <c r="AB8" s="394"/>
      <c r="AC8" s="394"/>
      <c r="AD8" s="395"/>
      <c r="AE8" s="393">
        <f>SUM('08'!L25:'08'!L29)</f>
        <v>0</v>
      </c>
      <c r="AF8" s="394"/>
      <c r="AG8" s="394"/>
      <c r="AH8" s="395"/>
      <c r="AI8" s="393">
        <f>SUM('09'!L25:'09'!L29)</f>
        <v>0</v>
      </c>
      <c r="AJ8" s="394"/>
      <c r="AK8" s="394"/>
      <c r="AL8" s="395"/>
      <c r="AM8" s="393">
        <f>SUM('10'!L25:'10'!L29)</f>
        <v>0</v>
      </c>
      <c r="AN8" s="394"/>
      <c r="AO8" s="394"/>
      <c r="AP8" s="395"/>
      <c r="AQ8" s="393">
        <f>SUM('11'!L25:'11'!L29)</f>
        <v>0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14732.16</v>
      </c>
      <c r="BA8" s="112">
        <f t="shared" ref="BA8:BA16" ca="1" si="0">AZ8/BC$17</f>
        <v>2455.36</v>
      </c>
      <c r="BB8" s="1"/>
      <c r="BC8" s="1"/>
    </row>
    <row r="9" spans="1:55" ht="15.75">
      <c r="A9" s="189" t="s">
        <v>213</v>
      </c>
      <c r="B9" s="193">
        <v>5835.74</v>
      </c>
      <c r="C9" s="380">
        <f>SUM('01'!L30:'01'!L34)</f>
        <v>655.59</v>
      </c>
      <c r="D9" s="381"/>
      <c r="E9" s="381"/>
      <c r="F9" s="382"/>
      <c r="G9" s="380">
        <f>SUM('02'!L30:'02'!L34)</f>
        <v>760.26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465.41</v>
      </c>
      <c r="X9" s="381"/>
      <c r="Y9" s="381"/>
      <c r="Z9" s="382"/>
      <c r="AA9" s="380">
        <f>SUM('07'!L30:'07'!L34)</f>
        <v>0</v>
      </c>
      <c r="AB9" s="381"/>
      <c r="AC9" s="381"/>
      <c r="AD9" s="382"/>
      <c r="AE9" s="380">
        <f>SUM('08'!L30:'08'!L34)</f>
        <v>0</v>
      </c>
      <c r="AF9" s="381"/>
      <c r="AG9" s="381"/>
      <c r="AH9" s="382"/>
      <c r="AI9" s="380">
        <f>SUM('09'!L30:'09'!L34)</f>
        <v>0</v>
      </c>
      <c r="AJ9" s="381"/>
      <c r="AK9" s="381"/>
      <c r="AL9" s="382"/>
      <c r="AM9" s="380">
        <f>SUM('10'!L30:'10'!L34)</f>
        <v>0</v>
      </c>
      <c r="AN9" s="381"/>
      <c r="AO9" s="381"/>
      <c r="AP9" s="382"/>
      <c r="AQ9" s="380">
        <f>SUM('11'!L30:'11'!L34)</f>
        <v>0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3483.41</v>
      </c>
      <c r="BA9" s="112">
        <f t="shared" ca="1" si="0"/>
        <v>580.56833333333327</v>
      </c>
      <c r="BB9" s="1"/>
      <c r="BC9" s="1"/>
    </row>
    <row r="10" spans="1:55" ht="15.75">
      <c r="A10" s="190" t="s">
        <v>218</v>
      </c>
      <c r="B10" s="194">
        <v>2731.18</v>
      </c>
      <c r="C10" s="380">
        <f>SUM('01'!L35:'01'!L39)</f>
        <v>120.85</v>
      </c>
      <c r="D10" s="381"/>
      <c r="E10" s="381"/>
      <c r="F10" s="382"/>
      <c r="G10" s="380">
        <f>SUM('02'!L35:'02'!L39)</f>
        <v>107.38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0</v>
      </c>
      <c r="X10" s="397"/>
      <c r="Y10" s="397"/>
      <c r="Z10" s="398"/>
      <c r="AA10" s="396">
        <f>SUM('07'!L35:'07'!L39)</f>
        <v>0</v>
      </c>
      <c r="AB10" s="397"/>
      <c r="AC10" s="397"/>
      <c r="AD10" s="398"/>
      <c r="AE10" s="396">
        <f>SUM('08'!L35:'08'!L39)</f>
        <v>0</v>
      </c>
      <c r="AF10" s="397"/>
      <c r="AG10" s="397"/>
      <c r="AH10" s="398"/>
      <c r="AI10" s="396">
        <f>SUM('09'!L35:'09'!L39)</f>
        <v>0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80">
        <f>SUM('01'!L40:'01'!L44)</f>
        <v>3.87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0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0</v>
      </c>
      <c r="AN11" s="381"/>
      <c r="AO11" s="381"/>
      <c r="AP11" s="382"/>
      <c r="AQ11" s="380">
        <f>SUM('11'!L40:'11'!L44)</f>
        <v>0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80">
        <f>SUM('01'!L45:'01'!L49)</f>
        <v>137</v>
      </c>
      <c r="D12" s="381"/>
      <c r="E12" s="381"/>
      <c r="F12" s="382"/>
      <c r="G12" s="380">
        <f>SUM('02'!L45:'02'!L49)</f>
        <v>600.04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0</v>
      </c>
      <c r="AF12" s="397"/>
      <c r="AG12" s="397"/>
      <c r="AH12" s="398"/>
      <c r="AI12" s="396">
        <f>SUM('09'!L45:'09'!L49)</f>
        <v>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1359.45</v>
      </c>
      <c r="BA12" s="112">
        <f t="shared" ca="1" si="0"/>
        <v>226.57500000000002</v>
      </c>
      <c r="BB12" s="1"/>
      <c r="BC12" s="1"/>
    </row>
    <row r="13" spans="1:55" ht="15.75">
      <c r="A13" s="189" t="s">
        <v>215</v>
      </c>
      <c r="B13" s="195">
        <v>3443.8099999999995</v>
      </c>
      <c r="C13" s="380">
        <f>SUM('01'!L50:'01'!L54)</f>
        <v>95.8</v>
      </c>
      <c r="D13" s="381"/>
      <c r="E13" s="381"/>
      <c r="F13" s="382"/>
      <c r="G13" s="380">
        <f>SUM('02'!L50:'02'!L54)</f>
        <v>95.8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0</v>
      </c>
      <c r="AB13" s="381"/>
      <c r="AC13" s="381"/>
      <c r="AD13" s="382"/>
      <c r="AE13" s="380">
        <f>SUM('08'!L50:'08'!L54)</f>
        <v>0</v>
      </c>
      <c r="AF13" s="381"/>
      <c r="AG13" s="381"/>
      <c r="AH13" s="382"/>
      <c r="AI13" s="380">
        <f>SUM('09'!L50:'09'!L54)</f>
        <v>0</v>
      </c>
      <c r="AJ13" s="381"/>
      <c r="AK13" s="381"/>
      <c r="AL13" s="382"/>
      <c r="AM13" s="380">
        <f>SUM('10'!L50:'10'!L54)</f>
        <v>0</v>
      </c>
      <c r="AN13" s="381"/>
      <c r="AO13" s="381"/>
      <c r="AP13" s="382"/>
      <c r="AQ13" s="380">
        <f>SUM('11'!L50:'11'!L54)</f>
        <v>0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80">
        <f>SUM('01'!L55:'01'!L59)</f>
        <v>0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0</v>
      </c>
      <c r="AB14" s="397"/>
      <c r="AC14" s="397"/>
      <c r="AD14" s="398"/>
      <c r="AE14" s="396">
        <f>SUM('08'!L55:'08'!L59)</f>
        <v>0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0</v>
      </c>
      <c r="AN14" s="397"/>
      <c r="AO14" s="397"/>
      <c r="AP14" s="398"/>
      <c r="AQ14" s="396">
        <f>SUM('11'!L55:'11'!L59)</f>
        <v>0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80">
        <f>SUM('01'!L60:'01'!L64)</f>
        <v>0</v>
      </c>
      <c r="D15" s="381"/>
      <c r="E15" s="381"/>
      <c r="F15" s="382"/>
      <c r="G15" s="380">
        <f>SUM('02'!L60:'02'!L64)</f>
        <v>665.77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0</v>
      </c>
      <c r="AB15" s="381"/>
      <c r="AC15" s="381"/>
      <c r="AD15" s="382"/>
      <c r="AE15" s="380">
        <f>SUM('08'!L60:'08'!L64)</f>
        <v>0</v>
      </c>
      <c r="AF15" s="381"/>
      <c r="AG15" s="381"/>
      <c r="AH15" s="382"/>
      <c r="AI15" s="380">
        <f>SUM('09'!L60:'09'!L64)</f>
        <v>0</v>
      </c>
      <c r="AJ15" s="381"/>
      <c r="AK15" s="381"/>
      <c r="AL15" s="382"/>
      <c r="AM15" s="380">
        <f>SUM('10'!L60:'10'!L64)</f>
        <v>0</v>
      </c>
      <c r="AN15" s="381"/>
      <c r="AO15" s="381"/>
      <c r="AP15" s="382"/>
      <c r="AQ15" s="380">
        <f>SUM('11'!L60:'11'!L64)</f>
        <v>0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80">
        <f>SUM('01'!L65:'01'!L69)</f>
        <v>85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6">
        <f>SUM(C8:C16)</f>
        <v>3691.57</v>
      </c>
      <c r="D17" s="377"/>
      <c r="E17" s="377"/>
      <c r="F17" s="378"/>
      <c r="G17" s="376">
        <f>SUM(G8:G16)</f>
        <v>4821.67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1315.3600000000001</v>
      </c>
      <c r="X17" s="377"/>
      <c r="Y17" s="377"/>
      <c r="Z17" s="378"/>
      <c r="AA17" s="376">
        <f>SUM(AA8:AA16)</f>
        <v>0</v>
      </c>
      <c r="AB17" s="377"/>
      <c r="AC17" s="377"/>
      <c r="AD17" s="378"/>
      <c r="AE17" s="376">
        <f>SUM(AE8:AE16)</f>
        <v>0</v>
      </c>
      <c r="AF17" s="377"/>
      <c r="AG17" s="377"/>
      <c r="AH17" s="378"/>
      <c r="AI17" s="376">
        <f>SUM(AI8:AI16)</f>
        <v>0</v>
      </c>
      <c r="AJ17" s="377"/>
      <c r="AK17" s="377"/>
      <c r="AL17" s="378"/>
      <c r="AM17" s="376">
        <f>SUM(AM8:AM16)</f>
        <v>0</v>
      </c>
      <c r="AN17" s="377"/>
      <c r="AO17" s="377"/>
      <c r="AP17" s="378"/>
      <c r="AQ17" s="376">
        <f>SUM(AQ8:AQ16)</f>
        <v>0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28834.230000000003</v>
      </c>
      <c r="BA17" s="112">
        <f ca="1">AZ17/BC$17</f>
        <v>4805.7050000000008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173</v>
      </c>
      <c r="AV18" s="379"/>
      <c r="AW18" s="379"/>
      <c r="AX18" s="379"/>
      <c r="AZ18" s="131">
        <f>(2500*13)+(600*12)+(550*12)+(95*12)</f>
        <v>47440</v>
      </c>
      <c r="BA18" s="131">
        <f ca="1">12*BA17</f>
        <v>57668.460000000006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58.98</v>
      </c>
      <c r="Z20" s="145">
        <f t="shared" ref="Z20:Z45" si="7">V20+X20-Y20</f>
        <v>724.43999999999983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1268.4399999999998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1812.4399999999998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2356.4399999999996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2900.4399999999996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3444.4399999999996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3988.4399999999996</v>
      </c>
      <c r="AZ20" s="123">
        <f t="shared" ref="AZ20:AZ27" si="14">E20+I20+M20+Q20+U20+Y20+AC20+AG20+AK20+AO20+AS20+AW20</f>
        <v>3188.26</v>
      </c>
      <c r="BA20" s="21">
        <f t="shared" ref="BA20:BA45" si="15">AZ20/AZ$46</f>
        <v>0.11743385952033576</v>
      </c>
      <c r="BB20" s="22">
        <f>_xlfn.RANK.EQ(BA20,$BA$20:$BA$45,)</f>
        <v>3</v>
      </c>
      <c r="BC20" s="22">
        <f t="shared" ref="BC20:BC45" ca="1" si="16">AZ20/BC$17</f>
        <v>531.37666666666667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0.12013221785357193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275.6600000000002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900</v>
      </c>
      <c r="Z21" s="151">
        <f t="shared" si="7"/>
        <v>540.02999999999952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1688.0299999999995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2816.0299999999997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3944.0299999999997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5072.03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6200.03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7328.03</v>
      </c>
      <c r="AZ21" s="152">
        <f t="shared" si="14"/>
        <v>7025.83</v>
      </c>
      <c r="BA21" s="21">
        <f t="shared" si="15"/>
        <v>0.25878389254131112</v>
      </c>
      <c r="BB21" s="22">
        <f t="shared" ref="BB21:BB45" si="20">_xlfn.RANK.EQ(BA21,$BA$20:$BA$45,)</f>
        <v>1</v>
      </c>
      <c r="BC21" s="22">
        <f t="shared" ca="1" si="16"/>
        <v>1170.9716666666666</v>
      </c>
      <c r="BE21" s="224">
        <f t="shared" ca="1" si="17"/>
        <v>6913</v>
      </c>
      <c r="BF21" s="21">
        <f t="shared" ca="1" si="18"/>
        <v>0.23974976963144148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-112.83000000000015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128.18</v>
      </c>
      <c r="Z22" s="156">
        <f t="shared" si="7"/>
        <v>714.72000000000025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1014.7200000000003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1504.7200000000003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1994.7200000000003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2484.7200000000003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2974.7200000000003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3464.7200000000003</v>
      </c>
      <c r="AZ22" s="157">
        <f t="shared" si="14"/>
        <v>1745.3500000000001</v>
      </c>
      <c r="BA22" s="21">
        <f t="shared" si="15"/>
        <v>6.4286848222484372E-2</v>
      </c>
      <c r="BB22" s="22">
        <f t="shared" si="20"/>
        <v>6</v>
      </c>
      <c r="BC22" s="22">
        <f t="shared" ca="1" si="16"/>
        <v>290.89166666666671</v>
      </c>
      <c r="BE22" s="225">
        <f t="shared" ca="1" si="17"/>
        <v>2214</v>
      </c>
      <c r="BF22" s="21">
        <f t="shared" ca="1" si="18"/>
        <v>7.6783739326487993E-2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468.65000000000009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66.05</v>
      </c>
      <c r="Z23" s="151">
        <f t="shared" si="7"/>
        <v>168.28000000000009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338.28000000000009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488.28000000000009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638.28000000000009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788.28000000000009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938.28000000000009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1088.2800000000002</v>
      </c>
      <c r="AZ23" s="152">
        <f t="shared" si="14"/>
        <v>928.84999999999991</v>
      </c>
      <c r="BA23" s="21">
        <f t="shared" si="15"/>
        <v>3.421252984871493E-2</v>
      </c>
      <c r="BB23" s="22">
        <f t="shared" si="20"/>
        <v>8</v>
      </c>
      <c r="BC23" s="22">
        <f t="shared" ca="1" si="16"/>
        <v>154.80833333333331</v>
      </c>
      <c r="BE23" s="224">
        <f t="shared" ca="1" si="17"/>
        <v>1055</v>
      </c>
      <c r="BF23" s="21">
        <f t="shared" ca="1" si="18"/>
        <v>3.6588457538141293E-2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126.15000000000006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110.07000000000001</v>
      </c>
      <c r="Z24" s="156">
        <f t="shared" si="7"/>
        <v>172.8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332.8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492.8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652.79999999999995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812.8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972.8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1132.8</v>
      </c>
      <c r="AZ24" s="157">
        <f t="shared" si="14"/>
        <v>797.2</v>
      </c>
      <c r="BA24" s="21">
        <f t="shared" si="15"/>
        <v>2.9363437363832207E-2</v>
      </c>
      <c r="BB24" s="22">
        <f t="shared" si="20"/>
        <v>10</v>
      </c>
      <c r="BC24" s="22">
        <f t="shared" ca="1" si="16"/>
        <v>132.86666666666667</v>
      </c>
      <c r="BE24" s="225">
        <f t="shared" ca="1" si="17"/>
        <v>970</v>
      </c>
      <c r="BF24" s="21">
        <f t="shared" ca="1" si="18"/>
        <v>3.36405723336465E-2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172.8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3417.6199999999976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3822.6199999999976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4227.6199999999972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4632.6199999999972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5037.6199999999972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5442.6199999999972</v>
      </c>
      <c r="AZ25" s="152">
        <f t="shared" si="14"/>
        <v>2028.2800000000002</v>
      </c>
      <c r="BA25" s="21">
        <f t="shared" si="15"/>
        <v>7.4708069162460602E-2</v>
      </c>
      <c r="BB25" s="22">
        <f t="shared" si="20"/>
        <v>4</v>
      </c>
      <c r="BC25" s="22">
        <f t="shared" ca="1" si="16"/>
        <v>338.04666666666668</v>
      </c>
      <c r="BE25" s="224">
        <f t="shared" ca="1" si="17"/>
        <v>1838.35</v>
      </c>
      <c r="BF25" s="21">
        <f t="shared" ca="1" si="18"/>
        <v>6.3755820772741278E-2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-189.93000000000075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17.990000000000002</v>
      </c>
      <c r="Z26" s="156">
        <f t="shared" si="7"/>
        <v>57.529999999999994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110.53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158.53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206.53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254.53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302.52999999999997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350.53</v>
      </c>
      <c r="AZ26" s="157">
        <f t="shared" si="14"/>
        <v>275.46000000000004</v>
      </c>
      <c r="BA26" s="21">
        <f t="shared" si="15"/>
        <v>1.0146076839238861E-2</v>
      </c>
      <c r="BB26" s="22">
        <f t="shared" si="20"/>
        <v>17</v>
      </c>
      <c r="BC26" s="22">
        <f t="shared" ca="1" si="16"/>
        <v>45.910000000000004</v>
      </c>
      <c r="BE26" s="225">
        <f t="shared" ca="1" si="17"/>
        <v>313.45</v>
      </c>
      <c r="BF26" s="21">
        <f t="shared" ca="1" si="18"/>
        <v>1.0870760204104634E-2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37.990000000000045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1.035934114222003E-2</v>
      </c>
      <c r="BB27" s="22">
        <f t="shared" si="20"/>
        <v>16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8.3234405773970725E-3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7.340159509911999E-2</v>
      </c>
      <c r="BB28" s="22">
        <f t="shared" si="20"/>
        <v>5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9.9882674168861096E-2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36.86</v>
      </c>
      <c r="Z29" s="160">
        <f t="shared" si="7"/>
        <v>135.94000000000005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205.94000000000005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275.94000000000005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345.94000000000005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415.94000000000005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485.94000000000005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555.94000000000005</v>
      </c>
      <c r="AZ29" s="152">
        <f t="shared" si="23"/>
        <v>211.39</v>
      </c>
      <c r="BA29" s="21">
        <f t="shared" si="15"/>
        <v>7.7861728855249486E-3</v>
      </c>
      <c r="BB29" s="22">
        <f t="shared" si="20"/>
        <v>18</v>
      </c>
      <c r="BC29" s="22">
        <f t="shared" ca="1" si="16"/>
        <v>35.231666666666662</v>
      </c>
      <c r="BE29" s="224">
        <f t="shared" ca="1" si="17"/>
        <v>394</v>
      </c>
      <c r="BF29" s="21">
        <f t="shared" ca="1" si="18"/>
        <v>1.3664314947893526E-2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182.60999999999999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4.8280975535011598E-3</v>
      </c>
      <c r="BB30" s="22">
        <f t="shared" si="20"/>
        <v>20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8.670250601455284E-3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4.2505527744433474E-3</v>
      </c>
      <c r="BB31" s="22">
        <f t="shared" si="20"/>
        <v>21</v>
      </c>
      <c r="BC31" s="22">
        <f t="shared" ca="1" si="16"/>
        <v>19.233333333333334</v>
      </c>
      <c r="BE31" s="224">
        <f t="shared" ca="1" si="17"/>
        <v>120</v>
      </c>
      <c r="BF31" s="21">
        <f t="shared" ca="1" si="18"/>
        <v>4.1617202886985363E-3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4.5999999999999801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21.08</v>
      </c>
      <c r="Z32" s="161">
        <f t="shared" si="7"/>
        <v>997.52999999999986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1097.5299999999997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1147.5299999999997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1197.5299999999997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1247.5299999999997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1297.5299999999997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1347.5299999999997</v>
      </c>
      <c r="AZ32" s="157">
        <f t="shared" si="23"/>
        <v>311.34999999999997</v>
      </c>
      <c r="BA32" s="21">
        <f t="shared" si="15"/>
        <v>1.146802085201851E-2</v>
      </c>
      <c r="BB32" s="22">
        <f t="shared" si="20"/>
        <v>15</v>
      </c>
      <c r="BC32" s="22">
        <f t="shared" ca="1" si="16"/>
        <v>51.891666666666659</v>
      </c>
      <c r="BE32" s="225">
        <f t="shared" ca="1" si="17"/>
        <v>1323.13</v>
      </c>
      <c r="BF32" s="21">
        <f t="shared" ca="1" si="18"/>
        <v>4.5887474713214117E-2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1011.7799999999999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84</v>
      </c>
      <c r="Z33" s="160">
        <f t="shared" si="7"/>
        <v>453.59000000000026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503.59000000000026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553.59000000000026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603.59000000000026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653.59000000000026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703.59000000000026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753.59000000000026</v>
      </c>
      <c r="AZ33" s="152">
        <f t="shared" si="23"/>
        <v>4288.3500000000004</v>
      </c>
      <c r="BA33" s="21">
        <f t="shared" si="15"/>
        <v>0.1579537087546285</v>
      </c>
      <c r="BB33" s="22">
        <f t="shared" si="20"/>
        <v>2</v>
      </c>
      <c r="BC33" s="22">
        <f t="shared" ca="1" si="16"/>
        <v>714.72500000000002</v>
      </c>
      <c r="BE33" s="224">
        <f t="shared" ca="1" si="17"/>
        <v>4321.9400000000005</v>
      </c>
      <c r="BF33" s="21">
        <f t="shared" ca="1" si="18"/>
        <v>0.14988921153781459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33.590000000000259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332.40999999999997</v>
      </c>
      <c r="Y34" s="155">
        <f>SUM('06'!D300:F300)</f>
        <v>242.41000000000003</v>
      </c>
      <c r="Z34" s="161">
        <f t="shared" si="7"/>
        <v>72.909999999999798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162.9099999999998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252.9099999999998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342.9099999999998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432.9099999999998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522.90999999999985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612.90999999999985</v>
      </c>
      <c r="AZ34" s="152">
        <f t="shared" si="23"/>
        <v>983.10000000000014</v>
      </c>
      <c r="BA34" s="21">
        <f t="shared" si="15"/>
        <v>3.621073165125871E-2</v>
      </c>
      <c r="BB34" s="22">
        <f t="shared" si="20"/>
        <v>7</v>
      </c>
      <c r="BC34" s="22">
        <f t="shared" ca="1" si="16"/>
        <v>163.85000000000002</v>
      </c>
      <c r="BE34" s="225">
        <f t="shared" ca="1" si="17"/>
        <v>954.41</v>
      </c>
      <c r="BF34" s="21">
        <f t="shared" ca="1" si="18"/>
        <v>3.3099895506139745E-2</v>
      </c>
      <c r="BG34" s="22">
        <f t="shared" ca="1" si="21"/>
        <v>12</v>
      </c>
      <c r="BH34" s="22">
        <f t="shared" ca="1" si="19"/>
        <v>159.06833333333333</v>
      </c>
      <c r="BJ34" s="225">
        <f t="shared" ca="1" si="22"/>
        <v>-28.690000000000111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3.0022751875639277E-2</v>
      </c>
      <c r="BB35" s="22">
        <f t="shared" si="20"/>
        <v>9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3.6622444920499E-2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1.9561751065676924E-2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2.2543345183831852E-2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1.3541730741110022E-2</v>
      </c>
      <c r="BB37" s="22">
        <f t="shared" si="20"/>
        <v>14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1.1097920769862763E-2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30.5</v>
      </c>
      <c r="Z38" s="156">
        <f t="shared" si="7"/>
        <v>80.230000000000047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150.23000000000005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220.23000000000005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290.23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360.23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430.23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500.23</v>
      </c>
      <c r="AZ38" s="157">
        <f t="shared" si="23"/>
        <v>408.97</v>
      </c>
      <c r="BA38" s="21">
        <f t="shared" si="15"/>
        <v>1.5063679100208803E-2</v>
      </c>
      <c r="BB38" s="22">
        <f t="shared" si="20"/>
        <v>13</v>
      </c>
      <c r="BC38" s="22">
        <f t="shared" ca="1" si="16"/>
        <v>68.161666666666676</v>
      </c>
      <c r="BE38" s="225">
        <f t="shared" ca="1" si="17"/>
        <v>450</v>
      </c>
      <c r="BF38" s="21">
        <f t="shared" ca="1" si="18"/>
        <v>1.5606451082619511E-2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41.030000000000015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-4.0012859715692073E-2</v>
      </c>
      <c r="BG39" s="22">
        <f t="shared" ca="1" si="21"/>
        <v>25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5.821857638895281E-3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-1.9541704425608035E-2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-2788.7899999999995</v>
      </c>
      <c r="Y41" s="165">
        <f>SUM('06'!D440:F440)</f>
        <v>0</v>
      </c>
      <c r="Z41" s="151">
        <f t="shared" si="7"/>
        <v>5212.33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1312.33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-2587.67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-6487.67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-10387.67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-14287.67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-18187.669999999998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-3337.6699999999978</v>
      </c>
      <c r="BF41" s="21">
        <f t="shared" ca="1" si="18"/>
        <v>-0.11575374129983694</v>
      </c>
      <c r="BG41" s="22">
        <f t="shared" ca="1" si="21"/>
        <v>26</v>
      </c>
      <c r="BH41" s="22">
        <f t="shared" ca="1" si="19"/>
        <v>-556.27833333333297</v>
      </c>
      <c r="BJ41" s="224">
        <f t="shared" ca="1" si="22"/>
        <v>-3337.6699999999983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0.14032765917452972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1.8416606475057828E-2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4.0101643081850991E-3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2.3786888923184694E-3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1315.3600000000001</v>
      </c>
      <c r="Y46" s="219">
        <f>SUM(Y20:Y45)</f>
        <v>2261.08</v>
      </c>
      <c r="Z46" s="220">
        <f>SUM(Z20:Z45)</f>
        <v>28068.36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28068.36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28068.36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28068.359999999993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28068.359999999993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28068.359999999993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28068.360000000008</v>
      </c>
      <c r="AZ46" s="227">
        <f>SUM(AZ20:AZ45)</f>
        <v>27149.410000000011</v>
      </c>
      <c r="BA46" s="1"/>
      <c r="BB46" s="1"/>
      <c r="BC46" s="124">
        <f ca="1">SUM(BC20:BC45)</f>
        <v>4524.9016666666657</v>
      </c>
      <c r="BE46" s="227">
        <f ca="1">SUM(BE20:BE45)</f>
        <v>28834.230000000003</v>
      </c>
      <c r="BF46" s="1"/>
      <c r="BG46" s="1"/>
      <c r="BH46" s="124">
        <f ca="1">SUM(BH20:BH45)</f>
        <v>4805.7049999999999</v>
      </c>
      <c r="BJ46" s="227">
        <f ca="1">SUM(BJ20:BJ45)</f>
        <v>1684.8200000000024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-945.7199999999998</v>
      </c>
      <c r="Z47" s="125"/>
      <c r="AA47" s="125">
        <f>AA5-Z46</f>
        <v>1546.739999999998</v>
      </c>
      <c r="AB47" s="125">
        <f>AA17-AB46</f>
        <v>0</v>
      </c>
      <c r="AC47" s="125">
        <f>AA17-AC46</f>
        <v>0</v>
      </c>
      <c r="AD47" s="125"/>
      <c r="AE47" s="125">
        <f>AE5-AD46</f>
        <v>-12966.47</v>
      </c>
      <c r="AF47" s="125">
        <f>AE17-AF46</f>
        <v>0</v>
      </c>
      <c r="AG47" s="125">
        <f>AE17-AG46</f>
        <v>0</v>
      </c>
      <c r="AH47" s="125"/>
      <c r="AI47" s="125">
        <f>AI5-AH46</f>
        <v>-12966.47</v>
      </c>
      <c r="AJ47" s="125">
        <f>AI17-AJ46</f>
        <v>0</v>
      </c>
      <c r="AK47" s="125">
        <f>AI17-AK46</f>
        <v>0</v>
      </c>
      <c r="AL47" s="125"/>
      <c r="AM47" s="125">
        <f>AM5-AL46</f>
        <v>-12966.469999999992</v>
      </c>
      <c r="AN47" s="125">
        <f>AM17-AN46</f>
        <v>0</v>
      </c>
      <c r="AO47" s="125">
        <f>AM17-AO46</f>
        <v>0</v>
      </c>
      <c r="AP47" s="125"/>
      <c r="AQ47" s="125">
        <f>AQ5-AP46</f>
        <v>-12966.469999999992</v>
      </c>
      <c r="AR47" s="125">
        <f>AQ17-AR46</f>
        <v>0</v>
      </c>
      <c r="AS47" s="125">
        <f>AQ17-AS46</f>
        <v>0</v>
      </c>
      <c r="AT47" s="140"/>
      <c r="AU47" s="125">
        <f>AU5-AT46</f>
        <v>-12966.469999999992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54298.819999999992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612</v>
      </c>
      <c r="W50" s="119"/>
      <c r="X50" s="119"/>
      <c r="Y50" s="119">
        <f>Y22+(N59/2)</f>
        <v>134.98000000000002</v>
      </c>
      <c r="Z50" s="119" t="s">
        <v>654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71" t="s">
        <v>257</v>
      </c>
      <c r="M54" s="372"/>
      <c r="N54" s="100">
        <v>70</v>
      </c>
      <c r="O54" s="95"/>
      <c r="P54" s="357"/>
      <c r="Q54" s="358"/>
      <c r="R54" s="102"/>
      <c r="S54" s="95">
        <v>43594</v>
      </c>
      <c r="T54" s="371" t="s">
        <v>243</v>
      </c>
      <c r="U54" s="372"/>
      <c r="V54" s="103"/>
      <c r="W54" s="95">
        <v>43624</v>
      </c>
      <c r="X54" s="371" t="s">
        <v>153</v>
      </c>
      <c r="Y54" s="372"/>
      <c r="Z54" s="104">
        <v>10</v>
      </c>
      <c r="AA54" s="95"/>
      <c r="AB54" s="369" t="s">
        <v>477</v>
      </c>
      <c r="AC54" s="370"/>
      <c r="AD54" s="239">
        <v>16</v>
      </c>
      <c r="AE54" s="95"/>
      <c r="AF54" s="365"/>
      <c r="AG54" s="366"/>
      <c r="AH54" s="100"/>
      <c r="AI54" s="95"/>
      <c r="AJ54" s="361"/>
      <c r="AK54" s="362"/>
      <c r="AL54" s="100"/>
      <c r="AM54" s="95"/>
      <c r="AN54" s="361"/>
      <c r="AO54" s="362"/>
      <c r="AP54" s="100"/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/>
      <c r="X55" s="359"/>
      <c r="Y55" s="360"/>
      <c r="Z55" s="100"/>
      <c r="AA55" s="96"/>
      <c r="AB55" s="342"/>
      <c r="AC55" s="343"/>
      <c r="AD55" s="100"/>
      <c r="AE55" s="96"/>
      <c r="AF55" s="359"/>
      <c r="AG55" s="360"/>
      <c r="AH55" s="100"/>
      <c r="AI55" s="96"/>
      <c r="AJ55" s="359"/>
      <c r="AK55" s="360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9" t="s">
        <v>235</v>
      </c>
      <c r="Q56" s="370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59"/>
      <c r="AG56" s="360"/>
      <c r="AH56" s="100"/>
      <c r="AI56" s="96"/>
      <c r="AJ56" s="363"/>
      <c r="AK56" s="364"/>
      <c r="AL56" s="100"/>
      <c r="AM56" s="96"/>
      <c r="AN56" s="363"/>
      <c r="AO56" s="364"/>
      <c r="AP56" s="100"/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3" t="s">
        <v>390</v>
      </c>
      <c r="Q57" s="374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/>
      <c r="AJ57" s="353"/>
      <c r="AK57" s="354"/>
      <c r="AL57" s="100"/>
      <c r="AM57" s="96"/>
      <c r="AN57" s="363"/>
      <c r="AO57" s="364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3"/>
      <c r="AO58" s="35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386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3"/>
      <c r="AO59" s="354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3" t="s">
        <v>390</v>
      </c>
      <c r="M60" s="374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5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567</v>
      </c>
      <c r="U70" s="343"/>
      <c r="V70" s="100">
        <v>3742.92</v>
      </c>
      <c r="W70" s="96"/>
      <c r="X70" s="342" t="s">
        <v>565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568</v>
      </c>
      <c r="U71" s="368"/>
      <c r="V71" s="101">
        <v>1872.17</v>
      </c>
      <c r="W71" s="97"/>
      <c r="X71" s="367" t="s">
        <v>566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36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13</v>
      </c>
      <c r="D75">
        <f>C75*D74</f>
        <v>43.333333333333336</v>
      </c>
      <c r="Z75" s="111"/>
    </row>
    <row r="76" spans="1:50">
      <c r="D76">
        <f>D75-D73</f>
        <v>7.3333333333333357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2368.44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'08'!A27+(B27-SUM(D27:F27))</f>
        <v>746.02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3944.0299999999997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212.93000000000004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1571.44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2912.44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'09'!A27+(B27-SUM(D27:F27))</f>
        <v>916.02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5072.0300000000007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1950.91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3456.44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'10'!A27+(B27-SUM(D27:F27))</f>
        <v>1086.02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6200.0300000000007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354.93000000000006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2330.38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4000.44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'11'!A27+(B27-SUM(D27:F27))</f>
        <v>1256.02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7328.0300000000007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425.93000000000006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2709.8500000000004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I13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1421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43630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25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43630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476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43630</v>
      </c>
      <c r="L5" s="263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3.9845758354755782E-2</v>
      </c>
      <c r="X13" s="119">
        <f ca="1">W13*E13</f>
        <v>160.15081934447301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3.5347043701799488E-2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8.9974293059125968E-3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0.55848329048843193</v>
      </c>
      <c r="X19" s="119">
        <f t="shared" ca="1" si="2"/>
        <v>2470.3949424678672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0.40616966580976865</v>
      </c>
      <c r="X20" s="119">
        <f t="shared" ca="1" si="2"/>
        <v>243.94550128534706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0.18508997429305912</v>
      </c>
      <c r="X25" s="119">
        <f t="shared" ca="1" si="2"/>
        <v>112.52789787146529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476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43630</v>
      </c>
      <c r="L28" s="302">
        <v>25</v>
      </c>
      <c r="M28" s="264">
        <f>(H28*L28)</f>
        <v>4900</v>
      </c>
      <c r="N28" s="264">
        <f>-(IF((M28*0.0075)&lt;30,30,(M28*0.0075)) + (M28*0.0035))</f>
        <v>-53.900000000000006</v>
      </c>
      <c r="O28" s="272">
        <f>J28+N28</f>
        <v>-109.91288</v>
      </c>
      <c r="P28" s="273">
        <f ca="1">IF(K28=0,0,M28-E28+N28)</f>
        <v>-301.99288000000013</v>
      </c>
      <c r="Q28" s="274">
        <f ca="1">P28/E28</f>
        <v>-5.8661117240759675E-2</v>
      </c>
      <c r="R28" s="275" t="s">
        <v>519</v>
      </c>
      <c r="S28" s="59">
        <f ca="1">Q28+Q29+Q30+Q34</f>
        <v>-3.4255963151931343E-2</v>
      </c>
      <c r="W28" s="39">
        <f t="shared" ca="1" si="1"/>
        <v>0.3059125964010283</v>
      </c>
      <c r="X28" s="119">
        <f t="shared" ca="1" si="2"/>
        <v>1574.8664594344475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1.4138817480719794E-2</v>
      </c>
      <c r="X33" s="119">
        <f t="shared" ca="1" si="2"/>
        <v>58.38096169665809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25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43630</v>
      </c>
      <c r="L35" s="302">
        <v>62.5</v>
      </c>
      <c r="M35" s="264">
        <f>(H35*L35)</f>
        <v>3875</v>
      </c>
      <c r="N35" s="264">
        <f>-(IF((M35*0.0075)&lt;30,30,(M35*0.0075)) + (M35*0.0035))</f>
        <v>-43.5625</v>
      </c>
      <c r="O35" s="272">
        <f>J35+N35</f>
        <v>-88.049360000000007</v>
      </c>
      <c r="P35" s="273">
        <f ca="1">IF(K35=0,0,M35-E35+N35)</f>
        <v>-257.3093600000002</v>
      </c>
      <c r="Q35" s="274">
        <f ca="1">P35/E35</f>
        <v>-6.2931105497687906E-2</v>
      </c>
      <c r="R35" s="275" t="s">
        <v>413</v>
      </c>
      <c r="W35" s="39">
        <f t="shared" ca="1" si="1"/>
        <v>1.6066838046272493E-2</v>
      </c>
      <c r="X35" s="119">
        <f t="shared" ca="1" si="2"/>
        <v>65.693233611825192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2443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-368.04375900000002</v>
      </c>
      <c r="O42" s="315">
        <f>SUM(O13:O41)</f>
        <v>-554.24189699999999</v>
      </c>
      <c r="P42" s="315">
        <f ca="1">SUM(P13:P41)</f>
        <v>3098.5764829999998</v>
      </c>
      <c r="Q42" s="326">
        <f ca="1">SUM(Q13:Q41)</f>
        <v>3.8017734834226227</v>
      </c>
      <c r="R42" s="317"/>
      <c r="W42" s="327">
        <f ca="1">SUM(W13:W41)</f>
        <v>1.5700514138817483</v>
      </c>
      <c r="X42" s="328">
        <f ca="1">SUM(X13:X41)</f>
        <v>4685.9598157120836</v>
      </c>
      <c r="Y42" s="329">
        <f ca="1">P42/X42</f>
        <v>0.66124691735734331</v>
      </c>
      <c r="Z42" s="329">
        <f ca="1">Y42/(D$43/365)</f>
        <v>0.15511254809474956</v>
      </c>
    </row>
    <row r="43" spans="1:26">
      <c r="C43" s="119" t="s">
        <v>570</v>
      </c>
      <c r="D43" s="46">
        <f ca="1">_xlfn.DAYS(TODAY(),F13)</f>
        <v>1556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-69.620484408420864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-85.891519338519345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-34.992841211989365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-66.804515041070616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-257.3093600000002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>
        <v>2018</v>
      </c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5">
        <v>2901.68</v>
      </c>
      <c r="L5" s="42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7">
        <v>620.05999999999995</v>
      </c>
      <c r="L6" s="42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7">
        <v>8035.29</v>
      </c>
      <c r="L7" s="42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7">
        <v>659.39</v>
      </c>
      <c r="L9" s="42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7">
        <f>240+35</f>
        <v>275</v>
      </c>
      <c r="L11" s="42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3">
        <f>SUM(K5:K18)</f>
        <v>26383.54</v>
      </c>
      <c r="L19" s="43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12"/>
      <c r="I22" s="417" t="s">
        <v>6</v>
      </c>
      <c r="J22" s="418"/>
      <c r="K22" s="418"/>
      <c r="L22" s="41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12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12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4" t="str">
        <f>AÑO!A8</f>
        <v>Manolo Salario</v>
      </c>
      <c r="J25" s="407" t="s">
        <v>291</v>
      </c>
      <c r="K25" s="40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4" t="str">
        <f>AÑO!A9</f>
        <v>Rocío Salario</v>
      </c>
      <c r="J30" s="407" t="s">
        <v>238</v>
      </c>
      <c r="K30" s="40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5"/>
      <c r="J31" s="409" t="s">
        <v>256</v>
      </c>
      <c r="K31" s="41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16" t="s">
        <v>267</v>
      </c>
      <c r="K32" s="41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218</v>
      </c>
      <c r="J35" s="407" t="s">
        <v>306</v>
      </c>
      <c r="K35" s="40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4" t="str">
        <f>AÑO!A11</f>
        <v>Finanazas</v>
      </c>
      <c r="J40" s="407" t="s">
        <v>239</v>
      </c>
      <c r="K40" s="40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240</v>
      </c>
      <c r="K41" s="410"/>
      <c r="L41" s="229">
        <v>1.87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12"/>
      <c r="I42" s="405"/>
      <c r="J42" s="409" t="s">
        <v>269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4" t="str">
        <f>AÑO!A12</f>
        <v>Regalos</v>
      </c>
      <c r="J45" s="407" t="s">
        <v>299</v>
      </c>
      <c r="K45" s="40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4" t="str">
        <f>AÑO!A13</f>
        <v>Gubernamental</v>
      </c>
      <c r="J50" s="407" t="s">
        <v>259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12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4" t="str">
        <f>AÑO!A16</f>
        <v>Otros</v>
      </c>
      <c r="J65" s="407" t="s">
        <v>296</v>
      </c>
      <c r="K65" s="40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12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12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12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12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12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12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12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12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  <c r="H202" s="112"/>
    </row>
    <row r="203" spans="2:12" ht="15" customHeight="1" thickBot="1">
      <c r="B203" s="420"/>
      <c r="C203" s="421"/>
      <c r="D203" s="421"/>
      <c r="E203" s="421"/>
      <c r="F203" s="421"/>
      <c r="G203" s="422"/>
      <c r="H203" s="112"/>
    </row>
    <row r="204" spans="2:12" ht="15.75">
      <c r="B204" s="430" t="s">
        <v>8</v>
      </c>
      <c r="C204" s="431"/>
      <c r="D204" s="432" t="s">
        <v>9</v>
      </c>
      <c r="E204" s="432"/>
      <c r="F204" s="432"/>
      <c r="G204" s="43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9" t="str">
        <f>AÑO!A31</f>
        <v>Deportes</v>
      </c>
      <c r="C222" s="418"/>
      <c r="D222" s="418"/>
      <c r="E222" s="418"/>
      <c r="F222" s="418"/>
      <c r="G222" s="419"/>
      <c r="H222" s="112"/>
    </row>
    <row r="223" spans="2:8" ht="15" customHeight="1" thickBot="1">
      <c r="B223" s="420"/>
      <c r="C223" s="421"/>
      <c r="D223" s="421"/>
      <c r="E223" s="421"/>
      <c r="F223" s="421"/>
      <c r="G223" s="422"/>
      <c r="H223" s="112"/>
    </row>
    <row r="224" spans="2:8" ht="15.75">
      <c r="B224" s="430" t="s">
        <v>8</v>
      </c>
      <c r="C224" s="431"/>
      <c r="D224" s="432" t="s">
        <v>9</v>
      </c>
      <c r="E224" s="432"/>
      <c r="F224" s="432"/>
      <c r="G224" s="43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9" t="str">
        <f>AÑO!A32</f>
        <v>Hogar</v>
      </c>
      <c r="C242" s="418"/>
      <c r="D242" s="418"/>
      <c r="E242" s="418"/>
      <c r="F242" s="418"/>
      <c r="G242" s="419"/>
      <c r="H242" s="112"/>
    </row>
    <row r="243" spans="2:8" ht="15" customHeight="1" thickBot="1">
      <c r="B243" s="420"/>
      <c r="C243" s="421"/>
      <c r="D243" s="421"/>
      <c r="E243" s="421"/>
      <c r="F243" s="421"/>
      <c r="G243" s="422"/>
      <c r="H243" s="112"/>
    </row>
    <row r="244" spans="2:8" ht="15" customHeight="1">
      <c r="B244" s="430" t="s">
        <v>8</v>
      </c>
      <c r="C244" s="431"/>
      <c r="D244" s="432" t="s">
        <v>9</v>
      </c>
      <c r="E244" s="432"/>
      <c r="F244" s="432"/>
      <c r="G244" s="43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9" t="str">
        <f>AÑO!A33</f>
        <v>Formación</v>
      </c>
      <c r="C262" s="418"/>
      <c r="D262" s="418"/>
      <c r="E262" s="418"/>
      <c r="F262" s="418"/>
      <c r="G262" s="419"/>
      <c r="H262" s="112"/>
    </row>
    <row r="263" spans="2:8" ht="15" customHeight="1" thickBot="1">
      <c r="B263" s="420"/>
      <c r="C263" s="421"/>
      <c r="D263" s="421"/>
      <c r="E263" s="421"/>
      <c r="F263" s="421"/>
      <c r="G263" s="422"/>
      <c r="H263" s="112"/>
    </row>
    <row r="264" spans="2:8" ht="15.75">
      <c r="B264" s="430" t="s">
        <v>8</v>
      </c>
      <c r="C264" s="431"/>
      <c r="D264" s="432" t="s">
        <v>9</v>
      </c>
      <c r="E264" s="432"/>
      <c r="F264" s="432"/>
      <c r="G264" s="43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  <c r="H282" s="112"/>
    </row>
    <row r="283" spans="2:8" ht="15" customHeight="1" thickBot="1">
      <c r="B283" s="420"/>
      <c r="C283" s="421"/>
      <c r="D283" s="421"/>
      <c r="E283" s="421"/>
      <c r="F283" s="421"/>
      <c r="G283" s="422"/>
      <c r="H283" s="112"/>
    </row>
    <row r="284" spans="2:8" ht="15.75">
      <c r="B284" s="430" t="s">
        <v>8</v>
      </c>
      <c r="C284" s="431"/>
      <c r="D284" s="432" t="s">
        <v>9</v>
      </c>
      <c r="E284" s="432"/>
      <c r="F284" s="432"/>
      <c r="G284" s="43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  <c r="H302" s="112"/>
    </row>
    <row r="303" spans="2:8" ht="15" customHeight="1" thickBot="1">
      <c r="B303" s="420"/>
      <c r="C303" s="421"/>
      <c r="D303" s="421"/>
      <c r="E303" s="421"/>
      <c r="F303" s="421"/>
      <c r="G303" s="422"/>
      <c r="H303" s="112"/>
    </row>
    <row r="304" spans="2:8" ht="15.75">
      <c r="B304" s="430" t="s">
        <v>8</v>
      </c>
      <c r="C304" s="431"/>
      <c r="D304" s="432" t="s">
        <v>9</v>
      </c>
      <c r="E304" s="432"/>
      <c r="F304" s="432"/>
      <c r="G304" s="43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9" t="str">
        <f>AÑO!A36</f>
        <v>Nenas</v>
      </c>
      <c r="C322" s="418"/>
      <c r="D322" s="418"/>
      <c r="E322" s="418"/>
      <c r="F322" s="418"/>
      <c r="G322" s="419"/>
      <c r="H322" s="112"/>
    </row>
    <row r="323" spans="2:8" ht="15" customHeight="1" thickBot="1">
      <c r="B323" s="420"/>
      <c r="C323" s="421"/>
      <c r="D323" s="421"/>
      <c r="E323" s="421"/>
      <c r="F323" s="421"/>
      <c r="G323" s="422"/>
      <c r="H323" s="112"/>
    </row>
    <row r="324" spans="2:8" ht="15.75">
      <c r="B324" s="430" t="s">
        <v>8</v>
      </c>
      <c r="C324" s="431"/>
      <c r="D324" s="432" t="s">
        <v>9</v>
      </c>
      <c r="E324" s="432"/>
      <c r="F324" s="432"/>
      <c r="G324" s="43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9" t="str">
        <f>AÑO!A37</f>
        <v>Impuestos</v>
      </c>
      <c r="C342" s="418"/>
      <c r="D342" s="418"/>
      <c r="E342" s="418"/>
      <c r="F342" s="418"/>
      <c r="G342" s="419"/>
      <c r="H342" s="112"/>
    </row>
    <row r="343" spans="2:8" ht="15" customHeight="1" thickBot="1">
      <c r="B343" s="420"/>
      <c r="C343" s="421"/>
      <c r="D343" s="421"/>
      <c r="E343" s="421"/>
      <c r="F343" s="421"/>
      <c r="G343" s="422"/>
      <c r="H343" s="112"/>
    </row>
    <row r="344" spans="2:8" ht="15.75">
      <c r="B344" s="430" t="s">
        <v>8</v>
      </c>
      <c r="C344" s="431"/>
      <c r="D344" s="432" t="s">
        <v>9</v>
      </c>
      <c r="E344" s="432"/>
      <c r="F344" s="432"/>
      <c r="G344" s="43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9" t="str">
        <f>AÑO!A38</f>
        <v>Gastos Curros</v>
      </c>
      <c r="C362" s="418"/>
      <c r="D362" s="418"/>
      <c r="E362" s="418"/>
      <c r="F362" s="418"/>
      <c r="G362" s="419"/>
      <c r="H362" s="112"/>
    </row>
    <row r="363" spans="2:8" ht="15" customHeight="1" thickBot="1">
      <c r="B363" s="420"/>
      <c r="C363" s="421"/>
      <c r="D363" s="421"/>
      <c r="E363" s="421"/>
      <c r="F363" s="421"/>
      <c r="G363" s="422"/>
      <c r="H363" s="112"/>
    </row>
    <row r="364" spans="2:8" ht="15.75">
      <c r="B364" s="430" t="s">
        <v>8</v>
      </c>
      <c r="C364" s="431"/>
      <c r="D364" s="432" t="s">
        <v>9</v>
      </c>
      <c r="E364" s="432"/>
      <c r="F364" s="432"/>
      <c r="G364" s="43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9" t="str">
        <f>AÑO!A39</f>
        <v>Dreamed Holidays</v>
      </c>
      <c r="C382" s="418"/>
      <c r="D382" s="418"/>
      <c r="E382" s="418"/>
      <c r="F382" s="418"/>
      <c r="G382" s="419"/>
      <c r="H382" s="112"/>
    </row>
    <row r="383" spans="2:8" ht="15" customHeight="1" thickBot="1">
      <c r="B383" s="420"/>
      <c r="C383" s="421"/>
      <c r="D383" s="421"/>
      <c r="E383" s="421"/>
      <c r="F383" s="421"/>
      <c r="G383" s="422"/>
      <c r="H383" s="112"/>
    </row>
    <row r="384" spans="2:8" ht="15.75">
      <c r="B384" s="430" t="s">
        <v>8</v>
      </c>
      <c r="C384" s="431"/>
      <c r="D384" s="432" t="s">
        <v>9</v>
      </c>
      <c r="E384" s="432"/>
      <c r="F384" s="432"/>
      <c r="G384" s="43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9" t="str">
        <f>AÑO!A40</f>
        <v>Financieros</v>
      </c>
      <c r="C402" s="418"/>
      <c r="D402" s="418"/>
      <c r="E402" s="418"/>
      <c r="F402" s="418"/>
      <c r="G402" s="419"/>
      <c r="H402" s="112"/>
    </row>
    <row r="403" spans="2:8" ht="15" customHeight="1" thickBot="1">
      <c r="B403" s="420"/>
      <c r="C403" s="421"/>
      <c r="D403" s="421"/>
      <c r="E403" s="421"/>
      <c r="F403" s="421"/>
      <c r="G403" s="422"/>
      <c r="H403" s="112"/>
    </row>
    <row r="404" spans="2:8" ht="15.75">
      <c r="B404" s="430" t="s">
        <v>8</v>
      </c>
      <c r="C404" s="431"/>
      <c r="D404" s="432" t="s">
        <v>9</v>
      </c>
      <c r="E404" s="432"/>
      <c r="F404" s="432"/>
      <c r="G404" s="43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  <c r="H422" s="112"/>
    </row>
    <row r="423" spans="1:8" ht="15" customHeight="1" thickBot="1">
      <c r="B423" s="437"/>
      <c r="C423" s="438"/>
      <c r="D423" s="438"/>
      <c r="E423" s="438"/>
      <c r="F423" s="438"/>
      <c r="G423" s="439"/>
      <c r="H423" s="112"/>
    </row>
    <row r="424" spans="1:8" ht="15.75">
      <c r="B424" s="430" t="s">
        <v>8</v>
      </c>
      <c r="C424" s="431"/>
      <c r="D424" s="432" t="s">
        <v>9</v>
      </c>
      <c r="E424" s="432"/>
      <c r="F424" s="432"/>
      <c r="G424" s="43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9" t="str">
        <f>AÑO!A42</f>
        <v>Dinero Bloqueado</v>
      </c>
      <c r="C442" s="435"/>
      <c r="D442" s="435"/>
      <c r="E442" s="435"/>
      <c r="F442" s="435"/>
      <c r="G442" s="436"/>
      <c r="H442" s="112"/>
    </row>
    <row r="443" spans="2:8" ht="15" customHeight="1" thickBot="1">
      <c r="B443" s="437"/>
      <c r="C443" s="438"/>
      <c r="D443" s="438"/>
      <c r="E443" s="438"/>
      <c r="F443" s="438"/>
      <c r="G443" s="439"/>
      <c r="H443" s="112"/>
    </row>
    <row r="444" spans="2:8" ht="15.75">
      <c r="B444" s="430" t="s">
        <v>8</v>
      </c>
      <c r="C444" s="431"/>
      <c r="D444" s="432" t="s">
        <v>9</v>
      </c>
      <c r="E444" s="432"/>
      <c r="F444" s="432"/>
      <c r="G444" s="43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9" t="str">
        <f>AÑO!A43</f>
        <v>Cartama Finanazas</v>
      </c>
      <c r="C462" s="435"/>
      <c r="D462" s="435"/>
      <c r="E462" s="435"/>
      <c r="F462" s="435"/>
      <c r="G462" s="436"/>
      <c r="H462" s="112"/>
    </row>
    <row r="463" spans="2:8" ht="15" customHeight="1" thickBot="1">
      <c r="B463" s="437"/>
      <c r="C463" s="438"/>
      <c r="D463" s="438"/>
      <c r="E463" s="438"/>
      <c r="F463" s="438"/>
      <c r="G463" s="439"/>
      <c r="H463" s="112"/>
    </row>
    <row r="464" spans="2:8" ht="15.75">
      <c r="B464" s="430" t="s">
        <v>8</v>
      </c>
      <c r="C464" s="431"/>
      <c r="D464" s="432" t="s">
        <v>9</v>
      </c>
      <c r="E464" s="432"/>
      <c r="F464" s="432"/>
      <c r="G464" s="43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9" t="str">
        <f>AÑO!A44</f>
        <v>NULO</v>
      </c>
      <c r="C482" s="435"/>
      <c r="D482" s="435"/>
      <c r="E482" s="435"/>
      <c r="F482" s="435"/>
      <c r="G482" s="436"/>
      <c r="H482" s="112"/>
    </row>
    <row r="483" spans="2:8" ht="15" customHeight="1" thickBot="1">
      <c r="B483" s="437"/>
      <c r="C483" s="438"/>
      <c r="D483" s="438"/>
      <c r="E483" s="438"/>
      <c r="F483" s="438"/>
      <c r="G483" s="439"/>
      <c r="H483" s="112"/>
    </row>
    <row r="484" spans="2:8" ht="15.75">
      <c r="B484" s="430" t="s">
        <v>8</v>
      </c>
      <c r="C484" s="431"/>
      <c r="D484" s="432" t="s">
        <v>9</v>
      </c>
      <c r="E484" s="432"/>
      <c r="F484" s="432"/>
      <c r="G484" s="43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9" t="str">
        <f>AÑO!A45</f>
        <v>OTROS</v>
      </c>
      <c r="C502" s="435"/>
      <c r="D502" s="435"/>
      <c r="E502" s="435"/>
      <c r="F502" s="435"/>
      <c r="G502" s="436"/>
      <c r="H502" s="112"/>
    </row>
    <row r="503" spans="2:8" ht="15" customHeight="1" thickBot="1">
      <c r="B503" s="437"/>
      <c r="C503" s="438"/>
      <c r="D503" s="438"/>
      <c r="E503" s="438"/>
      <c r="F503" s="438"/>
      <c r="G503" s="439"/>
      <c r="H503" s="112"/>
    </row>
    <row r="504" spans="2:8" ht="15.75">
      <c r="B504" s="430" t="s">
        <v>8</v>
      </c>
      <c r="C504" s="431"/>
      <c r="D504" s="432" t="s">
        <v>9</v>
      </c>
      <c r="E504" s="432"/>
      <c r="F504" s="432"/>
      <c r="G504" s="43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2397.48-4.45</f>
        <v>2393.0300000000002</v>
      </c>
      <c r="L5" s="426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>
        <f>7340.23-4.45</f>
        <v>7335.78</v>
      </c>
      <c r="L7" s="42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7001.87</v>
      </c>
      <c r="L8" s="42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669.52</v>
      </c>
      <c r="L9" s="42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160+155</f>
        <v>315</v>
      </c>
      <c r="L11" s="42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25229.379999999997</v>
      </c>
      <c r="L19" s="434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314</v>
      </c>
      <c r="K30" s="40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319</v>
      </c>
      <c r="K31" s="41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314</v>
      </c>
      <c r="K33" s="410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4" t="str">
        <f>AÑO!A15</f>
        <v>Alquiler Cartama</v>
      </c>
      <c r="J60" s="407" t="s">
        <v>315</v>
      </c>
      <c r="K60" s="40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1559.34</v>
      </c>
      <c r="L5" s="426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7">
        <v>8577.0300000000007</v>
      </c>
      <c r="L7" s="42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7">
        <v>4167.34</v>
      </c>
      <c r="L9" s="42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255</v>
      </c>
      <c r="L11" s="42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25574.760000000002</v>
      </c>
      <c r="L19" s="434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238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380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5"/>
      <c r="J46" s="409" t="s">
        <v>160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5"/>
      <c r="J51" s="409" t="s">
        <v>418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4" t="str">
        <f>AÑO!A14</f>
        <v>Mutualite/DKV</v>
      </c>
      <c r="J55" s="440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367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8" ht="15" customHeight="1" thickBot="1">
      <c r="B243" s="420"/>
      <c r="C243" s="421"/>
      <c r="D243" s="421"/>
      <c r="E243" s="421"/>
      <c r="F243" s="421"/>
      <c r="G243" s="42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2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861.84</v>
      </c>
      <c r="L5" s="426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10075.709999999999</v>
      </c>
      <c r="L7" s="42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35.96</v>
      </c>
      <c r="L9" s="42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370</v>
      </c>
      <c r="L11" s="42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5092.08+4084.2</f>
        <v>9176.2799999999988</v>
      </c>
      <c r="L12" s="42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425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445</v>
      </c>
      <c r="K41" s="410"/>
      <c r="L41" s="229">
        <v>352.82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 t="s">
        <v>60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434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0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1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449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2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1773.93</v>
      </c>
      <c r="L5" s="426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7144.52</v>
      </c>
      <c r="L7" s="42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10005.620000000001</v>
      </c>
      <c r="L8" s="42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514.82000000000005</v>
      </c>
      <c r="L9" s="42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210</f>
        <v>210</v>
      </c>
      <c r="L11" s="42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363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473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04" t="str">
        <f>AÑO!A13</f>
        <v>Gubernamental</v>
      </c>
      <c r="J50" s="407" t="s">
        <v>484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04" t="str">
        <f>AÑO!A14</f>
        <v>Mutualite/DKV</v>
      </c>
      <c r="J55" s="407" t="s">
        <v>478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615</v>
      </c>
      <c r="D287" s="137">
        <v>54.8</v>
      </c>
      <c r="E287" s="138"/>
      <c r="F287" s="138"/>
      <c r="G287" s="16" t="s">
        <v>617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0" t="s">
        <v>9</v>
      </c>
      <c r="E424" s="432"/>
      <c r="F424" s="432"/>
      <c r="G424" s="43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49" workbookViewId="0">
      <selection activeCell="D368" sqref="D36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1614.1099999999997</v>
      </c>
      <c r="L5" s="426"/>
      <c r="M5" s="1">
        <f>-542.82</f>
        <v>-542.82000000000005</v>
      </c>
      <c r="N5" s="1" t="s">
        <v>613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f>9234.42-58.2</f>
        <v>9176.2199999999993</v>
      </c>
      <c r="L7" s="42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736.44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58.98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628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540.03</v>
      </c>
      <c r="B40" s="135">
        <f>SUM(B26:B39)</f>
        <v>1148</v>
      </c>
      <c r="C40" s="17" t="s">
        <v>53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60</v>
      </c>
      <c r="C48" s="16" t="s">
        <v>621</v>
      </c>
      <c r="D48" s="137">
        <v>27.2</v>
      </c>
      <c r="E48" s="138"/>
      <c r="F48" s="138"/>
      <c r="G48" s="16" t="s">
        <v>645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650</v>
      </c>
      <c r="H50" s="1"/>
      <c r="I50" s="404" t="str">
        <f>AÑO!A13</f>
        <v>Gubernamental</v>
      </c>
      <c r="J50" s="407" t="s">
        <v>641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98.18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629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</f>
        <v>68.28000000000003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630</v>
      </c>
      <c r="D67" s="137">
        <v>36.049999999999997</v>
      </c>
      <c r="E67" s="138"/>
      <c r="F67" s="138"/>
      <c r="G67" s="31" t="s">
        <v>653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148.28000000000003</v>
      </c>
      <c r="B80" s="233">
        <f>SUM(B66:B79)</f>
        <v>135</v>
      </c>
      <c r="C80" s="17" t="s">
        <v>53</v>
      </c>
      <c r="D80" s="135">
        <f>SUM(D66:D79)</f>
        <v>36.049999999999997</v>
      </c>
      <c r="E80" s="135">
        <f>SUM(E66:E79)</f>
        <v>0</v>
      </c>
      <c r="F80" s="135">
        <f>SUM(F66:F79)</f>
        <v>30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624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110.07000000000001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622</v>
      </c>
      <c r="D147" s="137"/>
      <c r="E147" s="138"/>
      <c r="F147" s="138"/>
      <c r="G147" s="16" t="s">
        <v>623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23.88</v>
      </c>
      <c r="E187" s="138"/>
      <c r="F187" s="138"/>
      <c r="G187" s="16" t="s">
        <v>651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36.86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100.07000000000001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649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997.53000000000009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21.08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84</v>
      </c>
      <c r="E266" s="138"/>
      <c r="F266" s="138"/>
      <c r="G266" s="16" t="s">
        <v>634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84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9" ht="15" customHeight="1" thickBot="1">
      <c r="B283" s="420"/>
      <c r="C283" s="421"/>
      <c r="D283" s="421"/>
      <c r="E283" s="421"/>
      <c r="F283" s="421"/>
      <c r="G283" s="422"/>
    </row>
    <row r="284" spans="2:9">
      <c r="B284" s="430" t="s">
        <v>8</v>
      </c>
      <c r="C284" s="431"/>
      <c r="D284" s="430" t="s">
        <v>9</v>
      </c>
      <c r="E284" s="432"/>
      <c r="F284" s="432"/>
      <c r="G284" s="43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637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648</v>
      </c>
      <c r="H287" s="92"/>
    </row>
    <row r="288" spans="2:9">
      <c r="B288" s="134"/>
      <c r="C288" s="16"/>
      <c r="D288" s="137"/>
      <c r="E288" s="138"/>
      <c r="F288" s="138"/>
      <c r="G288" s="16"/>
      <c r="H288" s="113">
        <v>242.41</v>
      </c>
      <c r="I288" s="89" t="s">
        <v>618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332.40999999999997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639</v>
      </c>
    </row>
    <row r="308" spans="2:7">
      <c r="B308" s="134"/>
      <c r="C308" s="27"/>
      <c r="D308" s="137"/>
      <c r="E308" s="138"/>
      <c r="F308" s="138">
        <v>50</v>
      </c>
      <c r="G308" s="16" t="s">
        <v>640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>
        <v>35</v>
      </c>
      <c r="C348" s="16" t="s">
        <v>631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</f>
        <v>8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652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22.5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AÑO!W17</f>
        <v>1315.3600000000001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-2788.7899999999995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-2788.7899999999995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625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55" workbookViewId="0">
      <selection activeCell="B362" sqref="B362:G38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2156.9299999999998</v>
      </c>
      <c r="L5" s="426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9234.42</v>
      </c>
      <c r="L7" s="42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29615.1</v>
      </c>
      <c r="L19" s="443"/>
      <c r="M19" s="1"/>
      <c r="N19" s="1"/>
      <c r="R19" s="3"/>
    </row>
    <row r="20" spans="1:18" ht="16.5" thickBot="1">
      <c r="A20" s="112">
        <f>SUM(A6:A15)</f>
        <v>1280.4399999999998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406.02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1688.03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0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W4:Z5" display="SALDO REAL" xr:uid="{1C99B46B-F75F-4CF4-941B-29448D0E9056}"/>
    <hyperlink ref="I22" location="Trimestre!C39:F40" display="TELÉFONO" xr:uid="{A7B1CA3C-6C16-4F87-906B-0189AFCA49D8}"/>
    <hyperlink ref="I22:L23" location="AÑO!W7:Z17" display="INGRESOS" xr:uid="{1D123B88-52F4-44CF-9F33-561082ACB86F}"/>
    <hyperlink ref="B2" location="Trimestre!C25:F26" display="HIPOTECA" xr:uid="{053FDFC4-D24F-4493-BC10-5CEFDC465A0D}"/>
    <hyperlink ref="B2:G3" location="AÑO!W20:Z20" display="AÑO!W20:Z20" xr:uid="{B0037B1E-A836-445C-8895-C4C9246A5B72}"/>
    <hyperlink ref="B22" location="Trimestre!C25:F26" display="HIPOTECA" xr:uid="{36B88377-6877-4989-8556-CD17B38926B6}"/>
    <hyperlink ref="B22:G23" location="AÑO!W21:Z21" display="AÑO!W21:Z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1824.44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'07'!A27+(B27-SUM(D27:F27))</f>
        <v>576.02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2816.0299999999997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141.93000000000004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1191.97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2019-06-14T15:46:45Z</dcterms:modified>
</cp:coreProperties>
</file>