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D1053370-CAA5-4C38-8292-C8E14F2AB1EB}" xr6:coauthVersionLast="36" xr6:coauthVersionMax="36" xr10:uidLastSave="{00000000-0000-0000-0000-000000000000}"/>
  <bookViews>
    <workbookView xWindow="0" yWindow="0" windowWidth="27330" windowHeight="5790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9" l="1"/>
  <c r="A79" i="9"/>
  <c r="A66" i="9"/>
  <c r="F366" i="8"/>
  <c r="D206" i="8"/>
  <c r="P32" i="18"/>
  <c r="A80" i="9" l="1"/>
  <c r="A66" i="7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A129" i="8"/>
  <c r="A127" i="8"/>
  <c r="A126" i="8"/>
  <c r="A79" i="8"/>
  <c r="A66" i="8"/>
  <c r="Z79" i="1"/>
  <c r="Z80" i="1"/>
  <c r="Z81" i="1"/>
  <c r="Z78" i="1"/>
  <c r="E268" i="7"/>
  <c r="D248" i="7"/>
  <c r="D368" i="7"/>
  <c r="A258" i="8"/>
  <c r="A256" i="8"/>
  <c r="A140" i="8" l="1"/>
  <c r="A80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8" s="1"/>
  <c r="A257" i="6" l="1"/>
  <c r="E257" i="6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K5" i="7"/>
  <c r="D226" i="6"/>
  <c r="M5" i="7"/>
  <c r="D308" i="6" l="1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S19" i="18" s="1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I4" i="18" l="1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A109" i="6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  <c r="A40" i="9"/>
  <c r="A40" i="11"/>
  <c r="A40" i="10"/>
  <c r="A26" i="10"/>
  <c r="A26" i="11"/>
  <c r="A26" i="12" s="1"/>
  <c r="A40" i="12" l="1"/>
  <c r="A26" i="13"/>
  <c r="A40" i="13" s="1"/>
</calcChain>
</file>

<file path=xl/sharedStrings.xml><?xml version="1.0" encoding="utf-8"?>
<sst xmlns="http://schemas.openxmlformats.org/spreadsheetml/2006/main" count="5461" uniqueCount="688">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</sst>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52" zoomScaleNormal="100" workbookViewId="0">
      <pane xSplit="1" topLeftCell="V1" activePane="topRight" state="frozen"/>
      <selection pane="topRight" activeCell="AA41" sqref="AA41:AD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29282.959999999999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956.9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4588.57</v>
      </c>
      <c r="BA9" s="112">
        <f t="shared" ca="1" si="0"/>
        <v>655.51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407.32</v>
      </c>
      <c r="BA11" s="112">
        <f t="shared" ca="1" si="0"/>
        <v>58.188571428571429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9.2528571428571436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1702.8000000000002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33314.990000000005</v>
      </c>
      <c r="BA17" s="112">
        <f ca="1">AZ17/BC$17</f>
        <v>4759.2842857142869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57111.411428571446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766.34999999999991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1310.3499999999999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1854.35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2398.35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2942.35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3486.35</v>
      </c>
      <c r="AZ20" s="123">
        <f t="shared" ref="AZ20:AZ27" si="14">E20+I20+M20+Q20+U20+Y20+AC20+AG20+AK20+AO20+AS20+AW20</f>
        <v>3690.3500000000004</v>
      </c>
      <c r="BA20" s="21">
        <f t="shared" ref="BA20:BA45" si="15">AZ20/AZ$46</f>
        <v>0.1265021996954637</v>
      </c>
      <c r="BB20" s="22">
        <f>_xlfn.RANK.EQ(BA20,$BA$20:$BA$45,)</f>
        <v>3</v>
      </c>
      <c r="BC20" s="22">
        <f t="shared" ref="BC20:BC45" ca="1" si="16">AZ20/BC$17</f>
        <v>527.19285714285718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4007.92</v>
      </c>
      <c r="BF20" s="21">
        <f t="shared" ref="BF20:BF45" ca="1" si="18">BE20/BE$46</f>
        <v>0.12030380318289152</v>
      </c>
      <c r="BG20" s="22">
        <f ca="1">_xlfn.RANK.EQ(BF20,$BF$20:$BF$45,)</f>
        <v>4</v>
      </c>
      <c r="BH20" s="22">
        <f t="shared" ref="BH20:BH45" ca="1" si="19">BE20/BC$17</f>
        <v>572.56000000000006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317.57000000000028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2632.0899999999992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3760.0899999999992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4888.0899999999992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6016.0899999999992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7144.0899999999992</v>
      </c>
      <c r="AZ21" s="152">
        <f t="shared" si="14"/>
        <v>7229.77</v>
      </c>
      <c r="BA21" s="21">
        <f t="shared" si="15"/>
        <v>0.24783064161726462</v>
      </c>
      <c r="BB21" s="22">
        <f t="shared" ref="BB21:BB45" si="20">_xlfn.RANK.EQ(BA21,$BA$20:$BA$45,)</f>
        <v>1</v>
      </c>
      <c r="BC21" s="22">
        <f t="shared" ca="1" si="16"/>
        <v>1032.8242857142857</v>
      </c>
      <c r="BE21" s="224">
        <f t="shared" ca="1" si="17"/>
        <v>8061</v>
      </c>
      <c r="BF21" s="21">
        <f t="shared" ca="1" si="18"/>
        <v>0.24196315232272317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831.22999999999979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300</v>
      </c>
      <c r="AC22" s="155">
        <f>SUM('07'!D60:F60)</f>
        <v>15.8</v>
      </c>
      <c r="AD22" s="156">
        <f t="shared" si="8"/>
        <v>773.88000000000022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1073.8800000000001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1563.88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2053.88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2543.88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3033.88</v>
      </c>
      <c r="AZ22" s="157">
        <f t="shared" si="14"/>
        <v>1926.19</v>
      </c>
      <c r="BA22" s="21">
        <f t="shared" si="15"/>
        <v>6.6028228225345889E-2</v>
      </c>
      <c r="BB22" s="22">
        <f t="shared" si="20"/>
        <v>6</v>
      </c>
      <c r="BC22" s="22">
        <f t="shared" ca="1" si="16"/>
        <v>275.17</v>
      </c>
      <c r="BE22" s="225">
        <f t="shared" ca="1" si="17"/>
        <v>2454</v>
      </c>
      <c r="BF22" s="21">
        <f t="shared" ca="1" si="18"/>
        <v>7.3660535392626555E-2</v>
      </c>
      <c r="BG22" s="22">
        <f t="shared" ca="1" si="21"/>
        <v>6</v>
      </c>
      <c r="BH22" s="22">
        <f t="shared" ca="1" si="19"/>
        <v>350.57142857142856</v>
      </c>
      <c r="BJ22" s="225">
        <f t="shared" ca="1" si="22"/>
        <v>527.81000000000006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42</v>
      </c>
      <c r="AD23" s="151">
        <f t="shared" si="8"/>
        <v>229.68000000000006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399.68000000000006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549.68000000000006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699.68000000000006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849.68000000000006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999.68000000000006</v>
      </c>
      <c r="AZ23" s="152">
        <f t="shared" si="14"/>
        <v>1047.4499999999998</v>
      </c>
      <c r="BA23" s="21">
        <f t="shared" si="15"/>
        <v>3.5905734976631867E-2</v>
      </c>
      <c r="BB23" s="22">
        <f t="shared" si="20"/>
        <v>7</v>
      </c>
      <c r="BC23" s="22">
        <f t="shared" ca="1" si="16"/>
        <v>149.63571428571427</v>
      </c>
      <c r="BE23" s="224">
        <f t="shared" ca="1" si="17"/>
        <v>1235</v>
      </c>
      <c r="BF23" s="21">
        <f t="shared" ca="1" si="18"/>
        <v>3.7070399841032511E-2</v>
      </c>
      <c r="BG23" s="22">
        <f t="shared" ca="1" si="21"/>
        <v>9</v>
      </c>
      <c r="BH23" s="22">
        <f t="shared" ca="1" si="19"/>
        <v>176.42857142857142</v>
      </c>
      <c r="BJ23" s="224">
        <f t="shared" ca="1" si="22"/>
        <v>187.55000000000004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3.0850925983692701E-2</v>
      </c>
      <c r="BB24" s="22">
        <f t="shared" si="20"/>
        <v>9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3.4518995803390601E-2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258.47000000000003</v>
      </c>
      <c r="AD25" s="151">
        <f t="shared" si="8"/>
        <v>3159.1499999999978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3604.1499999999978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4009.1499999999978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4414.1499999999978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4819.1499999999978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5224.1499999999978</v>
      </c>
      <c r="AZ25" s="152">
        <f t="shared" si="14"/>
        <v>2286.75</v>
      </c>
      <c r="BA25" s="21">
        <f t="shared" si="15"/>
        <v>7.8387932080588987E-2</v>
      </c>
      <c r="BB25" s="22">
        <f t="shared" si="20"/>
        <v>4</v>
      </c>
      <c r="BC25" s="22">
        <f t="shared" ca="1" si="16"/>
        <v>326.67857142857144</v>
      </c>
      <c r="BE25" s="224">
        <f t="shared" ca="1" si="17"/>
        <v>2283.35</v>
      </c>
      <c r="BF25" s="21">
        <f t="shared" ca="1" si="18"/>
        <v>6.8538216580584288E-2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-3.4000000000005457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126.03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174.03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222.03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270.02999999999997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318.02999999999997</v>
      </c>
      <c r="AZ26" s="157">
        <f t="shared" si="14"/>
        <v>312.96000000000004</v>
      </c>
      <c r="BA26" s="21">
        <f t="shared" si="15"/>
        <v>1.0728014528890842E-2</v>
      </c>
      <c r="BB26" s="22">
        <f t="shared" si="20"/>
        <v>17</v>
      </c>
      <c r="BC26" s="22">
        <f t="shared" ca="1" si="16"/>
        <v>44.708571428571432</v>
      </c>
      <c r="BE26" s="225">
        <f t="shared" ca="1" si="17"/>
        <v>366.45</v>
      </c>
      <c r="BF26" s="21">
        <f t="shared" ca="1" si="18"/>
        <v>1.099955305404564E-2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53.490000000000052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1.0777719350807033E-2</v>
      </c>
      <c r="BB27" s="22">
        <f t="shared" si="20"/>
        <v>16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8.7047902460724129E-3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6.831190769848848E-2</v>
      </c>
      <c r="BB28" s="22">
        <f t="shared" si="20"/>
        <v>5</v>
      </c>
      <c r="BC28" s="22">
        <f t="shared" ca="1" si="16"/>
        <v>284.68714285714287</v>
      </c>
      <c r="BE28" s="223">
        <f t="shared" ca="1" si="17"/>
        <v>3080.04</v>
      </c>
      <c r="BF28" s="21">
        <f t="shared" ca="1" si="18"/>
        <v>9.2452076377630588E-2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1087.23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115.02000000000007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185.02000000000007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255.02000000000007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325.0200000000001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395.0200000000001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465.0200000000001</v>
      </c>
      <c r="AZ29" s="152">
        <f t="shared" si="23"/>
        <v>312.31</v>
      </c>
      <c r="BA29" s="21">
        <f t="shared" si="15"/>
        <v>1.0705733056997374E-2</v>
      </c>
      <c r="BB29" s="22">
        <f t="shared" si="20"/>
        <v>18</v>
      </c>
      <c r="BC29" s="22">
        <f t="shared" ca="1" si="16"/>
        <v>44.615714285714283</v>
      </c>
      <c r="BE29" s="224">
        <f t="shared" ca="1" si="17"/>
        <v>474</v>
      </c>
      <c r="BF29" s="21">
        <f t="shared" ca="1" si="18"/>
        <v>1.4227829574614909E-2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161.69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48.519999999999996</v>
      </c>
      <c r="AD30" s="161">
        <f t="shared" si="8"/>
        <v>78.569999999999979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113.56999999999998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148.57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183.57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218.57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253.57</v>
      </c>
      <c r="AZ30" s="157">
        <f t="shared" si="23"/>
        <v>179.59999999999997</v>
      </c>
      <c r="BA30" s="21">
        <f t="shared" si="15"/>
        <v>6.1565420801022322E-3</v>
      </c>
      <c r="BB30" s="22">
        <f t="shared" si="20"/>
        <v>19</v>
      </c>
      <c r="BC30" s="22">
        <f t="shared" ca="1" si="16"/>
        <v>25.657142857142851</v>
      </c>
      <c r="BE30" s="225">
        <f t="shared" ca="1" si="17"/>
        <v>285</v>
      </c>
      <c r="BF30" s="21">
        <f t="shared" ca="1" si="18"/>
        <v>8.5547076556228875E-3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105.4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4.6749955951244015E-3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4.2023125325866819E-3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913.29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1013.29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1063.29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1113.29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1163.29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1213.29</v>
      </c>
      <c r="AZ32" s="157">
        <f t="shared" si="23"/>
        <v>485.59</v>
      </c>
      <c r="BA32" s="21">
        <f t="shared" si="15"/>
        <v>1.6645630671920063E-2</v>
      </c>
      <c r="BB32" s="22">
        <f t="shared" si="20"/>
        <v>13</v>
      </c>
      <c r="BC32" s="22">
        <f t="shared" ca="1" si="16"/>
        <v>69.36999999999999</v>
      </c>
      <c r="BE32" s="225">
        <f t="shared" ca="1" si="17"/>
        <v>1413.13</v>
      </c>
      <c r="BF32" s="21">
        <f t="shared" ca="1" si="18"/>
        <v>4.2417242208387274E-2</v>
      </c>
      <c r="BG32" s="22">
        <f t="shared" ca="1" si="21"/>
        <v>8</v>
      </c>
      <c r="BH32" s="22">
        <f t="shared" ca="1" si="19"/>
        <v>201.87571428571431</v>
      </c>
      <c r="BJ32" s="225">
        <f t="shared" ca="1" si="22"/>
        <v>927.54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0.15068616649675615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0.13123041609797872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172.9099999999998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262.9099999999998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352.9099999999998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442.9099999999998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532.90999999999985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622.90999999999985</v>
      </c>
      <c r="AZ34" s="152">
        <f t="shared" si="23"/>
        <v>983.10000000000014</v>
      </c>
      <c r="BA34" s="21">
        <f t="shared" si="15"/>
        <v>3.3699869259178769E-2</v>
      </c>
      <c r="BB34" s="22">
        <f t="shared" si="20"/>
        <v>8</v>
      </c>
      <c r="BC34" s="22">
        <f t="shared" ca="1" si="16"/>
        <v>140.44285714285715</v>
      </c>
      <c r="BE34" s="225">
        <f t="shared" ca="1" si="17"/>
        <v>1054.4099999999999</v>
      </c>
      <c r="BF34" s="21">
        <f t="shared" ca="1" si="18"/>
        <v>3.1649716839176591E-2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71.309999999999889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77.5</v>
      </c>
      <c r="AD35" s="187">
        <f t="shared" si="8"/>
        <v>1782.9800000000005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1912.9800000000005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2027.9800000000005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2142.9800000000005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2257.9800000000005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2372.9800000000005</v>
      </c>
      <c r="AZ35" s="188">
        <f t="shared" si="23"/>
        <v>892.6</v>
      </c>
      <c r="BA35" s="21">
        <f t="shared" si="15"/>
        <v>3.059760278785776E-2</v>
      </c>
      <c r="BB35" s="22">
        <f t="shared" si="20"/>
        <v>10</v>
      </c>
      <c r="BC35" s="22">
        <f t="shared" ca="1" si="16"/>
        <v>127.51428571428572</v>
      </c>
      <c r="BE35" s="224">
        <f t="shared" ca="1" si="17"/>
        <v>1185.98</v>
      </c>
      <c r="BF35" s="21">
        <f t="shared" ca="1" si="18"/>
        <v>3.559899012426538E-2</v>
      </c>
      <c r="BG35" s="22">
        <f t="shared" ca="1" si="21"/>
        <v>10</v>
      </c>
      <c r="BH35" s="22">
        <f t="shared" ca="1" si="19"/>
        <v>169.42571428571429</v>
      </c>
      <c r="BJ35" s="224">
        <f t="shared" ca="1" si="22"/>
        <v>293.38000000000011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1.8205333704462666E-2</v>
      </c>
      <c r="BB36" s="22">
        <f t="shared" si="20"/>
        <v>11</v>
      </c>
      <c r="BC36" s="22">
        <f t="shared" ca="1" si="16"/>
        <v>75.86999999999999</v>
      </c>
      <c r="BE36" s="223">
        <f t="shared" ca="1" si="17"/>
        <v>740.02</v>
      </c>
      <c r="BF36" s="21">
        <f t="shared" ca="1" si="18"/>
        <v>2.22128237168914E-2</v>
      </c>
      <c r="BG36" s="22">
        <f t="shared" ca="1" si="21"/>
        <v>13</v>
      </c>
      <c r="BH36" s="22">
        <f t="shared" ca="1" si="19"/>
        <v>105.71714285714286</v>
      </c>
      <c r="BJ36" s="223">
        <f t="shared" ca="1" si="22"/>
        <v>208.93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1.2602743294819521E-2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1.1106111693264802E-2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14.1</v>
      </c>
      <c r="AD38" s="156">
        <f t="shared" si="8"/>
        <v>97.530000000000058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167.53000000000006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237.53000000000006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307.53000000000009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377.53000000000009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447.53000000000009</v>
      </c>
      <c r="AZ38" s="157">
        <f t="shared" si="23"/>
        <v>461.67000000000007</v>
      </c>
      <c r="BA38" s="21">
        <f t="shared" si="15"/>
        <v>1.5825672506240528E-2</v>
      </c>
      <c r="BB38" s="22">
        <f t="shared" si="20"/>
        <v>14</v>
      </c>
      <c r="BC38" s="22">
        <f t="shared" ca="1" si="16"/>
        <v>65.952857142857155</v>
      </c>
      <c r="BE38" s="225">
        <f t="shared" ca="1" si="17"/>
        <v>520</v>
      </c>
      <c r="BF38" s="21">
        <f t="shared" ca="1" si="18"/>
        <v>1.5608589406750532E-2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58.330000000000027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-3.4030927219248747E-2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</v>
      </c>
      <c r="AC40" s="166">
        <f>SUM('07'!D420:F420)</f>
        <v>3.06</v>
      </c>
      <c r="AD40" s="156">
        <f t="shared" si="8"/>
        <v>130.92000000000058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180.92000000000058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200.92000000000058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220.92000000000058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240.92000000000058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260.92000000000058</v>
      </c>
      <c r="AZ40" s="157">
        <f t="shared" si="23"/>
        <v>161.12</v>
      </c>
      <c r="BA40" s="21">
        <f t="shared" si="15"/>
        <v>5.5230626945772373E-3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-512.47</v>
      </c>
      <c r="BF40" s="21">
        <f t="shared" ca="1" si="18"/>
        <v>-1.538256502553355E-2</v>
      </c>
      <c r="BG40" s="22">
        <f t="shared" ca="1" si="21"/>
        <v>24</v>
      </c>
      <c r="BH40" s="22">
        <f t="shared" ca="1" si="19"/>
        <v>-73.210000000000008</v>
      </c>
      <c r="BJ40" s="225">
        <f t="shared" ca="1" si="22"/>
        <v>-673.58999999999992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-2198.1999999999998</v>
      </c>
      <c r="AC41" s="165">
        <f>SUM('07'!D440:F440)</f>
        <v>0</v>
      </c>
      <c r="AD41" s="151">
        <f t="shared" si="8"/>
        <v>5802.0900000000011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1902.0900000000011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-1997.9099999999989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-5897.9099999999989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-9797.91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-13697.91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-2747.9099999999971</v>
      </c>
      <c r="BF41" s="21">
        <f t="shared" ca="1" si="18"/>
        <v>-8.2482690224430402E-2</v>
      </c>
      <c r="BG41" s="22">
        <f t="shared" ca="1" si="21"/>
        <v>26</v>
      </c>
      <c r="BH41" s="22">
        <f t="shared" ca="1" si="19"/>
        <v>-392.55857142857104</v>
      </c>
      <c r="BJ41" s="224">
        <f t="shared" ca="1" si="22"/>
        <v>-2747.9099999999971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0.12145403615609669</v>
      </c>
      <c r="BG42" s="22">
        <f t="shared" ca="1" si="21"/>
        <v>3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1.7139593764204434E-2</v>
      </c>
      <c r="BB43" s="22">
        <f t="shared" si="20"/>
        <v>12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5.4218836625795179E-3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2.213749930584645E-3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1702.8000000000002</v>
      </c>
      <c r="AC46" s="219">
        <f>SUM(AC20:AC45)</f>
        <v>459.45000000000005</v>
      </c>
      <c r="AD46" s="220">
        <f>SUM(AD20:AD45)</f>
        <v>30526.31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30526.31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30526.309999999998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30526.309999999998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30526.309999999998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30526.309999999998</v>
      </c>
      <c r="AZ46" s="227">
        <f>SUM(AZ20:AZ45)</f>
        <v>29172.220000000005</v>
      </c>
      <c r="BA46" s="1"/>
      <c r="BB46" s="1"/>
      <c r="BC46" s="124">
        <f ca="1">SUM(BC20:BC45)</f>
        <v>4167.46</v>
      </c>
      <c r="BE46" s="227">
        <f ca="1">SUM(BE20:BE45)</f>
        <v>33314.990000000005</v>
      </c>
      <c r="BF46" s="1"/>
      <c r="BG46" s="1"/>
      <c r="BH46" s="124">
        <f ca="1">SUM(BH20:BH45)</f>
        <v>4759.2842857142869</v>
      </c>
      <c r="BJ46" s="227">
        <f ca="1">SUM(BJ20:BJ45)</f>
        <v>4142.7700000000041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1243.3500000000001</v>
      </c>
      <c r="AD47" s="125"/>
      <c r="AE47" s="125">
        <f>AE5-AD46</f>
        <v>-1243.3500000000022</v>
      </c>
      <c r="AF47" s="125">
        <f>AE17-AF46</f>
        <v>0</v>
      </c>
      <c r="AG47" s="125">
        <f>AE17-AG46</f>
        <v>0</v>
      </c>
      <c r="AH47" s="125"/>
      <c r="AI47" s="125">
        <f>AI5-AH46</f>
        <v>-15424.42</v>
      </c>
      <c r="AJ47" s="125">
        <f>AI17-AJ46</f>
        <v>0</v>
      </c>
      <c r="AK47" s="125">
        <f>AI17-AK46</f>
        <v>0</v>
      </c>
      <c r="AL47" s="125"/>
      <c r="AM47" s="125">
        <f>AM5-AL46</f>
        <v>-15424.419999999996</v>
      </c>
      <c r="AN47" s="125">
        <f>AM17-AN46</f>
        <v>0</v>
      </c>
      <c r="AO47" s="125">
        <f>AM17-AO46</f>
        <v>0</v>
      </c>
      <c r="AP47" s="125"/>
      <c r="AQ47" s="125">
        <f>AQ5-AP46</f>
        <v>-15424.419999999996</v>
      </c>
      <c r="AR47" s="125">
        <f>AQ17-AR46</f>
        <v>0</v>
      </c>
      <c r="AS47" s="125">
        <f>AQ17-AS46</f>
        <v>0</v>
      </c>
      <c r="AT47" s="140"/>
      <c r="AU47" s="125">
        <f>AU5-AT46</f>
        <v>-15424.419999999996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50009.520000000004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15.8</v>
      </c>
      <c r="AD50" s="119" t="s">
        <v>611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5">
        <v>43624</v>
      </c>
      <c r="X54" s="371" t="s">
        <v>153</v>
      </c>
      <c r="Y54" s="372"/>
      <c r="Z54" s="104">
        <v>10</v>
      </c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566</v>
      </c>
      <c r="U70" s="343"/>
      <c r="V70" s="100">
        <v>3742.92</v>
      </c>
      <c r="W70" s="96"/>
      <c r="X70" s="342" t="s">
        <v>564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567</v>
      </c>
      <c r="U71" s="368"/>
      <c r="V71" s="101">
        <v>1872.17</v>
      </c>
      <c r="W71" s="97"/>
      <c r="X71" s="367" t="s">
        <v>565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1866.35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580.03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3760.09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210.93000000000004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1310.97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2410.35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750.03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4888.0899999999992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281.93000000000006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1690.44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2954.3499999999995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920.03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6016.0899999999992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352.93000000000006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2069.91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3498.3499999999995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1090.03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7144.0899999999992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2449.38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41" sqref="E4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-0.24</v>
      </c>
      <c r="C6" s="44" t="s">
        <v>95</v>
      </c>
      <c r="D6" s="43" t="s">
        <v>96</v>
      </c>
      <c r="E6" s="42"/>
      <c r="J6" t="s">
        <v>97</v>
      </c>
      <c r="K6" s="49">
        <f>B4-B15</f>
        <v>129681.33896166417</v>
      </c>
      <c r="L6" s="39">
        <f>B4*(E8/100)</f>
        <v>28.177248666666667</v>
      </c>
      <c r="M6" s="49">
        <f>B13-L6</f>
        <v>367.50103833583739</v>
      </c>
    </row>
    <row r="7" spans="1:13" ht="12.75" customHeight="1">
      <c r="E7" s="42"/>
      <c r="J7" t="s">
        <v>98</v>
      </c>
      <c r="K7" s="49">
        <f>K6-(B13-L7)</f>
        <v>129313.75829810335</v>
      </c>
      <c r="L7" s="39">
        <f>(K6*(E8/100))</f>
        <v>28.097623441693905</v>
      </c>
      <c r="M7" s="49">
        <f>B13-L7</f>
        <v>367.58066356081019</v>
      </c>
    </row>
    <row r="8" spans="1:13" ht="12.75" customHeight="1">
      <c r="B8" s="42"/>
      <c r="D8" t="s">
        <v>183</v>
      </c>
      <c r="E8" s="50">
        <f>(B6+0.5)/12</f>
        <v>2.1666666666666667E-2</v>
      </c>
      <c r="J8" t="s">
        <v>99</v>
      </c>
      <c r="K8" s="49">
        <f>K7-(B13-L8)</f>
        <v>128946.09799206544</v>
      </c>
      <c r="L8" s="39">
        <f>(K7*(E8/100))</f>
        <v>28.017980964589061</v>
      </c>
      <c r="M8" s="49">
        <f>B13-L8</f>
        <v>367.66030603791501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1.0002166666666668</v>
      </c>
      <c r="J9" t="s">
        <v>101</v>
      </c>
      <c r="K9" s="49">
        <f>K8-(B13-L9)</f>
        <v>128578.35802629455</v>
      </c>
      <c r="L9" s="39">
        <f>(K8*(E8/100))</f>
        <v>27.938321231614179</v>
      </c>
      <c r="M9" s="49">
        <f>B13-L9</f>
        <v>367.73996577088991</v>
      </c>
    </row>
    <row r="10" spans="1:13" ht="12.75" customHeight="1">
      <c r="B10" s="42"/>
      <c r="D10" t="s">
        <v>102</v>
      </c>
      <c r="E10" s="50">
        <f>E9^-B5</f>
        <v>0.92878747812995777</v>
      </c>
      <c r="J10" t="s">
        <v>103</v>
      </c>
      <c r="K10" s="49">
        <f>K9-(B13-L10)</f>
        <v>128210.53838353108</v>
      </c>
      <c r="L10" s="39">
        <f>(K9*(E8/100))</f>
        <v>27.858644239030486</v>
      </c>
      <c r="M10" s="49">
        <f>B13-L10</f>
        <v>367.81964276347361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7.1212521870042238</v>
      </c>
      <c r="J11" t="s">
        <v>106</v>
      </c>
      <c r="K11" s="51">
        <f>K10-(B13-L11)</f>
        <v>127842.63904651167</v>
      </c>
      <c r="L11" s="39">
        <f>(K10*(E8/100))</f>
        <v>27.778949983098403</v>
      </c>
      <c r="M11" s="49">
        <f>B13-L11</f>
        <v>367.89933701940566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395.67828700250408</v>
      </c>
      <c r="E13" s="42"/>
      <c r="F13" s="44"/>
      <c r="G13" s="53"/>
      <c r="L13" s="54">
        <f>SUM(L6:L11)</f>
        <v>167.86876852669272</v>
      </c>
      <c r="M13" s="54">
        <f>SUM(M6:M11)</f>
        <v>2206.2009534883318</v>
      </c>
    </row>
    <row r="14" spans="1:13" ht="12.75" customHeight="1">
      <c r="A14" t="s">
        <v>108</v>
      </c>
      <c r="B14" s="55">
        <f>B4*(E8/100)</f>
        <v>28.177248666666667</v>
      </c>
      <c r="E14" s="42"/>
    </row>
    <row r="15" spans="1:13" ht="12.75" customHeight="1">
      <c r="A15" t="s">
        <v>109</v>
      </c>
      <c r="B15" s="55">
        <f>B13-B14</f>
        <v>367.50103833583739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395.67984700250406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-0.24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-0.24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2206.2009534883318</v>
      </c>
      <c r="C22" s="58">
        <f>B22/170000</f>
        <v>1.2977652667578422E-2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127842.63904651167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-0.24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-2.3999999999999998E-3</v>
      </c>
      <c r="D25" s="73">
        <f>Hipoteca!B$13</f>
        <v>395.67828700250408</v>
      </c>
      <c r="E25" s="72">
        <f t="shared" ref="E25" si="10">D25-D24</f>
        <v>-7.4017129974959062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8.4122308488612813E-3</v>
      </c>
      <c r="D83" s="85">
        <f>AVERAGE(D2:D82)</f>
        <v>492.50767206669269</v>
      </c>
      <c r="E83" s="86">
        <f>AVERAGE(E3:E82)</f>
        <v>-19.668335347717214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L19" workbookViewId="0">
      <selection activeCell="Q35" sqref="Q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1442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43651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46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43651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449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497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43651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449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519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ca="1">D13/D$43</f>
        <v>3.9315155358275206E-2</v>
      </c>
      <c r="X13" s="119">
        <f ca="1">W13*E13</f>
        <v>158.01818319594167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ca="1">D14/D$43</f>
        <v>0</v>
      </c>
      <c r="X14" s="119">
        <f t="shared" ref="X14:X41" ca="1" si="1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ca="1">D15/D$43</f>
        <v>3.4876347495244132E-2</v>
      </c>
      <c r="X15" s="119">
        <f t="shared" ca="1" si="1"/>
        <v>0</v>
      </c>
    </row>
    <row r="16" spans="1:26">
      <c r="A16" s="262" t="s">
        <v>515</v>
      </c>
      <c r="B16" s="262" t="s">
        <v>523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ca="1">D16/D$43</f>
        <v>8.8776157260621429E-3</v>
      </c>
      <c r="X16" s="119">
        <f t="shared" ca="1" si="1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ca="1">D17/D$43</f>
        <v>0</v>
      </c>
      <c r="X17" s="119">
        <f t="shared" ca="1" si="1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ca="1">D18/D$43</f>
        <v>0</v>
      </c>
      <c r="X18" s="119">
        <f t="shared" ca="1" si="1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ca="1">D19/D$43</f>
        <v>0.55104629042485731</v>
      </c>
      <c r="X19" s="119">
        <f t="shared" ca="1" si="1"/>
        <v>2437.498116981611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ca="1">D20/D$43</f>
        <v>0.40076093849080535</v>
      </c>
      <c r="X20" s="119">
        <f t="shared" ca="1" si="1"/>
        <v>240.6970196575777</v>
      </c>
    </row>
    <row r="21" spans="1:24">
      <c r="A21" s="262" t="s">
        <v>515</v>
      </c>
      <c r="B21" s="262" t="s">
        <v>523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ca="1">D21/D$43</f>
        <v>0</v>
      </c>
      <c r="X21" s="119">
        <f t="shared" ca="1" si="1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ca="1">D22/D$43</f>
        <v>0</v>
      </c>
      <c r="X22" s="119">
        <f t="shared" ca="1" si="1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ca="1">D23/D$43</f>
        <v>0</v>
      </c>
      <c r="X23" s="119">
        <f t="shared" ca="1" si="1"/>
        <v>0</v>
      </c>
    </row>
    <row r="24" spans="1:24">
      <c r="A24" s="262" t="s">
        <v>515</v>
      </c>
      <c r="B24" s="262" t="s">
        <v>523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ca="1">D24/D$43</f>
        <v>0</v>
      </c>
      <c r="X24" s="119">
        <f t="shared" ca="1" si="1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ca="1">D25/D$43</f>
        <v>0.18262523779327838</v>
      </c>
      <c r="X25" s="119">
        <f t="shared" ca="1" si="1"/>
        <v>111.02942871781865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ca="1">D26/D$43</f>
        <v>0</v>
      </c>
      <c r="X26" s="119">
        <f t="shared" ca="1" si="1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ca="1">D27/D$43</f>
        <v>0</v>
      </c>
      <c r="X27" s="119">
        <f t="shared" ca="1" si="1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0"/>
        <v>497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43651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ca="1">D28/D$43</f>
        <v>0.31515535827520608</v>
      </c>
      <c r="X28" s="119">
        <f t="shared" ca="1" si="1"/>
        <v>1622.4490560304375</v>
      </c>
    </row>
    <row r="29" spans="1:24">
      <c r="A29" s="262" t="s">
        <v>517</v>
      </c>
      <c r="B29" s="262" t="s">
        <v>518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ca="1">D29/D$43</f>
        <v>0</v>
      </c>
      <c r="X29" s="119">
        <f t="shared" ca="1" si="1"/>
        <v>0</v>
      </c>
    </row>
    <row r="30" spans="1:24">
      <c r="A30" s="262" t="s">
        <v>517</v>
      </c>
      <c r="B30" s="262" t="s">
        <v>518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ca="1">D30/D$43</f>
        <v>0</v>
      </c>
      <c r="X30" s="119">
        <f t="shared" ca="1" si="1"/>
        <v>0</v>
      </c>
    </row>
    <row r="31" spans="1:24">
      <c r="A31" s="262" t="s">
        <v>517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ca="1">D31/D$43</f>
        <v>0</v>
      </c>
      <c r="X31" s="119">
        <f t="shared" ca="1" si="1"/>
        <v>0</v>
      </c>
    </row>
    <row r="32" spans="1:24">
      <c r="A32" s="262" t="s">
        <v>517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ca="1">D32/D$43</f>
        <v>0</v>
      </c>
      <c r="X32" s="119">
        <f t="shared" ca="1" si="1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ca="1">D33/D$43</f>
        <v>1.3950538998097653E-2</v>
      </c>
      <c r="X33" s="119">
        <f t="shared" ca="1" si="1"/>
        <v>57.603536081166766</v>
      </c>
    </row>
    <row r="34" spans="1:26">
      <c r="A34" s="262" t="s">
        <v>517</v>
      </c>
      <c r="B34" s="262" t="s">
        <v>518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ca="1">D34/D$43</f>
        <v>0</v>
      </c>
      <c r="X34" s="119">
        <f t="shared" ca="1" si="1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0"/>
        <v>46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43651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ca="1">D35/D$43</f>
        <v>2.9169308814204185E-2</v>
      </c>
      <c r="X35" s="119">
        <f t="shared" ca="1" si="1"/>
        <v>119.26591982244769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ca="1">D36/D$43</f>
        <v>0</v>
      </c>
      <c r="X36" s="119">
        <f t="shared" ca="1" si="1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ca="1">D37/D$43</f>
        <v>0</v>
      </c>
      <c r="X37" s="119">
        <f t="shared" ca="1" si="1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ca="1">D38/D$43</f>
        <v>0</v>
      </c>
      <c r="X38" s="119">
        <f t="shared" ca="1" si="1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ca="1">D39/D$43</f>
        <v>0</v>
      </c>
      <c r="X39" s="119">
        <f t="shared" ca="1" si="1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ca="1">D40/D$43</f>
        <v>0</v>
      </c>
      <c r="X40" s="119">
        <f t="shared" ca="1" si="1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ca="1">D41/D$43</f>
        <v>0</v>
      </c>
      <c r="X41" s="119">
        <f t="shared" ca="1" si="1"/>
        <v>0</v>
      </c>
    </row>
    <row r="42" spans="1:26">
      <c r="A42" s="313"/>
      <c r="B42" s="314"/>
      <c r="C42" s="315"/>
      <c r="D42" s="325">
        <f ca="1">SUM(D13:D41)</f>
        <v>2485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1.5757767913760303</v>
      </c>
      <c r="X42" s="328">
        <f ca="1">SUM(X13:X41)</f>
        <v>4746.5612604870003</v>
      </c>
      <c r="Y42" s="329">
        <f ca="1">P42/X42</f>
        <v>0.7921677982544808</v>
      </c>
      <c r="Z42" s="329">
        <f ca="1">Y42/(D$43/365)</f>
        <v>0.18334891969745434</v>
      </c>
    </row>
    <row r="43" spans="1:26">
      <c r="C43" s="119" t="s">
        <v>569</v>
      </c>
      <c r="D43" s="46">
        <f ca="1">_xlfn.DAYS(TODAY(),F13)</f>
        <v>1577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575</v>
      </c>
      <c r="B1" s="448"/>
      <c r="C1" s="448"/>
      <c r="D1" s="448"/>
      <c r="E1" s="448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604</v>
      </c>
      <c r="B15" s="446"/>
      <c r="C15" s="446"/>
      <c r="D15" s="446"/>
      <c r="E15" s="446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0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627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04" t="str">
        <f>AÑO!A13</f>
        <v>Gubernamental</v>
      </c>
      <c r="J50" s="407" t="s">
        <v>640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628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workbookViewId="0">
      <selection activeCell="J60" sqref="J60:K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2939.95</f>
        <v>2939.95</v>
      </c>
      <c r="L5" s="426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8049.26</v>
      </c>
      <c r="L7" s="428"/>
      <c r="M7" s="1"/>
      <c r="N7" s="1"/>
      <c r="R7" s="3"/>
    </row>
    <row r="8" spans="1:22" ht="15.75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260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778.34999999999991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627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680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640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15.8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119.68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209.68</v>
      </c>
      <c r="B80" s="233">
        <f>SUM(B66:B79)</f>
        <v>170</v>
      </c>
      <c r="C80" s="17" t="s">
        <v>53</v>
      </c>
      <c r="D80" s="135">
        <f>SUM(D66:D79)</f>
        <v>42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554.03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8.0299999999999994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48.519999999999996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656.79000000000008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165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923.29000000000008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27.5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</f>
        <v>8.5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1702.8000000000002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-2198.1999999999998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-2198.1999999999998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0" workbookViewId="0">
      <selection activeCell="A109" sqref="A10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2939.95</f>
        <v>2939.95</v>
      </c>
      <c r="L5" s="426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8049.26</v>
      </c>
      <c r="L7" s="428"/>
      <c r="M7" s="1"/>
      <c r="N7" s="1"/>
      <c r="R7" s="3"/>
    </row>
    <row r="8" spans="1:22" ht="15.75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260</v>
      </c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1322.35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410.03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2632.09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'07'!A66+(B66-SUM(D66:F78))+B67</f>
        <v>279.68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379.68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139.93000000000004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931.5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2019-07-05T13:10:22Z</dcterms:modified>
</cp:coreProperties>
</file>