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2A164467-D2B0-488B-9EA2-89ABECD8B4AF}" xr6:coauthVersionLast="41" xr6:coauthVersionMax="41" xr10:uidLastSave="{00000000-0000-0000-0000-000000000000}"/>
  <bookViews>
    <workbookView xWindow="-108" yWindow="12852" windowWidth="22224" windowHeight="13176" activeTab="9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66" i="10" l="1"/>
  <c r="A425" i="11"/>
  <c r="A468" i="11"/>
  <c r="A467" i="11"/>
  <c r="A466" i="11"/>
  <c r="A359" i="11"/>
  <c r="A358" i="11"/>
  <c r="A346" i="11"/>
  <c r="A299" i="11"/>
  <c r="A286" i="11"/>
  <c r="A300" i="11" s="1"/>
  <c r="A257" i="11"/>
  <c r="A256" i="11"/>
  <c r="A246" i="11"/>
  <c r="H257" i="11"/>
  <c r="A129" i="11"/>
  <c r="A127" i="11"/>
  <c r="A126" i="11"/>
  <c r="A140" i="11" s="1"/>
  <c r="A108" i="11"/>
  <c r="A109" i="11"/>
  <c r="A107" i="11"/>
  <c r="A79" i="11"/>
  <c r="A66" i="11"/>
  <c r="A27" i="11"/>
  <c r="A28" i="11"/>
  <c r="A29" i="11"/>
  <c r="A30" i="11"/>
  <c r="A26" i="11"/>
  <c r="A7" i="11"/>
  <c r="A8" i="11"/>
  <c r="A9" i="11"/>
  <c r="A10" i="11"/>
  <c r="A11" i="11"/>
  <c r="A12" i="11"/>
  <c r="A13" i="11"/>
  <c r="A6" i="1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H48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K12" i="11"/>
  <c r="B2" i="11"/>
  <c r="E19" i="14"/>
  <c r="P32" i="18"/>
  <c r="D326" i="10"/>
  <c r="A257" i="10"/>
  <c r="A256" i="10"/>
  <c r="A246" i="10"/>
  <c r="E257" i="10"/>
  <c r="H26" i="15"/>
  <c r="E186" i="10"/>
  <c r="F66" i="10"/>
  <c r="A480" i="11" l="1"/>
  <c r="A360" i="11"/>
  <c r="A260" i="11"/>
  <c r="A80" i="11"/>
  <c r="A40" i="11"/>
  <c r="A20" i="11"/>
  <c r="A246" i="9"/>
  <c r="A66" i="9"/>
  <c r="K11" i="10"/>
  <c r="G25" i="15"/>
  <c r="B26" i="15"/>
  <c r="T35" i="18"/>
  <c r="T28" i="18"/>
  <c r="F366" i="9"/>
  <c r="H48" i="10" l="1"/>
  <c r="M5" i="9" l="1"/>
  <c r="H48" i="9" l="1"/>
  <c r="A299" i="10" l="1"/>
  <c r="A286" i="9"/>
  <c r="A300" i="9" s="1"/>
  <c r="A299" i="9"/>
  <c r="A286" i="10" l="1"/>
  <c r="A300" i="10" s="1"/>
  <c r="A427" i="9"/>
  <c r="D67" i="9" l="1"/>
  <c r="H81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O27" i="15"/>
  <c r="O28" i="15"/>
  <c r="O29" i="15"/>
  <c r="O26" i="15"/>
  <c r="B5" i="19"/>
  <c r="B6" i="19"/>
  <c r="A109" i="9"/>
  <c r="A108" i="9"/>
  <c r="A467" i="9"/>
  <c r="D246" i="9" l="1"/>
  <c r="D366" i="8" l="1"/>
  <c r="A359" i="10"/>
  <c r="A358" i="10"/>
  <c r="A346" i="10"/>
  <c r="H257" i="10"/>
  <c r="A79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/>
  <c r="L20" i="10" s="1"/>
  <c r="B2" i="10"/>
  <c r="B4" i="19"/>
  <c r="A359" i="9"/>
  <c r="A358" i="9"/>
  <c r="A346" i="9"/>
  <c r="B359" i="8"/>
  <c r="K11" i="9"/>
  <c r="B3" i="19"/>
  <c r="B258" i="8"/>
  <c r="H83" i="15" l="1"/>
  <c r="B5" i="14" s="1"/>
  <c r="A360" i="10"/>
  <c r="A360" i="9"/>
  <c r="AD24" i="1" l="1"/>
  <c r="F366" i="8"/>
  <c r="B49" i="8"/>
  <c r="A346" i="7" l="1"/>
  <c r="A346" i="8" s="1"/>
  <c r="A358" i="8"/>
  <c r="A358" i="7"/>
  <c r="A360" i="8" l="1"/>
  <c r="A360" i="7"/>
  <c r="A246" i="8" l="1"/>
  <c r="H257" i="9"/>
  <c r="H257" i="8"/>
  <c r="A256" i="9"/>
  <c r="A129" i="9"/>
  <c r="A129" i="10" s="1"/>
  <c r="B308" i="8"/>
  <c r="D308" i="8"/>
  <c r="B8" i="8"/>
  <c r="D207" i="8"/>
  <c r="L55" i="8" l="1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Z79" i="1"/>
  <c r="Z80" i="1"/>
  <c r="Z81" i="1"/>
  <c r="Z78" i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B7" i="19" l="1"/>
  <c r="B12" i="19" l="1"/>
  <c r="C4" i="19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W36" i="18" l="1"/>
  <c r="X36" i="18" s="1"/>
  <c r="W27" i="18"/>
  <c r="X27" i="18" s="1"/>
  <c r="W19" i="18"/>
  <c r="W39" i="18"/>
  <c r="X39" i="18" s="1"/>
  <c r="W31" i="18"/>
  <c r="X31" i="18" s="1"/>
  <c r="W23" i="18"/>
  <c r="X23" i="18" s="1"/>
  <c r="W15" i="18"/>
  <c r="X15" i="18" s="1"/>
  <c r="W38" i="18"/>
  <c r="X38" i="18" s="1"/>
  <c r="W30" i="18"/>
  <c r="X30" i="18" s="1"/>
  <c r="W22" i="18"/>
  <c r="X22" i="18" s="1"/>
  <c r="W14" i="18"/>
  <c r="X14" i="18" s="1"/>
  <c r="W37" i="18"/>
  <c r="X37" i="18" s="1"/>
  <c r="W29" i="18"/>
  <c r="X29" i="18" s="1"/>
  <c r="W21" i="18"/>
  <c r="X21" i="18" s="1"/>
  <c r="W20" i="18"/>
  <c r="W34" i="18"/>
  <c r="X34" i="18" s="1"/>
  <c r="W26" i="18"/>
  <c r="X26" i="18" s="1"/>
  <c r="W18" i="18"/>
  <c r="X18" i="18" s="1"/>
  <c r="W41" i="18"/>
  <c r="X41" i="18" s="1"/>
  <c r="W33" i="18"/>
  <c r="W25" i="18"/>
  <c r="W17" i="18"/>
  <c r="X17" i="18" s="1"/>
  <c r="W40" i="18"/>
  <c r="X40" i="18" s="1"/>
  <c r="W32" i="18"/>
  <c r="X32" i="18" s="1"/>
  <c r="W24" i="18"/>
  <c r="X24" i="18" s="1"/>
  <c r="W16" i="18"/>
  <c r="X16" i="18" s="1"/>
  <c r="W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O20" i="18" l="1"/>
  <c r="E20" i="18"/>
  <c r="X20" i="18" s="1"/>
  <c r="T71" i="18"/>
  <c r="T68" i="18"/>
  <c r="T69" i="18" s="1"/>
  <c r="T70" i="18" s="1"/>
  <c r="T60" i="18"/>
  <c r="T61" i="18" s="1"/>
  <c r="H59" i="18"/>
  <c r="H58" i="18"/>
  <c r="H57" i="18"/>
  <c r="H56" i="18"/>
  <c r="K35" i="18"/>
  <c r="H35" i="18"/>
  <c r="M35" i="18" s="1"/>
  <c r="N35" i="18" s="1"/>
  <c r="P34" i="18"/>
  <c r="Q34" i="18" s="1"/>
  <c r="H33" i="18"/>
  <c r="M33" i="18" s="1"/>
  <c r="P30" i="18"/>
  <c r="Q30" i="18" s="1"/>
  <c r="P29" i="18"/>
  <c r="Q29" i="18" s="1"/>
  <c r="K28" i="18"/>
  <c r="H28" i="18"/>
  <c r="M28" i="18" s="1"/>
  <c r="H25" i="18"/>
  <c r="M25" i="18" s="1"/>
  <c r="N25" i="18" s="1"/>
  <c r="Q24" i="18"/>
  <c r="Q21" i="18"/>
  <c r="H19" i="18"/>
  <c r="M19" i="18" s="1"/>
  <c r="N19" i="18" s="1"/>
  <c r="Q14" i="18"/>
  <c r="S13" i="18" s="1"/>
  <c r="H13" i="18"/>
  <c r="I13" i="18" s="1"/>
  <c r="J13" i="18" s="1"/>
  <c r="H5" i="18"/>
  <c r="M5" i="18" s="1"/>
  <c r="H4" i="18"/>
  <c r="M4" i="18" s="1"/>
  <c r="H3" i="18"/>
  <c r="I3" i="18" s="1"/>
  <c r="J3" i="18" s="1"/>
  <c r="S19" i="18" l="1"/>
  <c r="I4" i="18"/>
  <c r="J4" i="18" s="1"/>
  <c r="I25" i="18"/>
  <c r="J25" i="18" s="1"/>
  <c r="M3" i="18"/>
  <c r="N3" i="18" s="1"/>
  <c r="O3" i="18" s="1"/>
  <c r="P20" i="18"/>
  <c r="Q20" i="18" s="1"/>
  <c r="D35" i="18"/>
  <c r="W35" i="18" s="1"/>
  <c r="D28" i="18"/>
  <c r="W28" i="18" s="1"/>
  <c r="M13" i="18"/>
  <c r="N13" i="18" s="1"/>
  <c r="I33" i="18"/>
  <c r="I19" i="18"/>
  <c r="J19" i="18" s="1"/>
  <c r="O19" i="18" s="1"/>
  <c r="I28" i="18"/>
  <c r="J28" i="18" s="1"/>
  <c r="I35" i="18"/>
  <c r="J35" i="18" s="1"/>
  <c r="O35" i="18" s="1"/>
  <c r="N28" i="18"/>
  <c r="N5" i="18"/>
  <c r="O25" i="18"/>
  <c r="N33" i="18"/>
  <c r="N4" i="18"/>
  <c r="I5" i="18"/>
  <c r="E13" i="18"/>
  <c r="X13" i="18" s="1"/>
  <c r="P3" i="18"/>
  <c r="E3" i="18"/>
  <c r="E25" i="18"/>
  <c r="X25" i="18" s="1"/>
  <c r="B46" i="7"/>
  <c r="P25" i="18" l="1"/>
  <c r="Q25" i="18" s="1"/>
  <c r="J33" i="18"/>
  <c r="O33" i="18" s="1"/>
  <c r="Q3" i="18"/>
  <c r="O28" i="18"/>
  <c r="O42" i="18" s="1"/>
  <c r="W42" i="18"/>
  <c r="D42" i="18"/>
  <c r="N42" i="18"/>
  <c r="E35" i="18"/>
  <c r="P35" i="18" s="1"/>
  <c r="E19" i="18"/>
  <c r="X19" i="18" s="1"/>
  <c r="O4" i="18"/>
  <c r="E4" i="18"/>
  <c r="E28" i="18"/>
  <c r="X28" i="18" s="1"/>
  <c r="J5" i="18"/>
  <c r="O5" i="18" s="1"/>
  <c r="D51" i="6"/>
  <c r="X35" i="18" l="1"/>
  <c r="E33" i="18"/>
  <c r="J42" i="18"/>
  <c r="Q35" i="18"/>
  <c r="D7" i="19"/>
  <c r="E42" i="18"/>
  <c r="P4" i="18"/>
  <c r="Q4" i="18" s="1"/>
  <c r="E5" i="18"/>
  <c r="P28" i="18"/>
  <c r="A429" i="6"/>
  <c r="X33" i="18" l="1"/>
  <c r="X42" i="18" s="1"/>
  <c r="P33" i="18"/>
  <c r="Q33" i="18" s="1"/>
  <c r="D6" i="19"/>
  <c r="D5" i="19"/>
  <c r="D4" i="19"/>
  <c r="D3" i="19"/>
  <c r="Q28" i="18"/>
  <c r="S28" i="18" s="1"/>
  <c r="P42" i="18"/>
  <c r="P5" i="18"/>
  <c r="Q5" i="18" s="1"/>
  <c r="Q42" i="18" l="1"/>
  <c r="Y42" i="18"/>
  <c r="Z42" i="18" s="1"/>
  <c r="G20" i="17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9" i="5"/>
  <c r="A129" i="6" s="1"/>
  <c r="A129" i="7" s="1"/>
  <c r="A129" i="8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A140" i="10" s="1"/>
  <c r="B308" i="4"/>
  <c r="J55" i="4"/>
  <c r="E7" i="4"/>
  <c r="B502" i="5" l="1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2" l="1"/>
  <c r="A166" i="2"/>
  <c r="D74" i="1"/>
  <c r="A78" i="4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D366" i="2"/>
  <c r="F366" i="2"/>
  <c r="A426" i="2" l="1"/>
  <c r="M45" i="2" l="1"/>
  <c r="A66" i="2" l="1"/>
  <c r="A66" i="3" s="1"/>
  <c r="A66" i="4" l="1"/>
  <c r="A66" i="5" s="1"/>
  <c r="A66" i="6" s="1"/>
  <c r="D57" i="2"/>
  <c r="A66" i="7" l="1"/>
  <c r="D58" i="2"/>
  <c r="A66" i="8" l="1"/>
  <c r="D56" i="2"/>
  <c r="D55" i="2"/>
  <c r="D54" i="2"/>
  <c r="A66" i="10" l="1"/>
  <c r="A80" i="10" s="1"/>
  <c r="B467" i="2"/>
  <c r="A79" i="2" l="1"/>
  <c r="A79" i="3" s="1"/>
  <c r="A79" i="4" s="1"/>
  <c r="A79" i="5" s="1"/>
  <c r="A80" i="5" l="1"/>
  <c r="A79" i="6"/>
  <c r="A80" i="2"/>
  <c r="D53" i="2"/>
  <c r="D306" i="2"/>
  <c r="F72" i="1"/>
  <c r="F73" i="1" s="1"/>
  <c r="D75" i="1"/>
  <c r="D76" i="1" s="1"/>
  <c r="A79" i="7" l="1"/>
  <c r="A80" i="6"/>
  <c r="K11" i="2"/>
  <c r="A79" i="8" l="1"/>
  <c r="A80" i="7"/>
  <c r="A80" i="3"/>
  <c r="A80" i="4"/>
  <c r="AZ18" i="1"/>
  <c r="A79" i="9" l="1"/>
  <c r="A80" i="9" s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9" i="13"/>
  <c r="L20" i="13" s="1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10" s="1"/>
  <c r="A467" i="12" s="1"/>
  <c r="A467" i="13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7" i="12" s="1"/>
  <c r="A107" i="13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109" i="5" l="1"/>
  <c r="A109" i="6" s="1"/>
  <c r="A109" i="7" s="1"/>
  <c r="A109" i="8" s="1"/>
  <c r="A109" i="10" s="1"/>
  <c r="A109" i="12" s="1"/>
  <c r="A109" i="13" s="1"/>
  <c r="A108" i="5"/>
  <c r="A108" i="6" s="1"/>
  <c r="A108" i="7" s="1"/>
  <c r="A108" i="8" s="1"/>
  <c r="A108" i="10" s="1"/>
  <c r="A108" i="12" s="1"/>
  <c r="A108" i="13" s="1"/>
  <c r="A466" i="6"/>
  <c r="A466" i="7" s="1"/>
  <c r="A466" i="5"/>
  <c r="A480" i="5" s="1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30" i="12" s="1"/>
  <c r="A30" i="13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68" i="7" l="1"/>
  <c r="A468" i="8" s="1"/>
  <c r="A468" i="9" s="1"/>
  <c r="A468" i="10" s="1"/>
  <c r="A468" i="12" s="1"/>
  <c r="A468" i="13" s="1"/>
  <c r="A480" i="6"/>
  <c r="L20" i="2"/>
  <c r="N22" i="2"/>
  <c r="A40" i="4"/>
  <c r="A40" i="5"/>
  <c r="A40" i="6"/>
  <c r="A466" i="8"/>
  <c r="A480" i="7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40" i="8"/>
  <c r="A6" i="9"/>
  <c r="A20" i="8"/>
  <c r="A466" i="10" l="1"/>
  <c r="A480" i="9"/>
  <c r="A106" i="7"/>
  <c r="A120" i="6"/>
  <c r="A6" i="10"/>
  <c r="A20" i="9"/>
  <c r="A480" i="10" l="1"/>
  <c r="A106" i="8"/>
  <c r="A120" i="7"/>
  <c r="A20" i="10"/>
  <c r="A466" i="12" l="1"/>
  <c r="A106" i="9"/>
  <c r="A120" i="8"/>
  <c r="A6" i="12"/>
  <c r="O5" i="11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B6" i="14" s="1"/>
  <c r="C26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L24" i="15" s="1"/>
  <c r="M24" i="15" s="1"/>
  <c r="M21" i="15"/>
  <c r="M20" i="15"/>
  <c r="M19" i="15"/>
  <c r="M18" i="15"/>
  <c r="M22" i="15"/>
  <c r="M83" i="15"/>
  <c r="E8" i="14"/>
  <c r="C83" i="15"/>
  <c r="I17" i="15"/>
  <c r="A18" i="15"/>
  <c r="D63" i="17" l="1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B426" i="3" l="1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N41" i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M7" i="14" l="1"/>
  <c r="N7" i="14" s="1"/>
  <c r="R32" i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K8" i="14" l="1"/>
  <c r="L9" i="14" s="1"/>
  <c r="A246" i="5"/>
  <c r="A246" i="6" s="1"/>
  <c r="AX21" i="1"/>
  <c r="BJ21" i="1"/>
  <c r="AX22" i="1"/>
  <c r="BJ22" i="1"/>
  <c r="M8" i="14"/>
  <c r="N8" i="14" s="1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M9" i="14" l="1"/>
  <c r="N9" i="14" s="1"/>
  <c r="A246" i="7"/>
  <c r="K9" i="14"/>
  <c r="L10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K10" i="14" l="1"/>
  <c r="L11" i="14" s="1"/>
  <c r="B22" i="14" s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M10" i="14"/>
  <c r="N10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AX20" i="1"/>
  <c r="BJ20" i="1"/>
  <c r="AX40" i="1"/>
  <c r="BJ40" i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60" i="10" s="1"/>
  <c r="A256" i="7" l="1"/>
  <c r="A260" i="6"/>
  <c r="A258" i="7"/>
  <c r="A258" i="8" s="1"/>
  <c r="A260" i="9" s="1"/>
  <c r="A260" i="5"/>
  <c r="A40" i="9"/>
  <c r="A26" i="10"/>
  <c r="A26" i="12" l="1"/>
  <c r="A40" i="12" s="1"/>
  <c r="A40" i="10"/>
  <c r="A256" i="8"/>
  <c r="A260" i="8" s="1"/>
  <c r="A260" i="7"/>
  <c r="A26" i="13" l="1"/>
  <c r="A40" i="13" s="1"/>
</calcChain>
</file>

<file path=xl/sharedStrings.xml><?xml version="1.0" encoding="utf-8"?>
<sst xmlns="http://schemas.openxmlformats.org/spreadsheetml/2006/main" count="5641" uniqueCount="802">
  <si>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</si>
  <si>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</si>
  <si>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</si>
  <si>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</si>
  <si>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</si>
  <si>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</si>
  <si>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</si>
  <si>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</si>
  <si>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</si>
  <si>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</si>
  <si>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</si>
  <si>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</si>
  <si>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</si>
  <si>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</si>
  <si>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</si>
  <si>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</si>
  <si>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</si>
  <si>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</si>
  <si>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</si>
  <si>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</si>
  <si>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</si>
  <si>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</si>
  <si>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</si>
  <si>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</si>
  <si>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</si>
  <si>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</si>
  <si>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</si>
  <si>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</si>
  <si>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</si>
  <si>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</si>
  <si>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</si>
  <si>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</si>
  <si>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</si>
  <si>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</si>
  <si>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</si>
  <si>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</si>
  <si>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</si>
  <si>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</si>
  <si>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</si>
  <si>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</si>
  <si>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</si>
  <si>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</si>
  <si>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</si>
  <si>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</si>
  <si>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</si>
  <si>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</si>
  <si>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</si>
  <si>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</si>
  <si>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</si>
  <si>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</si>
  <si>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</si>
  <si>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</si>
  <si>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</si>
  <si>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</si>
  <si>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</si>
  <si>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</si>
  <si>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</si>
  <si>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</si>
  <si>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</si>
  <si>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</si>
  <si>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</si>
  <si>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</si>
  <si>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</si>
  <si>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</si>
  <si>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</si>
  <si>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</si>
  <si>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</si>
  <si>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</si>
  <si>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</si>
  <si>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</si>
  <si>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</si>
  <si>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</si>
  <si>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</si>
  <si>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</si>
  <si>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</si>
  <si>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</si>
  <si>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</si>
  <si>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</si>
  <si>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</si>
  <si>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</si>
  <si>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</si>
  <si>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</si>
  <si>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</si>
  <si>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</si>
  <si>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</si>
  <si>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</si>
  <si>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</si>
  <si>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</si>
  <si>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</si>
  <si>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</si>
  <si>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</si>
  <si>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</si>
  <si>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</si>
  <si>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</si>
  <si>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</si>
  <si>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</si>
  <si>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</si>
  <si>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</si>
  <si>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</si>
  <si>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</si>
  <si>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</si>
  <si>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</si>
  <si>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</si>
  <si>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</si>
  <si>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</si>
  <si>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</si>
  <si>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</si>
  <si>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</si>
  <si>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</si>
  <si>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</si>
  <si>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</si>
  <si>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</si>
  <si>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</si>
  <si>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</si>
  <si>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</si>
  <si>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</si>
  <si>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</si>
  <si>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</si>
  <si>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</si>
  <si>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</si>
  <si>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</si>
  <si>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</si>
  <si>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</si>
  <si>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</si>
  <si>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</si>
  <si>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</si>
  <si>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</si>
  <si>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</si>
  <si>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</si>
  <si>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</si>
  <si>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</si>
  <si>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</si>
  <si>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</si>
  <si>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</si>
  <si>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</si>
  <si>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</si>
  <si>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</si>
  <si>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</si>
  <si>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</si>
  <si>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</si>
  <si>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</si>
  <si>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</si>
  <si>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</si>
  <si>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</si>
  <si>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</si>
  <si>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</si>
  <si>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</si>
  <si>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</si>
  <si>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</si>
  <si>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</si>
  <si>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</si>
  <si>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</si>
  <si>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</si>
  <si>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</si>
  <si>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</si>
  <si>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</si>
  <si>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</si>
  <si>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</si>
  <si>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</si>
  <si>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</si>
  <si>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</si>
  <si>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</si>
  <si>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</si>
  <si>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</si>
  <si>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</si>
  <si>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</si>
  <si>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</si>
  <si>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</si>
  <si>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</si>
  <si>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</si>
  <si>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</si>
  <si>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</si>
  <si>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</si>
  <si>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</si>
  <si>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</si>
  <si>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</si>
  <si>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</si>
  <si>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</si>
  <si>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</si>
  <si>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</si>
  <si>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</si>
  <si>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</si>
  <si>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</si>
  <si>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</si>
  <si>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</si>
  <si>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</si>
  <si>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</si>
  <si>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</si>
  <si>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</si>
  <si>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</si>
  <si>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</si>
  <si>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</si>
  <si>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</si>
  <si>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</si>
  <si>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</si>
  <si>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</si>
  <si>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</si>
  <si>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</si>
  <si>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</si>
  <si>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</si>
  <si>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</si>
  <si>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</si>
  <si>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</si>
  <si>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</si>
  <si>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</si>
  <si>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</si>
  <si>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</si>
  <si>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</si>
  <si>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</si>
  <si>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</si>
  <si>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</si>
  <si>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</si>
  <si>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</si>
  <si>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</si>
  <si>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</si>
  <si>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</si>
  <si>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</si>
  <si>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</si>
  <si>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</si>
  <si>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</si>
  <si>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</si>
  <si>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</si>
  <si>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</si>
  <si>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</si>
  <si>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</si>
  <si>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</si>
  <si>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</si>
  <si>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</si>
  <si>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</si>
  <si>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</si>
  <si>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</si>
  <si>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</si>
  <si>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</si>
  <si>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</si>
  <si>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</si>
  <si>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</si>
  <si>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</si>
  <si>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</si>
  <si>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</si>
  <si>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</si>
  <si>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</si>
  <si>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</si>
  <si>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</si>
  <si>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</si>
  <si>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</si>
  <si>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</si>
  <si>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</si>
  <si>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</si>
  <si>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</si>
  <si>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</si>
  <si>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</si>
  <si>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</si>
  <si>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</si>
  <si>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</si>
  <si>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</si>
  <si>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</si>
  <si>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</si>
  <si>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</si>
  <si>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</si>
  <si>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</si>
  <si>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</si>
  <si>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</si>
  <si>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</si>
  <si>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</si>
  <si>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</si>
  <si>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</si>
  <si>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</si>
  <si>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</si>
  <si>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</si>
  <si>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</si>
  <si>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</si>
  <si>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</si>
  <si>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</si>
  <si>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</si>
  <si>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</si>
  <si>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</si>
  <si>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</si>
  <si>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</si>
  <si>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</si>
  <si>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</si>
  <si>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</si>
  <si>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</si>
  <si>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</si>
  <si>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</si>
  <si>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</si>
  <si>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</si>
  <si>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</si>
  <si>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</si>
  <si>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</si>
  <si>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</si>
  <si>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</si>
  <si>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</si>
  <si>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</si>
  <si>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</si>
  <si>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</si>
  <si>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</si>
  <si>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</si>
  <si>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</si>
  <si>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</si>
  <si>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</si>
  <si>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</si>
  <si>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</si>
  <si>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</si>
  <si>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</si>
  <si>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</si>
  <si>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</si>
  <si>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</si>
  <si>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</si>
  <si>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</si>
  <si>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</si>
  <si>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</si>
  <si>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</si>
  <si>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</si>
  <si>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</si>
  <si>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</si>
  <si>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</si>
  <si>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</si>
  <si>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</si>
  <si>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</si>
  <si>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</si>
  <si>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</si>
  <si>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</si>
  <si>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</si>
  <si>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</si>
  <si>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</si>
  <si>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</si>
  <si>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</si>
  <si>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</si>
  <si>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</si>
  <si>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</si>
  <si>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</si>
  <si>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</si>
  <si>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</si>
  <si>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</si>
  <si>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</si>
  <si>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</si>
  <si>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</si>
  <si>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</si>
  <si>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</si>
  <si>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</si>
  <si>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</si>
  <si>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</si>
  <si>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</si>
  <si>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</si>
  <si>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</si>
  <si>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</si>
  <si>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</si>
  <si>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</si>
  <si>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</si>
  <si>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</si>
  <si>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</si>
  <si>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</si>
  <si>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</si>
  <si>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</si>
  <si>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</si>
  <si>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</si>
  <si>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</si>
  <si>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</si>
  <si>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</si>
  <si>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</si>
  <si>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</si>
  <si>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</si>
  <si>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</si>
  <si>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</si>
  <si>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</si>
  <si>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</si>
  <si>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</si>
  <si>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</si>
  <si>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</si>
  <si>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</si>
  <si>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</si>
  <si>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</si>
  <si>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</si>
  <si>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</si>
  <si>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</si>
  <si>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</si>
  <si>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</si>
  <si>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</si>
  <si>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</si>
  <si>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</si>
  <si>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</si>
  <si>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</si>
  <si>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</si>
  <si>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</si>
  <si>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</si>
  <si>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</si>
  <si>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</si>
  <si>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</si>
  <si>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</si>
  <si>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</si>
  <si>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</si>
  <si>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</si>
  <si>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</si>
  <si>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</si>
  <si>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</si>
  <si>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</si>
  <si>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</si>
  <si>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</si>
  <si>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</si>
  <si>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</si>
  <si>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</si>
  <si>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</si>
  <si>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</si>
  <si>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</si>
  <si>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</si>
  <si>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</si>
  <si>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</si>
  <si>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</si>
  <si>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</si>
  <si>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</si>
  <si>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</si>
  <si>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</si>
  <si>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</si>
  <si>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</si>
  <si>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</si>
  <si>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</si>
  <si>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</si>
  <si>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</si>
  <si>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</si>
  <si>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</si>
  <si>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</si>
  <si>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</si>
  <si>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</si>
  <si>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</si>
  <si>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</si>
  <si>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</si>
  <si>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</si>
  <si>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</si>
  <si>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</si>
  <si>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</si>
  <si>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</si>
  <si>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</si>
  <si>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</si>
  <si>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</si>
  <si>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</si>
  <si>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</si>
  <si>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</si>
  <si>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</si>
  <si>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</si>
  <si>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</si>
  <si>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</si>
  <si>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</si>
  <si>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</si>
  <si>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</si>
  <si>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</si>
  <si>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</si>
  <si>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</si>
  <si>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</si>
  <si>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</si>
  <si>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</si>
  <si>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</si>
  <si>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</si>
  <si>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</si>
  <si>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</si>
  <si>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</si>
  <si>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</si>
  <si>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</si>
  <si>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</si>
  <si>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</si>
  <si>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</si>
  <si>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</si>
  <si>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</si>
  <si>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</si>
  <si>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</si>
  <si>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</si>
  <si>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</si>
  <si>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</si>
  <si>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</si>
  <si>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</si>
  <si>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</si>
  <si>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</si>
  <si>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</si>
  <si>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</si>
  <si>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</si>
  <si>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</si>
  <si>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</si>
  <si>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</si>
  <si>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</si>
  <si>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</si>
  <si>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</si>
  <si>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</si>
  <si>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</si>
  <si>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</si>
  <si>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</si>
  <si>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</si>
  <si>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</si>
  <si>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</si>
  <si>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</si>
  <si>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</si>
  <si>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</si>
  <si>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</si>
  <si>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</si>
  <si>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</si>
  <si>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</si>
  <si>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</si>
  <si>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</si>
  <si>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</si>
  <si>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</si>
  <si>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</si>
  <si>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</si>
  <si>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</si>
  <si>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</si>
  <si>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</si>
  <si>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</si>
  <si>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</si>
  <si>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</si>
  <si>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</si>
  <si>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</si>
  <si>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</si>
  <si>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</si>
  <si>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</si>
  <si>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</si>
  <si>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</si>
  <si>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</si>
  <si>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</si>
  <si>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</si>
  <si>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</si>
  <si>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</si>
  <si>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</si>
  <si>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</si>
  <si>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</si>
  <si>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</si>
  <si>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</si>
  <si>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</si>
  <si>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</si>
  <si>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</si>
  <si>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</si>
  <si>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</si>
  <si>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</si>
  <si>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</si>
  <si>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</si>
  <si>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</si>
  <si>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</si>
  <si>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</si>
  <si>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</si>
  <si>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</si>
  <si>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</si>
  <si>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</si>
  <si>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</si>
  <si>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</si>
  <si>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</si>
  <si>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</si>
  <si>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</si>
  <si>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</si>
  <si>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</si>
  <si>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</si>
  <si>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</si>
  <si>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</si>
  <si>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</si>
  <si>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</si>
  <si>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</si>
  <si>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</si>
  <si>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</si>
  <si>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</si>
  <si>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</si>
  <si>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</si>
  <si>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</si>
  <si>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</si>
  <si>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</si>
  <si>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</si>
  <si>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</si>
  <si>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</si>
  <si>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</si>
  <si>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</si>
  <si>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</si>
  <si>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</si>
  <si>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</si>
  <si>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</si>
  <si>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</si>
  <si>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</si>
  <si>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</si>
  <si>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</si>
  <si>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</si>
  <si>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</si>
  <si>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</si>
  <si>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</si>
  <si>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</si>
  <si>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</si>
  <si>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</si>
  <si>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</si>
  <si>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</si>
  <si>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</si>
  <si>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</si>
  <si>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</si>
  <si>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</si>
  <si>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</si>
  <si>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</si>
  <si>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</si>
  <si>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</si>
  <si>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</si>
  <si>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</si>
  <si>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</si>
  <si>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</si>
  <si>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</si>
  <si>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</si>
  <si>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</si>
  <si>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</si>
  <si>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</si>
  <si>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</si>
  <si>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</si>
  <si>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</si>
  <si>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</si>
  <si>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</si>
  <si>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</si>
  <si>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</si>
  <si>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</si>
  <si>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</si>
  <si>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</si>
  <si>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</si>
  <si>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</si>
  <si>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</si>
  <si>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</si>
  <si>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</si>
  <si>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</si>
  <si>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</si>
  <si>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</si>
  <si>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</si>
  <si>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</si>
  <si>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</si>
  <si>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</si>
  <si>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</si>
  <si>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</si>
  <si>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</si>
  <si>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</si>
  <si>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</si>
  <si>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</si>
  <si>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</si>
  <si>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</si>
  <si>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</si>
  <si>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</si>
  <si>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</si>
  <si>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</si>
  <si>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</si>
  <si>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</si>
  <si>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</si>
  <si>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</si>
  <si>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</si>
  <si>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</si>
  <si>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</si>
  <si>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</si>
  <si>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</si>
  <si>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</si>
  <si>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</si>
  <si>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</si>
  <si>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</si>
  <si>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</si>
  <si>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</si>
  <si>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</si>
  <si>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</si>
  <si>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</si>
  <si>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</si>
  <si>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</si>
  <si>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</si>
  <si>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</si>
  <si>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</si>
  <si>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</si>
  <si>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</si>
  <si>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</si>
  <si>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</si>
  <si>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</si>
  <si>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</si>
  <si>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</si>
  <si>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</si>
  <si>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</si>
  <si>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</si>
  <si>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</si>
  <si>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</si>
  <si>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</si>
  <si>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</si>
  <si>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</si>
  <si>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</si>
  <si>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Decafeinado</t>
  </si>
  <si>
    <t xml:space="preserve">Fuerte </t>
  </si>
  <si>
    <t xml:space="preserve">Debil </t>
  </si>
  <si>
    <t>Sabores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</si>
  <si>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</si>
  <si>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</si>
  <si>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</si>
  <si>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</si>
  <si>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</si>
  <si>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</si>
  <si>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</si>
  <si>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</si>
  <si>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</si>
  <si>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</si>
  <si>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</si>
  <si>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</si>
  <si>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</si>
  <si>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</si>
  <si>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</si>
  <si>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</si>
  <si>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</si>
  <si>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</si>
  <si>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</si>
  <si>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</si>
  <si>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</si>
  <si>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</si>
  <si>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</si>
  <si>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</si>
  <si>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</si>
  <si>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</si>
  <si>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</si>
  <si>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</si>
  <si>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</si>
  <si>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</si>
  <si>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</si>
  <si>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</si>
  <si>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</si>
  <si>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</si>
  <si>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</si>
  <si>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</si>
  <si>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</si>
  <si>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</si>
  <si>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</si>
  <si>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</si>
  <si>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</si>
  <si>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</si>
  <si>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</si>
  <si>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</si>
  <si>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</si>
  <si>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</si>
  <si>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</si>
  <si>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</si>
  <si>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</si>
  <si>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</si>
  <si>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</si>
  <si>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</si>
  <si>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</si>
  <si>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</si>
  <si>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</si>
  <si>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</si>
  <si>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</si>
  <si>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</si>
  <si>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</si>
  <si>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</si>
  <si>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</si>
  <si>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</si>
  <si>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</si>
  <si>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</si>
  <si>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</si>
  <si>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</si>
  <si>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</si>
  <si>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</si>
  <si>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</si>
  <si>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</si>
  <si>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</si>
  <si>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</si>
  <si>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</si>
  <si>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</si>
  <si>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</si>
  <si>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</si>
  <si>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</si>
  <si>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</si>
  <si>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</si>
  <si>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</si>
  <si>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</si>
  <si>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</si>
  <si>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</si>
  <si>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</si>
  <si>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</si>
  <si>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</si>
  <si>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</si>
  <si>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</si>
  <si>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</si>
  <si>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</si>
  <si>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</si>
  <si>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</si>
  <si>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</si>
  <si>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</si>
  <si>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</si>
  <si>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</si>
  <si>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</si>
  <si>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</si>
  <si>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</si>
  <si>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</si>
  <si>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</si>
  <si>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</si>
  <si>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</si>
  <si>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</si>
  <si>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</si>
  <si>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</si>
  <si>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</si>
  <si>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</si>
  <si>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</si>
  <si>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SURF10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</si>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</sst>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0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8" fontId="0" fillId="18" borderId="0" xfId="0" applyNumberFormat="1" applyFill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17" fontId="2" fillId="0" borderId="12" xfId="0" applyNumberFormat="1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28" zoomScaleNormal="100" workbookViewId="0">
      <pane xSplit="1" topLeftCell="AH1" activePane="topRight" state="frozen"/>
      <selection pane="topRight" activeCell="AM41" sqref="AM41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82" t="s">
        <v>0</v>
      </c>
      <c r="D4" s="383"/>
      <c r="E4" s="383"/>
      <c r="F4" s="384"/>
      <c r="G4" s="382" t="s">
        <v>1</v>
      </c>
      <c r="H4" s="383"/>
      <c r="I4" s="383"/>
      <c r="J4" s="384"/>
      <c r="K4" s="382" t="s">
        <v>2</v>
      </c>
      <c r="L4" s="383"/>
      <c r="M4" s="383"/>
      <c r="N4" s="384"/>
      <c r="O4" s="382" t="s">
        <v>3</v>
      </c>
      <c r="P4" s="383"/>
      <c r="Q4" s="383"/>
      <c r="R4" s="384"/>
      <c r="S4" s="382" t="s">
        <v>71</v>
      </c>
      <c r="T4" s="383"/>
      <c r="U4" s="383"/>
      <c r="V4" s="384"/>
      <c r="W4" s="382" t="s">
        <v>70</v>
      </c>
      <c r="X4" s="383"/>
      <c r="Y4" s="383"/>
      <c r="Z4" s="384"/>
      <c r="AA4" s="382" t="s">
        <v>72</v>
      </c>
      <c r="AB4" s="383"/>
      <c r="AC4" s="383"/>
      <c r="AD4" s="384"/>
      <c r="AE4" s="382" t="s">
        <v>73</v>
      </c>
      <c r="AF4" s="383"/>
      <c r="AG4" s="383"/>
      <c r="AH4" s="384"/>
      <c r="AI4" s="382" t="s">
        <v>75</v>
      </c>
      <c r="AJ4" s="383"/>
      <c r="AK4" s="383"/>
      <c r="AL4" s="384"/>
      <c r="AM4" s="382" t="s">
        <v>77</v>
      </c>
      <c r="AN4" s="383"/>
      <c r="AO4" s="383"/>
      <c r="AP4" s="384"/>
      <c r="AQ4" s="382" t="s">
        <v>79</v>
      </c>
      <c r="AR4" s="383"/>
      <c r="AS4" s="383"/>
      <c r="AT4" s="384"/>
      <c r="AU4" s="382" t="s">
        <v>84</v>
      </c>
      <c r="AV4" s="383"/>
      <c r="AW4" s="383"/>
      <c r="AX4" s="384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91">
        <f>'01'!K19</f>
        <v>26383.54</v>
      </c>
      <c r="D5" s="389"/>
      <c r="E5" s="389"/>
      <c r="F5" s="390"/>
      <c r="G5" s="391">
        <f>'02'!K19</f>
        <v>25229.379999999997</v>
      </c>
      <c r="H5" s="389"/>
      <c r="I5" s="389"/>
      <c r="J5" s="390"/>
      <c r="K5" s="388">
        <f>'03'!K19</f>
        <v>25574.760000000002</v>
      </c>
      <c r="L5" s="389"/>
      <c r="M5" s="389"/>
      <c r="N5" s="390"/>
      <c r="O5" s="388">
        <f>'04'!K19</f>
        <v>26443.759999999998</v>
      </c>
      <c r="P5" s="389"/>
      <c r="Q5" s="389"/>
      <c r="R5" s="390"/>
      <c r="S5" s="388">
        <f>'05'!K19</f>
        <v>27163.090000000004</v>
      </c>
      <c r="T5" s="389"/>
      <c r="U5" s="389"/>
      <c r="V5" s="390"/>
      <c r="W5" s="388">
        <f>'06'!K19</f>
        <v>29014.079999999998</v>
      </c>
      <c r="X5" s="389"/>
      <c r="Y5" s="389"/>
      <c r="Z5" s="390"/>
      <c r="AA5" s="388">
        <f>'07'!K19</f>
        <v>29282.959999999999</v>
      </c>
      <c r="AB5" s="389"/>
      <c r="AC5" s="389"/>
      <c r="AD5" s="390"/>
      <c r="AE5" s="388">
        <f>'08'!K19</f>
        <v>29166.850000000002</v>
      </c>
      <c r="AF5" s="389"/>
      <c r="AG5" s="389"/>
      <c r="AH5" s="390"/>
      <c r="AI5" s="388">
        <f>'09'!K19</f>
        <v>29258.260000000002</v>
      </c>
      <c r="AJ5" s="389"/>
      <c r="AK5" s="389"/>
      <c r="AL5" s="390"/>
      <c r="AM5" s="388">
        <f>'10'!K19</f>
        <v>17864.099999999999</v>
      </c>
      <c r="AN5" s="389"/>
      <c r="AO5" s="389"/>
      <c r="AP5" s="390"/>
      <c r="AQ5" s="388">
        <f>'11'!K19</f>
        <v>15101.890000000001</v>
      </c>
      <c r="AR5" s="389"/>
      <c r="AS5" s="389"/>
      <c r="AT5" s="390"/>
      <c r="AU5" s="388">
        <f>'12'!K19</f>
        <v>15101.890000000001</v>
      </c>
      <c r="AV5" s="389"/>
      <c r="AW5" s="389"/>
      <c r="AX5" s="390"/>
      <c r="AZ5" s="6"/>
      <c r="BA5" s="7"/>
      <c r="BB5" s="1"/>
      <c r="BC5" s="1"/>
    </row>
    <row r="6" spans="1:55" ht="17.25" thickTop="1" thickBot="1">
      <c r="A6" s="205"/>
      <c r="B6" s="8"/>
      <c r="C6" s="342"/>
      <c r="D6" s="342"/>
      <c r="E6" s="342"/>
      <c r="F6" s="342"/>
      <c r="G6" s="342"/>
      <c r="H6" s="342"/>
      <c r="I6" s="342"/>
      <c r="J6" s="342"/>
      <c r="K6" s="342"/>
      <c r="L6" s="342"/>
      <c r="M6" s="342"/>
      <c r="N6" s="342"/>
      <c r="O6" s="342"/>
      <c r="P6" s="342"/>
      <c r="Q6" s="342"/>
      <c r="R6" s="342"/>
      <c r="S6" s="342"/>
      <c r="T6" s="342"/>
      <c r="U6" s="342"/>
      <c r="V6" s="342"/>
      <c r="W6" s="342"/>
      <c r="X6" s="342"/>
      <c r="Y6" s="342"/>
      <c r="Z6" s="342"/>
      <c r="AA6" s="342"/>
      <c r="AB6" s="342"/>
      <c r="AC6" s="342"/>
      <c r="AD6" s="342"/>
      <c r="AE6" s="342"/>
      <c r="AF6" s="342"/>
      <c r="AG6" s="342"/>
      <c r="AH6" s="342"/>
      <c r="AI6" s="342"/>
      <c r="AJ6" s="342"/>
      <c r="AK6" s="342"/>
      <c r="AL6" s="342"/>
      <c r="AM6" s="342"/>
      <c r="AN6" s="342"/>
      <c r="AO6" s="342"/>
      <c r="AP6" s="342"/>
      <c r="AQ6" s="342"/>
      <c r="AR6" s="342"/>
      <c r="AS6" s="342"/>
      <c r="AT6" s="342"/>
      <c r="AU6" s="342"/>
      <c r="AV6" s="342"/>
      <c r="AW6" s="342"/>
      <c r="AX6" s="342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85" t="s">
        <v>230</v>
      </c>
      <c r="D7" s="386"/>
      <c r="E7" s="386"/>
      <c r="F7" s="387"/>
      <c r="G7" s="385" t="s">
        <v>230</v>
      </c>
      <c r="H7" s="386"/>
      <c r="I7" s="386"/>
      <c r="J7" s="387"/>
      <c r="K7" s="385" t="s">
        <v>230</v>
      </c>
      <c r="L7" s="386"/>
      <c r="M7" s="386"/>
      <c r="N7" s="387"/>
      <c r="O7" s="385" t="s">
        <v>230</v>
      </c>
      <c r="P7" s="386"/>
      <c r="Q7" s="386"/>
      <c r="R7" s="387"/>
      <c r="S7" s="385" t="s">
        <v>230</v>
      </c>
      <c r="T7" s="386"/>
      <c r="U7" s="386"/>
      <c r="V7" s="387"/>
      <c r="W7" s="385" t="s">
        <v>230</v>
      </c>
      <c r="X7" s="386"/>
      <c r="Y7" s="386"/>
      <c r="Z7" s="387"/>
      <c r="AA7" s="385" t="s">
        <v>230</v>
      </c>
      <c r="AB7" s="386"/>
      <c r="AC7" s="386"/>
      <c r="AD7" s="387"/>
      <c r="AE7" s="385" t="s">
        <v>230</v>
      </c>
      <c r="AF7" s="386"/>
      <c r="AG7" s="386"/>
      <c r="AH7" s="387"/>
      <c r="AI7" s="385" t="s">
        <v>230</v>
      </c>
      <c r="AJ7" s="386"/>
      <c r="AK7" s="386"/>
      <c r="AL7" s="387"/>
      <c r="AM7" s="385" t="s">
        <v>230</v>
      </c>
      <c r="AN7" s="386"/>
      <c r="AO7" s="386"/>
      <c r="AP7" s="387"/>
      <c r="AQ7" s="385" t="s">
        <v>230</v>
      </c>
      <c r="AR7" s="386"/>
      <c r="AS7" s="386"/>
      <c r="AT7" s="387"/>
      <c r="AU7" s="385" t="s">
        <v>230</v>
      </c>
      <c r="AV7" s="386"/>
      <c r="AW7" s="386"/>
      <c r="AX7" s="387"/>
      <c r="AZ7" s="9" t="s">
        <v>232</v>
      </c>
      <c r="BA7" s="13" t="s">
        <v>188</v>
      </c>
      <c r="BB7" s="1"/>
      <c r="BC7" s="1"/>
    </row>
    <row r="8" spans="1:55" ht="15.75">
      <c r="A8" s="206" t="s">
        <v>212</v>
      </c>
      <c r="B8" s="192">
        <v>33389.54</v>
      </c>
      <c r="C8" s="392">
        <f>SUM('01'!L25:'01'!L29)</f>
        <v>2593.46</v>
      </c>
      <c r="D8" s="393"/>
      <c r="E8" s="393"/>
      <c r="F8" s="394"/>
      <c r="G8" s="392">
        <f>SUM('02'!L25:'02'!L29)</f>
        <v>2592.42</v>
      </c>
      <c r="H8" s="393"/>
      <c r="I8" s="393"/>
      <c r="J8" s="394"/>
      <c r="K8" s="392">
        <f>SUM('03'!L25:'03'!L29)</f>
        <v>2526.87</v>
      </c>
      <c r="L8" s="393"/>
      <c r="M8" s="393"/>
      <c r="N8" s="394"/>
      <c r="O8" s="392">
        <f>SUM('04'!L25:'04'!L29)</f>
        <v>2570.56</v>
      </c>
      <c r="P8" s="393"/>
      <c r="Q8" s="393"/>
      <c r="R8" s="394"/>
      <c r="S8" s="392">
        <f>SUM('05'!L25:'05'!L29)</f>
        <v>4448.8500000000004</v>
      </c>
      <c r="T8" s="393"/>
      <c r="U8" s="393"/>
      <c r="V8" s="394"/>
      <c r="W8" s="392">
        <f>SUM('06'!L25:'06'!L29)</f>
        <v>2574.61</v>
      </c>
      <c r="X8" s="393"/>
      <c r="Y8" s="393"/>
      <c r="Z8" s="394"/>
      <c r="AA8" s="392">
        <f>SUM('07'!L25:'07'!L29)</f>
        <v>2568.54</v>
      </c>
      <c r="AB8" s="393"/>
      <c r="AC8" s="393"/>
      <c r="AD8" s="394"/>
      <c r="AE8" s="392">
        <f>SUM('08'!L25:'08'!L29)</f>
        <v>2571.5500000000002</v>
      </c>
      <c r="AF8" s="393"/>
      <c r="AG8" s="393"/>
      <c r="AH8" s="394"/>
      <c r="AI8" s="392">
        <f>SUM('09'!L25:'09'!L29)</f>
        <v>0</v>
      </c>
      <c r="AJ8" s="393"/>
      <c r="AK8" s="393"/>
      <c r="AL8" s="394"/>
      <c r="AM8" s="392">
        <f>SUM('10'!L25:'10'!L29)</f>
        <v>0</v>
      </c>
      <c r="AN8" s="393"/>
      <c r="AO8" s="393"/>
      <c r="AP8" s="394"/>
      <c r="AQ8" s="392">
        <f>SUM('11'!L25:'11'!L29)</f>
        <v>0</v>
      </c>
      <c r="AR8" s="393"/>
      <c r="AS8" s="393"/>
      <c r="AT8" s="394"/>
      <c r="AU8" s="392">
        <f>SUM('12'!L25:'12'!L29)</f>
        <v>0</v>
      </c>
      <c r="AV8" s="393"/>
      <c r="AW8" s="393"/>
      <c r="AX8" s="394"/>
      <c r="AZ8" s="209">
        <f>SUM(C8:AU8)</f>
        <v>22446.86</v>
      </c>
      <c r="BA8" s="112">
        <f t="shared" ref="BA8:BA16" ca="1" si="0">AZ8/BC$17</f>
        <v>2494.0955555555556</v>
      </c>
      <c r="BB8" s="1"/>
      <c r="BC8" s="1"/>
    </row>
    <row r="9" spans="1:55" ht="15.75">
      <c r="A9" s="189" t="s">
        <v>213</v>
      </c>
      <c r="B9" s="193">
        <v>5835.74</v>
      </c>
      <c r="C9" s="379">
        <f>SUM('01'!L30:'01'!L34)</f>
        <v>655.59</v>
      </c>
      <c r="D9" s="380"/>
      <c r="E9" s="380"/>
      <c r="F9" s="381"/>
      <c r="G9" s="379">
        <f>SUM('02'!L30:'02'!L34)</f>
        <v>760.26</v>
      </c>
      <c r="H9" s="380"/>
      <c r="I9" s="380"/>
      <c r="J9" s="381"/>
      <c r="K9" s="379">
        <f>SUM('03'!L30:'03'!L34)</f>
        <v>516.44000000000005</v>
      </c>
      <c r="L9" s="380"/>
      <c r="M9" s="380"/>
      <c r="N9" s="381"/>
      <c r="O9" s="379">
        <f>SUM('04'!L30:'04'!L34)</f>
        <v>507.54</v>
      </c>
      <c r="P9" s="380"/>
      <c r="Q9" s="380"/>
      <c r="R9" s="381"/>
      <c r="S9" s="379">
        <f>SUM('05'!L30:'05'!L34)</f>
        <v>578.16999999999996</v>
      </c>
      <c r="T9" s="380"/>
      <c r="U9" s="380"/>
      <c r="V9" s="381"/>
      <c r="W9" s="379">
        <f>SUM('06'!L30:'06'!L34)</f>
        <v>613.67000000000007</v>
      </c>
      <c r="X9" s="380"/>
      <c r="Y9" s="380"/>
      <c r="Z9" s="381"/>
      <c r="AA9" s="379">
        <f>SUM('07'!L30:'07'!L34)</f>
        <v>1147.52</v>
      </c>
      <c r="AB9" s="380"/>
      <c r="AC9" s="380"/>
      <c r="AD9" s="381"/>
      <c r="AE9" s="379">
        <f>SUM('08'!L30:'08'!L34)</f>
        <v>291.60000000000002</v>
      </c>
      <c r="AF9" s="380"/>
      <c r="AG9" s="380"/>
      <c r="AH9" s="381"/>
      <c r="AI9" s="379">
        <f>SUM('09'!L30:'09'!L34)</f>
        <v>0</v>
      </c>
      <c r="AJ9" s="380"/>
      <c r="AK9" s="380"/>
      <c r="AL9" s="381"/>
      <c r="AM9" s="379">
        <f>SUM('10'!L30:'10'!L34)</f>
        <v>0</v>
      </c>
      <c r="AN9" s="380"/>
      <c r="AO9" s="380"/>
      <c r="AP9" s="381"/>
      <c r="AQ9" s="379">
        <f>SUM('11'!L30:'11'!L34)</f>
        <v>0</v>
      </c>
      <c r="AR9" s="380"/>
      <c r="AS9" s="380"/>
      <c r="AT9" s="381"/>
      <c r="AU9" s="379">
        <f>SUM('12'!L30:'12'!L34)</f>
        <v>0</v>
      </c>
      <c r="AV9" s="380"/>
      <c r="AW9" s="380"/>
      <c r="AX9" s="381"/>
      <c r="AZ9" s="210">
        <f t="shared" ref="AZ9:AZ16" si="1">SUM(C9:AW9)</f>
        <v>5070.7900000000009</v>
      </c>
      <c r="BA9" s="112">
        <f t="shared" ca="1" si="0"/>
        <v>563.42111111111126</v>
      </c>
      <c r="BB9" s="1"/>
      <c r="BC9" s="1"/>
    </row>
    <row r="10" spans="1:55" ht="15.75">
      <c r="A10" s="190" t="s">
        <v>218</v>
      </c>
      <c r="B10" s="194">
        <v>2731.18</v>
      </c>
      <c r="C10" s="379">
        <f>SUM('01'!L35:'01'!L39)</f>
        <v>120.85</v>
      </c>
      <c r="D10" s="380"/>
      <c r="E10" s="380"/>
      <c r="F10" s="381"/>
      <c r="G10" s="379">
        <f>SUM('02'!L35:'02'!L39)</f>
        <v>107.38</v>
      </c>
      <c r="H10" s="380"/>
      <c r="I10" s="380"/>
      <c r="J10" s="381"/>
      <c r="K10" s="379">
        <f>SUM('03'!L35:'03'!L39)</f>
        <v>91.73</v>
      </c>
      <c r="L10" s="380"/>
      <c r="M10" s="380"/>
      <c r="N10" s="381"/>
      <c r="O10" s="379">
        <f>SUM('04'!L35:'04'!L39)</f>
        <v>204.23</v>
      </c>
      <c r="P10" s="380"/>
      <c r="Q10" s="380"/>
      <c r="R10" s="381"/>
      <c r="S10" s="379">
        <f>SUM('05'!L35:'05'!L39)</f>
        <v>119.85</v>
      </c>
      <c r="T10" s="380"/>
      <c r="U10" s="380"/>
      <c r="V10" s="381"/>
      <c r="W10" s="395">
        <f>SUM('06'!L35:'06'!L39)</f>
        <v>55.09</v>
      </c>
      <c r="X10" s="396"/>
      <c r="Y10" s="396"/>
      <c r="Z10" s="397"/>
      <c r="AA10" s="395">
        <f>SUM('07'!L35:'07'!L39)</f>
        <v>124.52</v>
      </c>
      <c r="AB10" s="396"/>
      <c r="AC10" s="396"/>
      <c r="AD10" s="397"/>
      <c r="AE10" s="395">
        <f>SUM('08'!L35:'08'!L39)</f>
        <v>164.91</v>
      </c>
      <c r="AF10" s="396"/>
      <c r="AG10" s="396"/>
      <c r="AH10" s="397"/>
      <c r="AI10" s="395">
        <f>SUM('09'!L35:'09'!L39)</f>
        <v>0</v>
      </c>
      <c r="AJ10" s="396"/>
      <c r="AK10" s="396"/>
      <c r="AL10" s="397"/>
      <c r="AM10" s="395">
        <f>SUM('10'!L35:'10'!L39)</f>
        <v>0</v>
      </c>
      <c r="AN10" s="396"/>
      <c r="AO10" s="396"/>
      <c r="AP10" s="397"/>
      <c r="AQ10" s="395">
        <f>SUM('11'!L35:'11'!L39)</f>
        <v>0</v>
      </c>
      <c r="AR10" s="396"/>
      <c r="AS10" s="396"/>
      <c r="AT10" s="397"/>
      <c r="AU10" s="395">
        <f>SUM('12'!L35:'12'!L39)</f>
        <v>0</v>
      </c>
      <c r="AV10" s="396"/>
      <c r="AW10" s="396"/>
      <c r="AX10" s="397"/>
      <c r="AZ10" s="211">
        <f t="shared" si="1"/>
        <v>988.56</v>
      </c>
      <c r="BA10" s="112">
        <f t="shared" ca="1" si="0"/>
        <v>109.83999999999999</v>
      </c>
      <c r="BB10" s="1"/>
      <c r="BC10" s="1"/>
    </row>
    <row r="11" spans="1:55" ht="15.75">
      <c r="A11" s="189" t="s">
        <v>214</v>
      </c>
      <c r="B11" s="193">
        <v>2906.88</v>
      </c>
      <c r="C11" s="379">
        <f>SUM('01'!L40:'01'!L44)</f>
        <v>3.87</v>
      </c>
      <c r="D11" s="380"/>
      <c r="E11" s="380"/>
      <c r="F11" s="381"/>
      <c r="G11" s="379">
        <f>SUM('02'!L40:'02'!L44)</f>
        <v>0</v>
      </c>
      <c r="H11" s="380"/>
      <c r="I11" s="380"/>
      <c r="J11" s="381"/>
      <c r="K11" s="379">
        <f>SUM('03'!L40:'03'!L44)</f>
        <v>0</v>
      </c>
      <c r="L11" s="380"/>
      <c r="M11" s="380"/>
      <c r="N11" s="381"/>
      <c r="O11" s="379">
        <f>SUM('04'!L40:'04'!L44)</f>
        <v>356.59</v>
      </c>
      <c r="P11" s="380"/>
      <c r="Q11" s="380"/>
      <c r="R11" s="381"/>
      <c r="S11" s="379">
        <f>SUM('05'!L40:'05'!L44)</f>
        <v>45.86</v>
      </c>
      <c r="T11" s="380"/>
      <c r="U11" s="380"/>
      <c r="V11" s="381"/>
      <c r="W11" s="379">
        <f>SUM('06'!L40:'06'!L44)</f>
        <v>0</v>
      </c>
      <c r="X11" s="380"/>
      <c r="Y11" s="380"/>
      <c r="Z11" s="381"/>
      <c r="AA11" s="379">
        <f>SUM('07'!L40:'07'!L44)</f>
        <v>1.02</v>
      </c>
      <c r="AB11" s="380"/>
      <c r="AC11" s="380"/>
      <c r="AD11" s="381"/>
      <c r="AE11" s="379">
        <f>SUM('08'!L40:'08'!L44)</f>
        <v>0</v>
      </c>
      <c r="AF11" s="380"/>
      <c r="AG11" s="380"/>
      <c r="AH11" s="381"/>
      <c r="AI11" s="379">
        <f>SUM('09'!L40:'09'!L44)</f>
        <v>0</v>
      </c>
      <c r="AJ11" s="380"/>
      <c r="AK11" s="380"/>
      <c r="AL11" s="381"/>
      <c r="AM11" s="379">
        <f>SUM('10'!L40:'10'!L44)</f>
        <v>0</v>
      </c>
      <c r="AN11" s="380"/>
      <c r="AO11" s="380"/>
      <c r="AP11" s="381"/>
      <c r="AQ11" s="379">
        <f>SUM('11'!L40:'11'!L44)</f>
        <v>0</v>
      </c>
      <c r="AR11" s="380"/>
      <c r="AS11" s="380"/>
      <c r="AT11" s="381"/>
      <c r="AU11" s="379">
        <f>SUM('12'!L40:'12'!L44)</f>
        <v>0</v>
      </c>
      <c r="AV11" s="380"/>
      <c r="AW11" s="380"/>
      <c r="AX11" s="381"/>
      <c r="AZ11" s="210">
        <f t="shared" si="1"/>
        <v>407.34</v>
      </c>
      <c r="BA11" s="112">
        <f t="shared" ca="1" si="0"/>
        <v>45.26</v>
      </c>
      <c r="BB11" s="1"/>
      <c r="BC11" s="1"/>
    </row>
    <row r="12" spans="1:55" ht="15.75">
      <c r="A12" s="190" t="s">
        <v>23</v>
      </c>
      <c r="B12" s="194">
        <v>3325.31</v>
      </c>
      <c r="C12" s="379">
        <f>SUM('01'!L45:'01'!L49)</f>
        <v>137</v>
      </c>
      <c r="D12" s="380"/>
      <c r="E12" s="380"/>
      <c r="F12" s="381"/>
      <c r="G12" s="379">
        <f>SUM('02'!L45:'02'!L49)</f>
        <v>600.04</v>
      </c>
      <c r="H12" s="380"/>
      <c r="I12" s="380"/>
      <c r="J12" s="381"/>
      <c r="K12" s="379">
        <f>SUM('03'!L45:'03'!L49)</f>
        <v>380</v>
      </c>
      <c r="L12" s="380"/>
      <c r="M12" s="380"/>
      <c r="N12" s="381"/>
      <c r="O12" s="379">
        <f>SUM('04'!L45:'04'!L49)</f>
        <v>0</v>
      </c>
      <c r="P12" s="380"/>
      <c r="Q12" s="380"/>
      <c r="R12" s="381"/>
      <c r="S12" s="379">
        <f>SUM('05'!L45:'05'!L49)</f>
        <v>0</v>
      </c>
      <c r="T12" s="380"/>
      <c r="U12" s="380"/>
      <c r="V12" s="381"/>
      <c r="W12" s="395">
        <f>SUM('06'!L45:'06'!L49)</f>
        <v>242.41</v>
      </c>
      <c r="X12" s="396"/>
      <c r="Y12" s="396"/>
      <c r="Z12" s="397"/>
      <c r="AA12" s="395">
        <f>SUM('07'!L45:'07'!L49)</f>
        <v>0</v>
      </c>
      <c r="AB12" s="396"/>
      <c r="AC12" s="396"/>
      <c r="AD12" s="397"/>
      <c r="AE12" s="395">
        <f>SUM('08'!L45:'08'!L49)</f>
        <v>222.98</v>
      </c>
      <c r="AF12" s="396"/>
      <c r="AG12" s="396"/>
      <c r="AH12" s="397"/>
      <c r="AI12" s="395">
        <f>SUM('09'!L45:'09'!L49)</f>
        <v>100</v>
      </c>
      <c r="AJ12" s="396"/>
      <c r="AK12" s="396"/>
      <c r="AL12" s="397"/>
      <c r="AM12" s="395">
        <f>SUM('10'!L45:'10'!L49)</f>
        <v>0</v>
      </c>
      <c r="AN12" s="396"/>
      <c r="AO12" s="396"/>
      <c r="AP12" s="397"/>
      <c r="AQ12" s="395">
        <f>SUM('11'!L45:'11'!L49)</f>
        <v>0</v>
      </c>
      <c r="AR12" s="396"/>
      <c r="AS12" s="396"/>
      <c r="AT12" s="397"/>
      <c r="AU12" s="395">
        <f>SUM('12'!L45:'12'!L49)</f>
        <v>0</v>
      </c>
      <c r="AV12" s="396"/>
      <c r="AW12" s="396"/>
      <c r="AX12" s="397"/>
      <c r="AZ12" s="211">
        <f t="shared" si="1"/>
        <v>1682.43</v>
      </c>
      <c r="BA12" s="112">
        <f t="shared" ca="1" si="0"/>
        <v>186.93666666666667</v>
      </c>
      <c r="BB12" s="1"/>
      <c r="BC12" s="1"/>
    </row>
    <row r="13" spans="1:55" ht="15.75">
      <c r="A13" s="189" t="s">
        <v>215</v>
      </c>
      <c r="B13" s="195">
        <v>3443.8099999999995</v>
      </c>
      <c r="C13" s="379">
        <f>SUM('01'!L50:'01'!L54)</f>
        <v>95.8</v>
      </c>
      <c r="D13" s="380"/>
      <c r="E13" s="380"/>
      <c r="F13" s="381"/>
      <c r="G13" s="379">
        <f>SUM('02'!L50:'02'!L54)</f>
        <v>95.8</v>
      </c>
      <c r="H13" s="380"/>
      <c r="I13" s="380"/>
      <c r="J13" s="381"/>
      <c r="K13" s="379">
        <f>SUM('03'!L50:'03'!L54)</f>
        <v>4517.74</v>
      </c>
      <c r="L13" s="380"/>
      <c r="M13" s="380"/>
      <c r="N13" s="381"/>
      <c r="O13" s="379">
        <f>SUM('04'!L50:'04'!L54)</f>
        <v>95.8</v>
      </c>
      <c r="P13" s="380"/>
      <c r="Q13" s="380"/>
      <c r="R13" s="381"/>
      <c r="S13" s="379">
        <f>SUM('05'!L50:'05'!L54)</f>
        <v>95.8</v>
      </c>
      <c r="T13" s="380"/>
      <c r="U13" s="380"/>
      <c r="V13" s="381"/>
      <c r="W13" s="379">
        <f>SUM('06'!L50:'06'!L54)</f>
        <v>95.8</v>
      </c>
      <c r="X13" s="380"/>
      <c r="Y13" s="380"/>
      <c r="Z13" s="381"/>
      <c r="AA13" s="379">
        <f>SUM('07'!L50:'07'!L54)</f>
        <v>95.8</v>
      </c>
      <c r="AB13" s="380"/>
      <c r="AC13" s="380"/>
      <c r="AD13" s="381"/>
      <c r="AE13" s="379">
        <f>SUM('08'!L50:'08'!L54)</f>
        <v>117.03</v>
      </c>
      <c r="AF13" s="380"/>
      <c r="AG13" s="380"/>
      <c r="AH13" s="381"/>
      <c r="AI13" s="379">
        <f>SUM('09'!L50:'09'!L54)</f>
        <v>0</v>
      </c>
      <c r="AJ13" s="380"/>
      <c r="AK13" s="380"/>
      <c r="AL13" s="381"/>
      <c r="AM13" s="379">
        <f>SUM('10'!L50:'10'!L54)</f>
        <v>0</v>
      </c>
      <c r="AN13" s="380"/>
      <c r="AO13" s="380"/>
      <c r="AP13" s="381"/>
      <c r="AQ13" s="379">
        <f>SUM('11'!L50:'11'!L54)</f>
        <v>0</v>
      </c>
      <c r="AR13" s="380"/>
      <c r="AS13" s="380"/>
      <c r="AT13" s="381"/>
      <c r="AU13" s="379">
        <f>SUM('12'!L50:'12'!L54)</f>
        <v>0</v>
      </c>
      <c r="AV13" s="380"/>
      <c r="AW13" s="380"/>
      <c r="AX13" s="381"/>
      <c r="AZ13" s="212">
        <f t="shared" si="1"/>
        <v>5209.5700000000006</v>
      </c>
      <c r="BA13" s="112">
        <f t="shared" ca="1" si="0"/>
        <v>578.84111111111122</v>
      </c>
      <c r="BB13" s="1"/>
      <c r="BC13" s="1"/>
    </row>
    <row r="14" spans="1:55" ht="15.75">
      <c r="A14" s="190" t="s">
        <v>216</v>
      </c>
      <c r="B14" s="194">
        <v>364.62</v>
      </c>
      <c r="C14" s="379">
        <f>SUM('01'!L55:'01'!L59)</f>
        <v>0</v>
      </c>
      <c r="D14" s="380"/>
      <c r="E14" s="380"/>
      <c r="F14" s="381"/>
      <c r="G14" s="379">
        <f>SUM('02'!L55:'02'!L59)</f>
        <v>0</v>
      </c>
      <c r="H14" s="380"/>
      <c r="I14" s="380"/>
      <c r="J14" s="381"/>
      <c r="K14" s="379">
        <f>SUM('03'!L55:'03'!L59)</f>
        <v>9.44</v>
      </c>
      <c r="L14" s="380"/>
      <c r="M14" s="380"/>
      <c r="N14" s="381"/>
      <c r="O14" s="379">
        <f>SUM('04'!L55:'04'!L59)</f>
        <v>37.980000000000004</v>
      </c>
      <c r="P14" s="380"/>
      <c r="Q14" s="380"/>
      <c r="R14" s="381"/>
      <c r="S14" s="379">
        <f>SUM('05'!L55:'05'!L59)</f>
        <v>17.350000000000001</v>
      </c>
      <c r="T14" s="380"/>
      <c r="U14" s="380"/>
      <c r="V14" s="381"/>
      <c r="W14" s="395">
        <f>SUM('06'!L55:'06'!L59)</f>
        <v>0</v>
      </c>
      <c r="X14" s="396"/>
      <c r="Y14" s="396"/>
      <c r="Z14" s="397"/>
      <c r="AA14" s="395">
        <f>SUM('07'!L55:'07'!L59)</f>
        <v>51.759999999999991</v>
      </c>
      <c r="AB14" s="396"/>
      <c r="AC14" s="396"/>
      <c r="AD14" s="397"/>
      <c r="AE14" s="395">
        <f>SUM('08'!L55:'08'!L59)</f>
        <v>27.42</v>
      </c>
      <c r="AF14" s="396"/>
      <c r="AG14" s="396"/>
      <c r="AH14" s="397"/>
      <c r="AI14" s="395">
        <f>SUM('09'!L55:'09'!L59)</f>
        <v>0</v>
      </c>
      <c r="AJ14" s="396"/>
      <c r="AK14" s="396"/>
      <c r="AL14" s="397"/>
      <c r="AM14" s="395">
        <f>SUM('10'!L55:'10'!L59)</f>
        <v>0</v>
      </c>
      <c r="AN14" s="396"/>
      <c r="AO14" s="396"/>
      <c r="AP14" s="397"/>
      <c r="AQ14" s="395">
        <f>SUM('11'!L55:'11'!L59)</f>
        <v>0</v>
      </c>
      <c r="AR14" s="396"/>
      <c r="AS14" s="396"/>
      <c r="AT14" s="397"/>
      <c r="AU14" s="395">
        <f>SUM('12'!L55:'12'!L59)</f>
        <v>0</v>
      </c>
      <c r="AV14" s="396"/>
      <c r="AW14" s="396"/>
      <c r="AX14" s="397"/>
      <c r="AZ14" s="211">
        <f t="shared" si="1"/>
        <v>143.94999999999999</v>
      </c>
      <c r="BA14" s="112">
        <f t="shared" ca="1" si="0"/>
        <v>15.994444444444444</v>
      </c>
      <c r="BB14" s="3"/>
      <c r="BC14" s="3"/>
    </row>
    <row r="15" spans="1:55" ht="15.75">
      <c r="A15" s="189" t="s">
        <v>217</v>
      </c>
      <c r="B15" s="193">
        <v>7756.04</v>
      </c>
      <c r="C15" s="379">
        <f>SUM('01'!L60:'01'!L64)</f>
        <v>0</v>
      </c>
      <c r="D15" s="380"/>
      <c r="E15" s="380"/>
      <c r="F15" s="381"/>
      <c r="G15" s="379">
        <f>SUM('02'!L60:'02'!L64)</f>
        <v>665.77</v>
      </c>
      <c r="H15" s="380"/>
      <c r="I15" s="380"/>
      <c r="J15" s="381"/>
      <c r="K15" s="379">
        <f>SUM('03'!L60:'03'!L64)</f>
        <v>682.39</v>
      </c>
      <c r="L15" s="380"/>
      <c r="M15" s="380"/>
      <c r="N15" s="381"/>
      <c r="O15" s="379">
        <f>SUM('04'!L60:'04'!L64)</f>
        <v>550</v>
      </c>
      <c r="P15" s="380"/>
      <c r="Q15" s="380"/>
      <c r="R15" s="381"/>
      <c r="S15" s="379">
        <f>SUM('05'!L60:'05'!L64)</f>
        <v>652.44000000000005</v>
      </c>
      <c r="T15" s="380"/>
      <c r="U15" s="380"/>
      <c r="V15" s="381"/>
      <c r="W15" s="379">
        <f>SUM('06'!L60:'06'!L64)</f>
        <v>511.74</v>
      </c>
      <c r="X15" s="380"/>
      <c r="Y15" s="380"/>
      <c r="Z15" s="381"/>
      <c r="AA15" s="379">
        <f>SUM('07'!L60:'07'!L64)</f>
        <v>649.1</v>
      </c>
      <c r="AB15" s="380"/>
      <c r="AC15" s="380"/>
      <c r="AD15" s="381"/>
      <c r="AE15" s="379">
        <f>SUM('08'!L60:'08'!L64)</f>
        <v>550</v>
      </c>
      <c r="AF15" s="380"/>
      <c r="AG15" s="380"/>
      <c r="AH15" s="381"/>
      <c r="AI15" s="379">
        <f>SUM('09'!L60:'09'!L64)</f>
        <v>0</v>
      </c>
      <c r="AJ15" s="380"/>
      <c r="AK15" s="380"/>
      <c r="AL15" s="381"/>
      <c r="AM15" s="379">
        <f>SUM('10'!L60:'10'!L64)</f>
        <v>0</v>
      </c>
      <c r="AN15" s="380"/>
      <c r="AO15" s="380"/>
      <c r="AP15" s="381"/>
      <c r="AQ15" s="379">
        <f>SUM('11'!L60:'11'!L64)</f>
        <v>0</v>
      </c>
      <c r="AR15" s="380"/>
      <c r="AS15" s="380"/>
      <c r="AT15" s="381"/>
      <c r="AU15" s="379">
        <f>SUM('12'!L60:'12'!L64)</f>
        <v>0</v>
      </c>
      <c r="AV15" s="380"/>
      <c r="AW15" s="380"/>
      <c r="AX15" s="381"/>
      <c r="AZ15" s="210">
        <f t="shared" si="1"/>
        <v>4261.4400000000005</v>
      </c>
      <c r="BA15" s="112">
        <f t="shared" ca="1" si="0"/>
        <v>473.4933333333334</v>
      </c>
      <c r="BB15" s="1"/>
      <c r="BC15" s="1"/>
    </row>
    <row r="16" spans="1:55" ht="16.5" thickBot="1">
      <c r="A16" s="191" t="s">
        <v>42</v>
      </c>
      <c r="B16" s="196">
        <v>2018.96</v>
      </c>
      <c r="C16" s="379">
        <f>SUM('01'!L65:'01'!L69)</f>
        <v>85</v>
      </c>
      <c r="D16" s="380"/>
      <c r="E16" s="380"/>
      <c r="F16" s="381"/>
      <c r="G16" s="379">
        <f>SUM('02'!L65:'02'!L69)</f>
        <v>0</v>
      </c>
      <c r="H16" s="380"/>
      <c r="I16" s="380"/>
      <c r="J16" s="381"/>
      <c r="K16" s="379">
        <f>SUM('03'!L65:'03'!L69)</f>
        <v>0</v>
      </c>
      <c r="L16" s="380"/>
      <c r="M16" s="380"/>
      <c r="N16" s="381"/>
      <c r="O16" s="379">
        <f>SUM('04'!L65:'04'!L69)</f>
        <v>0</v>
      </c>
      <c r="P16" s="380"/>
      <c r="Q16" s="380"/>
      <c r="R16" s="381"/>
      <c r="S16" s="379">
        <f>SUM('05'!L65:'05'!L69)</f>
        <v>0</v>
      </c>
      <c r="T16" s="380"/>
      <c r="U16" s="380"/>
      <c r="V16" s="381"/>
      <c r="W16" s="398">
        <f>SUM('06'!L65:'06'!L69)</f>
        <v>0</v>
      </c>
      <c r="X16" s="399"/>
      <c r="Y16" s="399"/>
      <c r="Z16" s="400"/>
      <c r="AA16" s="398">
        <f>SUM('07'!L65:'07'!L69)</f>
        <v>0</v>
      </c>
      <c r="AB16" s="399"/>
      <c r="AC16" s="399"/>
      <c r="AD16" s="400"/>
      <c r="AE16" s="398">
        <f>SUM('08'!L65:'08'!L69)</f>
        <v>0</v>
      </c>
      <c r="AF16" s="399"/>
      <c r="AG16" s="399"/>
      <c r="AH16" s="400"/>
      <c r="AI16" s="398">
        <f>SUM('09'!L65:'09'!L69)</f>
        <v>0</v>
      </c>
      <c r="AJ16" s="399"/>
      <c r="AK16" s="399"/>
      <c r="AL16" s="400"/>
      <c r="AM16" s="398">
        <f>SUM('10'!L65:'10'!L69)</f>
        <v>0</v>
      </c>
      <c r="AN16" s="399"/>
      <c r="AO16" s="399"/>
      <c r="AP16" s="400"/>
      <c r="AQ16" s="398">
        <f>SUM('11'!L65:'11'!L69)</f>
        <v>0</v>
      </c>
      <c r="AR16" s="399"/>
      <c r="AS16" s="399"/>
      <c r="AT16" s="400"/>
      <c r="AU16" s="398">
        <f>SUM('12'!L65:'12'!L69)</f>
        <v>0</v>
      </c>
      <c r="AV16" s="399"/>
      <c r="AW16" s="399"/>
      <c r="AX16" s="400"/>
      <c r="AZ16" s="213">
        <f t="shared" si="1"/>
        <v>85</v>
      </c>
      <c r="BA16" s="112">
        <f t="shared" ca="1" si="0"/>
        <v>9.4444444444444446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75">
        <f>SUM(C8:C16)</f>
        <v>3691.57</v>
      </c>
      <c r="D17" s="376"/>
      <c r="E17" s="376"/>
      <c r="F17" s="377"/>
      <c r="G17" s="375">
        <f>SUM(G8:G16)</f>
        <v>4821.67</v>
      </c>
      <c r="H17" s="376"/>
      <c r="I17" s="376"/>
      <c r="J17" s="377"/>
      <c r="K17" s="375">
        <f>SUM(K8:K16)</f>
        <v>8724.6099999999988</v>
      </c>
      <c r="L17" s="376"/>
      <c r="M17" s="376"/>
      <c r="N17" s="377"/>
      <c r="O17" s="375">
        <f>SUM(O8:O16)</f>
        <v>4322.7000000000007</v>
      </c>
      <c r="P17" s="376"/>
      <c r="Q17" s="376"/>
      <c r="R17" s="377"/>
      <c r="S17" s="375">
        <f>SUM(S8:S16)</f>
        <v>5958.3200000000015</v>
      </c>
      <c r="T17" s="376"/>
      <c r="U17" s="376"/>
      <c r="V17" s="377"/>
      <c r="W17" s="375">
        <f>SUM(W8:W16)</f>
        <v>4093.3200000000006</v>
      </c>
      <c r="X17" s="376"/>
      <c r="Y17" s="376"/>
      <c r="Z17" s="377"/>
      <c r="AA17" s="375">
        <f>SUM(AA8:AA16)</f>
        <v>4638.26</v>
      </c>
      <c r="AB17" s="376"/>
      <c r="AC17" s="376"/>
      <c r="AD17" s="377"/>
      <c r="AE17" s="375">
        <f>SUM(AE8:AE16)</f>
        <v>3945.4900000000002</v>
      </c>
      <c r="AF17" s="376"/>
      <c r="AG17" s="376"/>
      <c r="AH17" s="377"/>
      <c r="AI17" s="375">
        <f>SUM(AI8:AI16)</f>
        <v>100</v>
      </c>
      <c r="AJ17" s="376"/>
      <c r="AK17" s="376"/>
      <c r="AL17" s="377"/>
      <c r="AM17" s="375">
        <f>SUM(AM8:AM16)</f>
        <v>0</v>
      </c>
      <c r="AN17" s="376"/>
      <c r="AO17" s="376"/>
      <c r="AP17" s="377"/>
      <c r="AQ17" s="375">
        <f>SUM(AQ8:AQ16)</f>
        <v>0</v>
      </c>
      <c r="AR17" s="376"/>
      <c r="AS17" s="376"/>
      <c r="AT17" s="377"/>
      <c r="AU17" s="375">
        <f>SUM(AU8:AU16)</f>
        <v>0</v>
      </c>
      <c r="AV17" s="376"/>
      <c r="AW17" s="376"/>
      <c r="AX17" s="377"/>
      <c r="AZ17" s="227">
        <f>SUM(AZ8:AZ16)</f>
        <v>40295.94</v>
      </c>
      <c r="BA17" s="112">
        <f ca="1">AZ17/BC$17</f>
        <v>4477.3266666666668</v>
      </c>
      <c r="BB17" s="1" t="s">
        <v>83</v>
      </c>
      <c r="BC17" s="1">
        <f ca="1">MONTH(TODAY())</f>
        <v>9</v>
      </c>
      <c r="BD17" s="39"/>
    </row>
    <row r="18" spans="1:62" ht="32.25" customHeight="1" thickTop="1" thickBot="1">
      <c r="A18" s="10"/>
      <c r="B18" s="10"/>
      <c r="C18" s="378"/>
      <c r="D18" s="378"/>
      <c r="E18" s="378"/>
      <c r="F18" s="378"/>
      <c r="G18" s="378"/>
      <c r="H18" s="378"/>
      <c r="I18" s="378"/>
      <c r="J18" s="378"/>
      <c r="K18" s="378"/>
      <c r="L18" s="378"/>
      <c r="M18" s="378"/>
      <c r="N18" s="378"/>
      <c r="O18" s="378"/>
      <c r="P18" s="378"/>
      <c r="Q18" s="378"/>
      <c r="R18" s="378"/>
      <c r="S18" s="378"/>
      <c r="T18" s="378"/>
      <c r="U18" s="378"/>
      <c r="V18" s="378"/>
      <c r="W18" s="378"/>
      <c r="X18" s="378"/>
      <c r="Y18" s="378"/>
      <c r="Z18" s="378"/>
      <c r="AA18" s="378"/>
      <c r="AB18" s="378"/>
      <c r="AC18" s="378"/>
      <c r="AD18" s="378"/>
      <c r="AE18" s="378"/>
      <c r="AF18" s="378"/>
      <c r="AG18" s="378"/>
      <c r="AH18" s="378"/>
      <c r="AI18" s="378"/>
      <c r="AJ18" s="378"/>
      <c r="AK18" s="378"/>
      <c r="AL18" s="378"/>
      <c r="AM18" s="378"/>
      <c r="AN18" s="378"/>
      <c r="AO18" s="378"/>
      <c r="AP18" s="378"/>
      <c r="AQ18" s="378"/>
      <c r="AR18" s="378"/>
      <c r="AS18" s="378"/>
      <c r="AT18" s="378"/>
      <c r="AU18" s="378" t="s">
        <v>173</v>
      </c>
      <c r="AV18" s="378"/>
      <c r="AW18" s="378"/>
      <c r="AX18" s="378"/>
      <c r="AZ18" s="131">
        <f>(2500*13)+(600*12)+(550*12)+(95*12)</f>
        <v>47440</v>
      </c>
      <c r="BA18" s="131">
        <f ca="1">12*BA17</f>
        <v>53727.92</v>
      </c>
      <c r="BB18" s="1"/>
      <c r="BC18" s="1"/>
    </row>
    <row r="19" spans="1:62" ht="17.25" thickTop="1" thickBot="1">
      <c r="A19" s="24" t="s">
        <v>7</v>
      </c>
      <c r="B19" s="24" t="s">
        <v>210</v>
      </c>
      <c r="C19" s="178" t="s">
        <v>54</v>
      </c>
      <c r="D19" s="179" t="s">
        <v>211</v>
      </c>
      <c r="E19" s="179" t="s">
        <v>9</v>
      </c>
      <c r="F19" s="180" t="s">
        <v>10</v>
      </c>
      <c r="G19" s="178" t="s">
        <v>54</v>
      </c>
      <c r="H19" s="179" t="s">
        <v>211</v>
      </c>
      <c r="I19" s="179" t="s">
        <v>9</v>
      </c>
      <c r="J19" s="180" t="s">
        <v>10</v>
      </c>
      <c r="K19" s="178" t="s">
        <v>54</v>
      </c>
      <c r="L19" s="179" t="s">
        <v>211</v>
      </c>
      <c r="M19" s="179" t="s">
        <v>9</v>
      </c>
      <c r="N19" s="180" t="s">
        <v>10</v>
      </c>
      <c r="O19" s="178" t="s">
        <v>54</v>
      </c>
      <c r="P19" s="179" t="s">
        <v>211</v>
      </c>
      <c r="Q19" s="179" t="s">
        <v>9</v>
      </c>
      <c r="R19" s="180" t="s">
        <v>10</v>
      </c>
      <c r="S19" s="178" t="s">
        <v>54</v>
      </c>
      <c r="T19" s="179" t="s">
        <v>211</v>
      </c>
      <c r="U19" s="179" t="s">
        <v>9</v>
      </c>
      <c r="V19" s="180" t="s">
        <v>10</v>
      </c>
      <c r="W19" s="178" t="s">
        <v>54</v>
      </c>
      <c r="X19" s="179" t="s">
        <v>211</v>
      </c>
      <c r="Y19" s="179" t="s">
        <v>9</v>
      </c>
      <c r="Z19" s="180" t="s">
        <v>10</v>
      </c>
      <c r="AA19" s="178" t="s">
        <v>54</v>
      </c>
      <c r="AB19" s="179" t="s">
        <v>211</v>
      </c>
      <c r="AC19" s="179" t="s">
        <v>9</v>
      </c>
      <c r="AD19" s="180" t="s">
        <v>10</v>
      </c>
      <c r="AE19" s="178" t="s">
        <v>54</v>
      </c>
      <c r="AF19" s="179" t="s">
        <v>211</v>
      </c>
      <c r="AG19" s="179" t="s">
        <v>9</v>
      </c>
      <c r="AH19" s="180" t="s">
        <v>10</v>
      </c>
      <c r="AI19" s="178" t="s">
        <v>54</v>
      </c>
      <c r="AJ19" s="179" t="s">
        <v>211</v>
      </c>
      <c r="AK19" s="179" t="s">
        <v>9</v>
      </c>
      <c r="AL19" s="180" t="s">
        <v>10</v>
      </c>
      <c r="AM19" s="178" t="s">
        <v>54</v>
      </c>
      <c r="AN19" s="179" t="s">
        <v>211</v>
      </c>
      <c r="AO19" s="179" t="s">
        <v>9</v>
      </c>
      <c r="AP19" s="180" t="s">
        <v>10</v>
      </c>
      <c r="AQ19" s="178" t="s">
        <v>54</v>
      </c>
      <c r="AR19" s="179" t="s">
        <v>211</v>
      </c>
      <c r="AS19" s="179" t="s">
        <v>9</v>
      </c>
      <c r="AT19" s="180" t="s">
        <v>10</v>
      </c>
      <c r="AU19" s="178" t="s">
        <v>54</v>
      </c>
      <c r="AV19" s="179" t="s">
        <v>211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231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420.13999999999993</v>
      </c>
      <c r="AE20" s="143" t="s">
        <v>73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415.05999999999995</v>
      </c>
      <c r="AI20" s="143" t="s">
        <v>76</v>
      </c>
      <c r="AJ20" s="144">
        <f>'09'!B20</f>
        <v>544</v>
      </c>
      <c r="AK20" s="144">
        <f>SUM('09'!D20:F20)</f>
        <v>22.59</v>
      </c>
      <c r="AL20" s="145">
        <f t="shared" ref="AL20:AL45" si="10">AH20+AJ20-AK20</f>
        <v>936.46999999999991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1480.4699999999998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2024.4699999999998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2568.4699999999998</v>
      </c>
      <c r="AZ20" s="123">
        <f t="shared" ref="AZ20:AZ27" si="14">E20+I20+M20+Q20+U20+Y20+AC20+AG20+AK20+AO20+AS20+AW20</f>
        <v>4707.3300000000008</v>
      </c>
      <c r="BA20" s="21">
        <f t="shared" ref="BA20:BA45" si="15">AZ20/AZ$46</f>
        <v>0.12267703332635775</v>
      </c>
      <c r="BB20" s="22">
        <f>_xlfn.RANK.EQ(BA20,$BA$20:$BA$45,)</f>
        <v>2</v>
      </c>
      <c r="BC20" s="22">
        <f t="shared" ref="BC20:BC45" ca="1" si="16">AZ20/BC$17</f>
        <v>523.03666666666675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5195.0200000000004</v>
      </c>
      <c r="BF20" s="21">
        <f t="shared" ref="BF20:BF45" ca="1" si="18">BE20/BE$46</f>
        <v>0.12892167300229251</v>
      </c>
      <c r="BG20" s="22">
        <f ca="1">_xlfn.RANK.EQ(BF20,$BF$20:$BF$45,)</f>
        <v>2</v>
      </c>
      <c r="BH20" s="22">
        <f t="shared" ref="BH20:BH45" ca="1" si="19">BE20/BC$17</f>
        <v>577.22444444444454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487.69000000000028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1103.94</v>
      </c>
      <c r="AD21" s="151">
        <f t="shared" si="8"/>
        <v>380.14999999999941</v>
      </c>
      <c r="AE21" s="148" t="s">
        <v>73</v>
      </c>
      <c r="AF21" s="149">
        <f>'08'!B40</f>
        <v>1148</v>
      </c>
      <c r="AG21" s="150">
        <f>SUM('08'!D40:F40)</f>
        <v>1208.1300000000001</v>
      </c>
      <c r="AH21" s="151">
        <f t="shared" si="9"/>
        <v>320.0199999999993</v>
      </c>
      <c r="AI21" s="148" t="s">
        <v>76</v>
      </c>
      <c r="AJ21" s="149">
        <f>'09'!B40</f>
        <v>1148</v>
      </c>
      <c r="AK21" s="150">
        <f>SUM('09'!D40:F40)</f>
        <v>0</v>
      </c>
      <c r="AL21" s="151">
        <f t="shared" si="10"/>
        <v>1468.0199999999993</v>
      </c>
      <c r="AM21" s="148" t="s">
        <v>77</v>
      </c>
      <c r="AN21" s="149">
        <f>'10'!B40</f>
        <v>1148</v>
      </c>
      <c r="AO21" s="150">
        <f>SUM('10'!D40:F40)</f>
        <v>0</v>
      </c>
      <c r="AP21" s="151">
        <f t="shared" si="11"/>
        <v>2616.0199999999995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3744.0199999999995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4872.0199999999995</v>
      </c>
      <c r="AZ21" s="152">
        <f t="shared" si="14"/>
        <v>9541.84</v>
      </c>
      <c r="BA21" s="21">
        <f t="shared" si="15"/>
        <v>0.24866848588791804</v>
      </c>
      <c r="BB21" s="22">
        <f t="shared" ref="BB21:BB45" si="20">_xlfn.RANK.EQ(BA21,$BA$20:$BA$45,)</f>
        <v>1</v>
      </c>
      <c r="BC21" s="22">
        <f t="shared" ca="1" si="16"/>
        <v>1060.2044444444446</v>
      </c>
      <c r="BE21" s="224">
        <f t="shared" ca="1" si="17"/>
        <v>10357</v>
      </c>
      <c r="BF21" s="21">
        <f t="shared" ca="1" si="18"/>
        <v>0.25702341228421516</v>
      </c>
      <c r="BG21" s="22">
        <f t="shared" ref="BG21:BG45" ca="1" si="21">_xlfn.RANK.EQ(BF21,$BF$20:$BF$45,)</f>
        <v>1</v>
      </c>
      <c r="BH21" s="22">
        <f t="shared" ca="1" si="19"/>
        <v>1150.7777777777778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815.15999999999963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72</v>
      </c>
      <c r="AB22" s="155">
        <f>'07'!B60</f>
        <v>108.36000000000001</v>
      </c>
      <c r="AC22" s="155">
        <f>SUM('07'!D60:F60)</f>
        <v>108.36</v>
      </c>
      <c r="AD22" s="156">
        <f t="shared" si="8"/>
        <v>489.68000000000018</v>
      </c>
      <c r="AE22" s="143" t="s">
        <v>73</v>
      </c>
      <c r="AF22" s="155">
        <f>'08'!B60</f>
        <v>323.87</v>
      </c>
      <c r="AG22" s="155">
        <f>SUM('08'!D60:F60)</f>
        <v>323.87000000000006</v>
      </c>
      <c r="AH22" s="156">
        <f t="shared" si="9"/>
        <v>489.68000000000012</v>
      </c>
      <c r="AI22" s="143" t="s">
        <v>76</v>
      </c>
      <c r="AJ22" s="155">
        <f>'09'!B60</f>
        <v>300</v>
      </c>
      <c r="AK22" s="155">
        <f>SUM('09'!D60:F60)</f>
        <v>85.2</v>
      </c>
      <c r="AL22" s="156">
        <f t="shared" si="10"/>
        <v>704.48</v>
      </c>
      <c r="AM22" s="143" t="s">
        <v>77</v>
      </c>
      <c r="AN22" s="155">
        <f>'10'!B60</f>
        <v>300</v>
      </c>
      <c r="AO22" s="155">
        <f>SUM('10'!D60:F60)</f>
        <v>0</v>
      </c>
      <c r="AP22" s="156">
        <f t="shared" si="11"/>
        <v>1004.48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1494.48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1984.48</v>
      </c>
      <c r="AZ22" s="157">
        <f t="shared" si="14"/>
        <v>2427.8199999999997</v>
      </c>
      <c r="BA22" s="21">
        <f t="shared" si="15"/>
        <v>6.3271059188626633E-2</v>
      </c>
      <c r="BB22" s="22">
        <f t="shared" si="20"/>
        <v>6</v>
      </c>
      <c r="BC22" s="22">
        <f t="shared" ca="1" si="16"/>
        <v>269.75777777777773</v>
      </c>
      <c r="BE22" s="225">
        <f t="shared" ca="1" si="17"/>
        <v>2886.23</v>
      </c>
      <c r="BF22" s="21">
        <f t="shared" ca="1" si="18"/>
        <v>7.1625826323942293E-2</v>
      </c>
      <c r="BG22" s="22">
        <f t="shared" ca="1" si="21"/>
        <v>7</v>
      </c>
      <c r="BH22" s="22">
        <f t="shared" ca="1" si="19"/>
        <v>320.6922222222222</v>
      </c>
      <c r="BJ22" s="225">
        <f t="shared" ca="1" si="22"/>
        <v>458.40999999999985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72</v>
      </c>
      <c r="AB23" s="149">
        <f>'07'!B80</f>
        <v>170</v>
      </c>
      <c r="AC23" s="150">
        <f>SUM('07'!D80:F80)</f>
        <v>142.19999999999999</v>
      </c>
      <c r="AD23" s="151">
        <f t="shared" si="8"/>
        <v>129.48000000000008</v>
      </c>
      <c r="AE23" s="148" t="s">
        <v>73</v>
      </c>
      <c r="AF23" s="149">
        <f>'08'!B80</f>
        <v>210</v>
      </c>
      <c r="AG23" s="150">
        <f>SUM('08'!D80:F80)</f>
        <v>216.64999999999998</v>
      </c>
      <c r="AH23" s="151">
        <f t="shared" si="9"/>
        <v>122.8300000000001</v>
      </c>
      <c r="AI23" s="148" t="s">
        <v>76</v>
      </c>
      <c r="AJ23" s="149">
        <f>'09'!B80</f>
        <v>180</v>
      </c>
      <c r="AK23" s="150">
        <f>SUM('09'!D80:F80)</f>
        <v>64.05</v>
      </c>
      <c r="AL23" s="151">
        <f t="shared" si="10"/>
        <v>238.78000000000009</v>
      </c>
      <c r="AM23" s="148" t="s">
        <v>77</v>
      </c>
      <c r="AN23" s="149">
        <f>'10'!B80</f>
        <v>180</v>
      </c>
      <c r="AO23" s="150">
        <f>SUM('10'!D80:F80)</f>
        <v>0</v>
      </c>
      <c r="AP23" s="151">
        <f t="shared" si="11"/>
        <v>418.78000000000009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568.78000000000009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718.78000000000009</v>
      </c>
      <c r="AZ23" s="152">
        <f t="shared" si="14"/>
        <v>1428.3499999999997</v>
      </c>
      <c r="BA23" s="21">
        <f t="shared" si="15"/>
        <v>3.722401882844479E-2</v>
      </c>
      <c r="BB23" s="22">
        <f t="shared" si="20"/>
        <v>7</v>
      </c>
      <c r="BC23" s="22">
        <f t="shared" ca="1" si="16"/>
        <v>158.70555555555552</v>
      </c>
      <c r="BE23" s="224">
        <f t="shared" ca="1" si="17"/>
        <v>1625</v>
      </c>
      <c r="BF23" s="21">
        <f t="shared" ca="1" si="18"/>
        <v>4.0326643329327956E-2</v>
      </c>
      <c r="BG23" s="22">
        <f t="shared" ca="1" si="21"/>
        <v>9</v>
      </c>
      <c r="BH23" s="22">
        <f t="shared" ca="1" si="19"/>
        <v>180.55555555555554</v>
      </c>
      <c r="BJ23" s="224">
        <f t="shared" ca="1" si="22"/>
        <v>196.65000000000006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72</v>
      </c>
      <c r="AB24" s="155">
        <f>'07'!B100</f>
        <v>160</v>
      </c>
      <c r="AC24" s="155">
        <f>SUM('07'!D100:F100)</f>
        <v>55.099999999999994</v>
      </c>
      <c r="AD24" s="156">
        <f>Z24+AB24-AC24</f>
        <v>194.91</v>
      </c>
      <c r="AE24" s="143" t="s">
        <v>73</v>
      </c>
      <c r="AF24" s="155">
        <f>'08'!B100</f>
        <v>160</v>
      </c>
      <c r="AG24" s="155">
        <f>SUM('08'!D100:F100)</f>
        <v>143.82</v>
      </c>
      <c r="AH24" s="156">
        <f t="shared" si="9"/>
        <v>211.08999999999997</v>
      </c>
      <c r="AI24" s="143" t="s">
        <v>76</v>
      </c>
      <c r="AJ24" s="155">
        <f>'09'!B100</f>
        <v>150</v>
      </c>
      <c r="AK24" s="155">
        <f>SUM('09'!D100:F100)</f>
        <v>51.07</v>
      </c>
      <c r="AL24" s="156">
        <f t="shared" si="10"/>
        <v>310.02</v>
      </c>
      <c r="AM24" s="143" t="s">
        <v>77</v>
      </c>
      <c r="AN24" s="155">
        <f>'10'!B100</f>
        <v>150</v>
      </c>
      <c r="AO24" s="155">
        <f>SUM('10'!D100:F100)</f>
        <v>0</v>
      </c>
      <c r="AP24" s="156">
        <f t="shared" si="11"/>
        <v>460.02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620.02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780.02</v>
      </c>
      <c r="AZ24" s="157">
        <f t="shared" si="14"/>
        <v>1149.98</v>
      </c>
      <c r="BA24" s="21">
        <f t="shared" si="15"/>
        <v>2.9969459286823923E-2</v>
      </c>
      <c r="BB24" s="22">
        <f t="shared" si="20"/>
        <v>11</v>
      </c>
      <c r="BC24" s="22">
        <f t="shared" ca="1" si="16"/>
        <v>127.77555555555556</v>
      </c>
      <c r="BE24" s="225">
        <f t="shared" ca="1" si="17"/>
        <v>1460</v>
      </c>
      <c r="BF24" s="21">
        <f t="shared" ca="1" si="18"/>
        <v>3.6231938006657735E-2</v>
      </c>
      <c r="BG24" s="22">
        <f t="shared" ca="1" si="21"/>
        <v>11</v>
      </c>
      <c r="BH24" s="22">
        <f t="shared" ca="1" si="19"/>
        <v>162.22222222222223</v>
      </c>
      <c r="BJ24" s="225">
        <f t="shared" ca="1" si="22"/>
        <v>310.02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645</v>
      </c>
      <c r="AC25" s="150">
        <f>SUM('07'!D120:F120)</f>
        <v>327.38</v>
      </c>
      <c r="AD25" s="151">
        <f t="shared" si="8"/>
        <v>3290.2399999999975</v>
      </c>
      <c r="AE25" s="148" t="s">
        <v>73</v>
      </c>
      <c r="AF25" s="149">
        <f>'08'!B120</f>
        <v>995</v>
      </c>
      <c r="AG25" s="150">
        <f>SUM('08'!D120:F120)</f>
        <v>327.38</v>
      </c>
      <c r="AH25" s="151">
        <f t="shared" si="9"/>
        <v>3957.8599999999979</v>
      </c>
      <c r="AI25" s="148" t="s">
        <v>76</v>
      </c>
      <c r="AJ25" s="149">
        <f>'09'!B120</f>
        <v>445</v>
      </c>
      <c r="AK25" s="150">
        <f>SUM('09'!D120:F120)</f>
        <v>258.47000000000003</v>
      </c>
      <c r="AL25" s="151">
        <f t="shared" si="10"/>
        <v>4144.3899999999976</v>
      </c>
      <c r="AM25" s="148" t="s">
        <v>77</v>
      </c>
      <c r="AN25" s="149">
        <f>'10'!B120</f>
        <v>445</v>
      </c>
      <c r="AO25" s="150">
        <f>SUM('10'!D120:F120)</f>
        <v>0</v>
      </c>
      <c r="AP25" s="151">
        <f t="shared" si="11"/>
        <v>4589.3899999999976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4994.3899999999976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5399.3899999999976</v>
      </c>
      <c r="AZ25" s="152">
        <f t="shared" si="14"/>
        <v>2941.51</v>
      </c>
      <c r="BA25" s="21">
        <f t="shared" si="15"/>
        <v>7.6658258566918935E-2</v>
      </c>
      <c r="BB25" s="22">
        <f t="shared" si="20"/>
        <v>5</v>
      </c>
      <c r="BC25" s="22">
        <f t="shared" ca="1" si="16"/>
        <v>326.83444444444444</v>
      </c>
      <c r="BE25" s="224">
        <f t="shared" ca="1" si="17"/>
        <v>3923.35</v>
      </c>
      <c r="BF25" s="21">
        <f t="shared" ca="1" si="18"/>
        <v>9.7363406834534663E-2</v>
      </c>
      <c r="BG25" s="22">
        <f t="shared" ca="1" si="21"/>
        <v>5</v>
      </c>
      <c r="BH25" s="22">
        <f t="shared" ca="1" si="19"/>
        <v>435.92777777777775</v>
      </c>
      <c r="BJ25" s="224">
        <f t="shared" ca="1" si="22"/>
        <v>981.83999999999924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45.49</v>
      </c>
      <c r="AD26" s="156">
        <f t="shared" si="8"/>
        <v>27.54</v>
      </c>
      <c r="AE26" s="143" t="s">
        <v>73</v>
      </c>
      <c r="AF26" s="155">
        <f>'08'!B140</f>
        <v>53</v>
      </c>
      <c r="AG26" s="155">
        <f>SUM('08'!D140:F140)</f>
        <v>55.49</v>
      </c>
      <c r="AH26" s="156">
        <f t="shared" si="9"/>
        <v>25.04999999999999</v>
      </c>
      <c r="AI26" s="143" t="s">
        <v>76</v>
      </c>
      <c r="AJ26" s="155">
        <f>'09'!B140</f>
        <v>53</v>
      </c>
      <c r="AK26" s="155">
        <f>SUM('09'!D140:F140)</f>
        <v>0</v>
      </c>
      <c r="AL26" s="156">
        <f t="shared" si="10"/>
        <v>78.049999999999983</v>
      </c>
      <c r="AM26" s="143" t="s">
        <v>77</v>
      </c>
      <c r="AN26" s="155">
        <f>'10'!B140</f>
        <v>53</v>
      </c>
      <c r="AO26" s="155">
        <f>SUM('10'!D140:F140)</f>
        <v>0</v>
      </c>
      <c r="AP26" s="156">
        <f t="shared" si="11"/>
        <v>131.04999999999998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179.04999999999998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227.04999999999998</v>
      </c>
      <c r="AZ26" s="157">
        <f t="shared" si="14"/>
        <v>413.94000000000005</v>
      </c>
      <c r="BA26" s="21">
        <f t="shared" si="15"/>
        <v>1.0787629330238696E-2</v>
      </c>
      <c r="BB26" s="22">
        <f t="shared" si="20"/>
        <v>17</v>
      </c>
      <c r="BC26" s="22">
        <f t="shared" ca="1" si="16"/>
        <v>45.993333333333339</v>
      </c>
      <c r="BE26" s="225">
        <f t="shared" ca="1" si="17"/>
        <v>472.45</v>
      </c>
      <c r="BF26" s="21">
        <f t="shared" ca="1" si="18"/>
        <v>1.1724506240579073E-2</v>
      </c>
      <c r="BG26" s="22">
        <f t="shared" ca="1" si="21"/>
        <v>17</v>
      </c>
      <c r="BH26" s="22">
        <f t="shared" ca="1" si="19"/>
        <v>52.49444444444444</v>
      </c>
      <c r="BJ26" s="225">
        <f t="shared" ca="1" si="22"/>
        <v>58.510000000000034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73</v>
      </c>
      <c r="AF27" s="186">
        <f>'08'!B160</f>
        <v>50</v>
      </c>
      <c r="AG27" s="186">
        <f>SUM('08'!D160:F160)</f>
        <v>37.29</v>
      </c>
      <c r="AH27" s="187">
        <f t="shared" si="9"/>
        <v>292.25000000000006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342.25000000000006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392.25000000000006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442.25000000000006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492.25000000000006</v>
      </c>
      <c r="AZ27" s="188">
        <f t="shared" si="14"/>
        <v>351.7</v>
      </c>
      <c r="BA27" s="21">
        <f t="shared" si="15"/>
        <v>9.1656018636636933E-3</v>
      </c>
      <c r="BB27" s="22">
        <f t="shared" si="20"/>
        <v>18</v>
      </c>
      <c r="BC27" s="22">
        <f t="shared" ca="1" si="16"/>
        <v>39.077777777777776</v>
      </c>
      <c r="BE27" s="224">
        <f t="shared" ca="1" si="17"/>
        <v>390</v>
      </c>
      <c r="BF27" s="21">
        <f t="shared" ca="1" si="18"/>
        <v>9.6783943990387099E-3</v>
      </c>
      <c r="BG27" s="22">
        <f t="shared" ca="1" si="21"/>
        <v>18</v>
      </c>
      <c r="BH27" s="22">
        <f t="shared" ca="1" si="19"/>
        <v>43.333333333333336</v>
      </c>
      <c r="BJ27" s="224">
        <f t="shared" ca="1" si="22"/>
        <v>38.300000000000011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1363.28</v>
      </c>
      <c r="AD28" s="159">
        <f t="shared" si="8"/>
        <v>333.00000000000023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533.00000000000023</v>
      </c>
      <c r="AI28" s="181" t="s">
        <v>76</v>
      </c>
      <c r="AJ28" s="155">
        <f>'09'!B180</f>
        <v>200</v>
      </c>
      <c r="AK28" s="155">
        <f>SUM('09'!D180:F180)</f>
        <v>44</v>
      </c>
      <c r="AL28" s="159">
        <f t="shared" si="10"/>
        <v>689.00000000000023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889.00000000000023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1089.0000000000002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1289.0000000000002</v>
      </c>
      <c r="AZ28" s="182">
        <f t="shared" ref="AZ28:AZ45" si="23">E28+I28+M28+Q28+U28+Y28+AC28+AG28+AK28+AO28+AS28+AW28</f>
        <v>3400.09</v>
      </c>
      <c r="BA28" s="21">
        <f t="shared" si="15"/>
        <v>8.860924435776027E-2</v>
      </c>
      <c r="BB28" s="22">
        <f t="shared" si="20"/>
        <v>4</v>
      </c>
      <c r="BC28" s="22">
        <f t="shared" ca="1" si="16"/>
        <v>377.78777777777782</v>
      </c>
      <c r="BE28" s="223">
        <f t="shared" ca="1" si="17"/>
        <v>3480.04</v>
      </c>
      <c r="BF28" s="21">
        <f t="shared" ca="1" si="18"/>
        <v>8.636205037033505E-2</v>
      </c>
      <c r="BG28" s="22">
        <f t="shared" ca="1" si="21"/>
        <v>6</v>
      </c>
      <c r="BH28" s="22">
        <f t="shared" ca="1" si="19"/>
        <v>386.67111111111109</v>
      </c>
      <c r="BJ28" s="223">
        <f t="shared" ca="1" si="22"/>
        <v>79.950000000000159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72</v>
      </c>
      <c r="AB29" s="149">
        <f>'07'!B200</f>
        <v>70</v>
      </c>
      <c r="AC29" s="150">
        <f>SUM('07'!D200:F200)</f>
        <v>101.03999999999999</v>
      </c>
      <c r="AD29" s="160">
        <f t="shared" si="8"/>
        <v>13.980000000000075</v>
      </c>
      <c r="AE29" s="148" t="s">
        <v>73</v>
      </c>
      <c r="AF29" s="149">
        <f>'08'!B200</f>
        <v>70</v>
      </c>
      <c r="AG29" s="150">
        <f>SUM('08'!D200:F200)</f>
        <v>50.2</v>
      </c>
      <c r="AH29" s="160">
        <f t="shared" si="9"/>
        <v>33.780000000000072</v>
      </c>
      <c r="AI29" s="148" t="s">
        <v>76</v>
      </c>
      <c r="AJ29" s="149">
        <f>'09'!B200</f>
        <v>70</v>
      </c>
      <c r="AK29" s="150">
        <f>SUM('09'!D200:F200)</f>
        <v>172.35999999999999</v>
      </c>
      <c r="AL29" s="160">
        <f t="shared" si="10"/>
        <v>-68.579999999999913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1.420000000000087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71.420000000000087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141.42000000000007</v>
      </c>
      <c r="AZ29" s="152">
        <f t="shared" si="23"/>
        <v>635.91</v>
      </c>
      <c r="BA29" s="21">
        <f t="shared" si="15"/>
        <v>1.6572356784539034E-2</v>
      </c>
      <c r="BB29" s="22">
        <f t="shared" si="20"/>
        <v>13</v>
      </c>
      <c r="BC29" s="22">
        <f t="shared" ca="1" si="16"/>
        <v>70.656666666666666</v>
      </c>
      <c r="BE29" s="224">
        <f t="shared" ca="1" si="17"/>
        <v>614</v>
      </c>
      <c r="BF29" s="21">
        <f t="shared" ca="1" si="18"/>
        <v>1.5237267079512225E-2</v>
      </c>
      <c r="BG29" s="22">
        <f t="shared" ca="1" si="21"/>
        <v>15</v>
      </c>
      <c r="BH29" s="22">
        <f t="shared" ca="1" si="19"/>
        <v>68.222222222222229</v>
      </c>
      <c r="BJ29" s="224">
        <f t="shared" ca="1" si="22"/>
        <v>-21.909999999999982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76.17</v>
      </c>
      <c r="AD30" s="161">
        <f t="shared" si="8"/>
        <v>50.919999999999973</v>
      </c>
      <c r="AE30" s="143" t="s">
        <v>73</v>
      </c>
      <c r="AF30" s="155">
        <f>'08'!B220</f>
        <v>35</v>
      </c>
      <c r="AG30" s="155">
        <f>SUM('08'!D220:F220)</f>
        <v>23</v>
      </c>
      <c r="AH30" s="161">
        <f t="shared" si="9"/>
        <v>62.919999999999973</v>
      </c>
      <c r="AI30" s="143" t="s">
        <v>76</v>
      </c>
      <c r="AJ30" s="155">
        <f>'09'!B220</f>
        <v>35</v>
      </c>
      <c r="AK30" s="155">
        <f>SUM('09'!D220:F220)</f>
        <v>12.5</v>
      </c>
      <c r="AL30" s="161">
        <f t="shared" si="10"/>
        <v>85.419999999999973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120.41999999999997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155.41999999999996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190.41999999999996</v>
      </c>
      <c r="AZ30" s="157">
        <f t="shared" si="23"/>
        <v>242.75</v>
      </c>
      <c r="BA30" s="21">
        <f t="shared" si="15"/>
        <v>6.3262719715790772E-3</v>
      </c>
      <c r="BB30" s="22">
        <f t="shared" si="20"/>
        <v>19</v>
      </c>
      <c r="BC30" s="22">
        <f t="shared" ca="1" si="16"/>
        <v>26.972222222222221</v>
      </c>
      <c r="BE30" s="225">
        <f t="shared" ca="1" si="17"/>
        <v>355</v>
      </c>
      <c r="BF30" s="21">
        <f t="shared" ca="1" si="18"/>
        <v>8.8098205427147233E-3</v>
      </c>
      <c r="BG30" s="22">
        <f t="shared" ca="1" si="21"/>
        <v>19</v>
      </c>
      <c r="BH30" s="22">
        <f t="shared" ca="1" si="19"/>
        <v>39.444444444444443</v>
      </c>
      <c r="BJ30" s="225">
        <f t="shared" ca="1" si="22"/>
        <v>112.25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20.98</v>
      </c>
      <c r="AD31" s="160">
        <f t="shared" si="8"/>
        <v>58.679999999999978</v>
      </c>
      <c r="AE31" s="148" t="s">
        <v>73</v>
      </c>
      <c r="AF31" s="149">
        <f>'08'!B240</f>
        <v>20</v>
      </c>
      <c r="AG31" s="150">
        <f>SUM('08'!D240:F240)</f>
        <v>20.98</v>
      </c>
      <c r="AH31" s="160">
        <f t="shared" si="9"/>
        <v>57.699999999999974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77.699999999999974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97.699999999999974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117.69999999999997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137.69999999999999</v>
      </c>
      <c r="AZ31" s="152">
        <f t="shared" si="23"/>
        <v>178.33999999999997</v>
      </c>
      <c r="BA31" s="21">
        <f t="shared" si="15"/>
        <v>4.6476924548358904E-3</v>
      </c>
      <c r="BB31" s="22">
        <f t="shared" si="20"/>
        <v>20</v>
      </c>
      <c r="BC31" s="22">
        <f t="shared" ca="1" si="16"/>
        <v>19.815555555555552</v>
      </c>
      <c r="BE31" s="224">
        <f t="shared" ca="1" si="17"/>
        <v>180</v>
      </c>
      <c r="BF31" s="21">
        <f t="shared" ca="1" si="18"/>
        <v>4.4669512610947893E-3</v>
      </c>
      <c r="BG31" s="22">
        <f t="shared" ca="1" si="21"/>
        <v>20</v>
      </c>
      <c r="BH31" s="22">
        <f t="shared" ca="1" si="19"/>
        <v>20</v>
      </c>
      <c r="BJ31" s="224">
        <f t="shared" ca="1" si="22"/>
        <v>1.6599999999999682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72</v>
      </c>
      <c r="AB32" s="155">
        <f>'07'!B260</f>
        <v>279</v>
      </c>
      <c r="AC32" s="155">
        <f>SUM('07'!D260:F260)</f>
        <v>503.40000000000003</v>
      </c>
      <c r="AD32" s="161">
        <f t="shared" si="8"/>
        <v>588.88999999999987</v>
      </c>
      <c r="AE32" s="143" t="s">
        <v>73</v>
      </c>
      <c r="AF32" s="155">
        <f>'08'!B260</f>
        <v>112.12</v>
      </c>
      <c r="AG32" s="155">
        <f>SUM('08'!D260:F260)</f>
        <v>69.89</v>
      </c>
      <c r="AH32" s="161">
        <f t="shared" si="9"/>
        <v>631.11999999999989</v>
      </c>
      <c r="AI32" s="143" t="s">
        <v>76</v>
      </c>
      <c r="AJ32" s="155">
        <f>'09'!B260</f>
        <v>95</v>
      </c>
      <c r="AK32" s="155">
        <f>SUM('09'!D260:F260)</f>
        <v>205.81</v>
      </c>
      <c r="AL32" s="161">
        <f t="shared" si="10"/>
        <v>520.30999999999995</v>
      </c>
      <c r="AM32" s="143" t="s">
        <v>77</v>
      </c>
      <c r="AN32" s="155">
        <f>'10'!B260</f>
        <v>95</v>
      </c>
      <c r="AO32" s="155">
        <f>SUM('10'!D260:F260)</f>
        <v>0</v>
      </c>
      <c r="AP32" s="161">
        <f t="shared" si="11"/>
        <v>615.30999999999995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665.31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715.31</v>
      </c>
      <c r="AZ32" s="157">
        <f t="shared" si="23"/>
        <v>1264.69</v>
      </c>
      <c r="BA32" s="21">
        <f t="shared" si="15"/>
        <v>3.2958899689954038E-2</v>
      </c>
      <c r="BB32" s="22">
        <f t="shared" si="20"/>
        <v>8</v>
      </c>
      <c r="BC32" s="22">
        <f t="shared" ca="1" si="16"/>
        <v>140.52111111111111</v>
      </c>
      <c r="BE32" s="225">
        <f t="shared" ca="1" si="17"/>
        <v>1799.25</v>
      </c>
      <c r="BF32" s="21">
        <f t="shared" ca="1" si="18"/>
        <v>4.4650900314026666E-2</v>
      </c>
      <c r="BG32" s="22">
        <f t="shared" ca="1" si="21"/>
        <v>8</v>
      </c>
      <c r="BH32" s="22">
        <f t="shared" ca="1" si="19"/>
        <v>199.91666666666666</v>
      </c>
      <c r="BJ32" s="225">
        <f t="shared" ca="1" si="22"/>
        <v>534.55999999999995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80</v>
      </c>
      <c r="AG33" s="150">
        <f>SUM('08'!D280:F280)</f>
        <v>11</v>
      </c>
      <c r="AH33" s="160">
        <f t="shared" si="9"/>
        <v>465.09000000000026</v>
      </c>
      <c r="AI33" s="148" t="s">
        <v>76</v>
      </c>
      <c r="AJ33" s="149">
        <f>'09'!B280</f>
        <v>60</v>
      </c>
      <c r="AK33" s="150">
        <f>SUM('09'!D280:F280)</f>
        <v>55</v>
      </c>
      <c r="AL33" s="160">
        <f t="shared" si="10"/>
        <v>470.09000000000026</v>
      </c>
      <c r="AM33" s="148" t="s">
        <v>77</v>
      </c>
      <c r="AN33" s="149">
        <f>'10'!B280</f>
        <v>60</v>
      </c>
      <c r="AO33" s="150">
        <f>SUM('10'!D280:F280)</f>
        <v>0</v>
      </c>
      <c r="AP33" s="160">
        <f t="shared" si="11"/>
        <v>530.09000000000026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580.09000000000026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630.09000000000026</v>
      </c>
      <c r="AZ33" s="152">
        <f t="shared" si="23"/>
        <v>4461.8500000000004</v>
      </c>
      <c r="BA33" s="21">
        <f t="shared" si="15"/>
        <v>0.11627961522714772</v>
      </c>
      <c r="BB33" s="22">
        <f t="shared" si="20"/>
        <v>3</v>
      </c>
      <c r="BC33" s="22">
        <f t="shared" ca="1" si="16"/>
        <v>495.76111111111118</v>
      </c>
      <c r="BE33" s="224">
        <f t="shared" ca="1" si="17"/>
        <v>4511.9400000000005</v>
      </c>
      <c r="BF33" s="21">
        <f t="shared" ca="1" si="18"/>
        <v>0.1119700892943557</v>
      </c>
      <c r="BG33" s="22">
        <f t="shared" ca="1" si="21"/>
        <v>3</v>
      </c>
      <c r="BH33" s="22">
        <f t="shared" ca="1" si="19"/>
        <v>501.32666666666671</v>
      </c>
      <c r="BJ33" s="224">
        <f t="shared" ca="1" si="22"/>
        <v>50.090000000000259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72</v>
      </c>
      <c r="AB34" s="155">
        <f>'07'!B300</f>
        <v>90</v>
      </c>
      <c r="AC34" s="155">
        <f>SUM('07'!D300:F300)</f>
        <v>183.26</v>
      </c>
      <c r="AD34" s="161">
        <f t="shared" si="8"/>
        <v>-10.350000000000193</v>
      </c>
      <c r="AE34" s="143" t="s">
        <v>73</v>
      </c>
      <c r="AF34" s="155">
        <f>'08'!B300</f>
        <v>90</v>
      </c>
      <c r="AG34" s="155">
        <f>SUM('08'!D300:F300)</f>
        <v>14.29</v>
      </c>
      <c r="AH34" s="161">
        <f t="shared" si="9"/>
        <v>65.359999999999815</v>
      </c>
      <c r="AI34" s="143" t="s">
        <v>76</v>
      </c>
      <c r="AJ34" s="155">
        <f>'09'!B300</f>
        <v>90</v>
      </c>
      <c r="AK34" s="155">
        <f>SUM('09'!D300:F300)</f>
        <v>44</v>
      </c>
      <c r="AL34" s="161">
        <f t="shared" si="10"/>
        <v>111.35999999999981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201.35999999999981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291.35999999999979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381.35999999999979</v>
      </c>
      <c r="AZ34" s="152">
        <f t="shared" si="23"/>
        <v>1224.6500000000001</v>
      </c>
      <c r="BA34" s="21">
        <f t="shared" si="15"/>
        <v>3.191542315136691E-2</v>
      </c>
      <c r="BB34" s="22">
        <f t="shared" si="20"/>
        <v>9</v>
      </c>
      <c r="BC34" s="22">
        <f t="shared" ca="1" si="16"/>
        <v>136.07222222222222</v>
      </c>
      <c r="BE34" s="225">
        <f t="shared" ca="1" si="17"/>
        <v>1234.4099999999999</v>
      </c>
      <c r="BF34" s="21">
        <f t="shared" ca="1" si="18"/>
        <v>3.0633607256711212E-2</v>
      </c>
      <c r="BG34" s="22">
        <f t="shared" ca="1" si="21"/>
        <v>13</v>
      </c>
      <c r="BH34" s="22">
        <f t="shared" ca="1" si="19"/>
        <v>137.15666666666664</v>
      </c>
      <c r="BJ34" s="225">
        <f t="shared" ca="1" si="22"/>
        <v>9.7599999999999056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196.03</v>
      </c>
      <c r="AC35" s="186">
        <f>SUM('07'!D320:F320)</f>
        <v>152.5</v>
      </c>
      <c r="AD35" s="187">
        <f t="shared" si="8"/>
        <v>1774.0100000000004</v>
      </c>
      <c r="AE35" s="185" t="s">
        <v>73</v>
      </c>
      <c r="AF35" s="186">
        <f>'08'!B320</f>
        <v>157.42000000000002</v>
      </c>
      <c r="AG35" s="186">
        <f>SUM('08'!D320:F320)</f>
        <v>114.64</v>
      </c>
      <c r="AH35" s="187">
        <f t="shared" si="9"/>
        <v>1816.7900000000004</v>
      </c>
      <c r="AI35" s="185" t="s">
        <v>76</v>
      </c>
      <c r="AJ35" s="186">
        <f>'09'!B320</f>
        <v>130</v>
      </c>
      <c r="AK35" s="186">
        <f>SUM('09'!D320:F320)</f>
        <v>0</v>
      </c>
      <c r="AL35" s="187">
        <f t="shared" si="10"/>
        <v>1946.7900000000004</v>
      </c>
      <c r="AM35" s="185" t="s">
        <v>77</v>
      </c>
      <c r="AN35" s="186">
        <f>'10'!B320</f>
        <v>130</v>
      </c>
      <c r="AO35" s="186">
        <f>SUM('10'!D320:F320)</f>
        <v>0</v>
      </c>
      <c r="AP35" s="187">
        <f t="shared" si="11"/>
        <v>2076.7900000000004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2191.7900000000004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2306.7900000000004</v>
      </c>
      <c r="AZ35" s="188">
        <f t="shared" si="23"/>
        <v>1082.24</v>
      </c>
      <c r="BA35" s="21">
        <f t="shared" si="15"/>
        <v>2.8204097130882556E-2</v>
      </c>
      <c r="BB35" s="22">
        <f t="shared" si="20"/>
        <v>12</v>
      </c>
      <c r="BC35" s="22">
        <f t="shared" ca="1" si="16"/>
        <v>120.24888888888889</v>
      </c>
      <c r="BE35" s="224">
        <f t="shared" ca="1" si="17"/>
        <v>1539.43</v>
      </c>
      <c r="BF35" s="21">
        <f t="shared" ca="1" si="18"/>
        <v>3.8203104332595286E-2</v>
      </c>
      <c r="BG35" s="22">
        <f t="shared" ca="1" si="21"/>
        <v>10</v>
      </c>
      <c r="BH35" s="22">
        <f t="shared" ca="1" si="19"/>
        <v>171.04777777777778</v>
      </c>
      <c r="BJ35" s="224">
        <f t="shared" ca="1" si="22"/>
        <v>457.19000000000005</v>
      </c>
    </row>
    <row r="36" spans="1:62" ht="15.75">
      <c r="A36" s="163" t="s">
        <v>569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190</v>
      </c>
      <c r="AC36" s="164">
        <f>SUM('07'!D340:F340)</f>
        <v>15</v>
      </c>
      <c r="AD36" s="156">
        <f t="shared" si="8"/>
        <v>394.92000000000007</v>
      </c>
      <c r="AE36" s="143" t="s">
        <v>73</v>
      </c>
      <c r="AF36" s="164">
        <f>'08'!B340</f>
        <v>282.98</v>
      </c>
      <c r="AG36" s="164">
        <f>SUM('08'!D340:F340)</f>
        <v>620.53</v>
      </c>
      <c r="AH36" s="156">
        <f t="shared" si="9"/>
        <v>57.370000000000118</v>
      </c>
      <c r="AI36" s="143" t="s">
        <v>76</v>
      </c>
      <c r="AJ36" s="164">
        <f>'09'!B340</f>
        <v>190</v>
      </c>
      <c r="AK36" s="164">
        <f>SUM('09'!D340:F340)</f>
        <v>25.87</v>
      </c>
      <c r="AL36" s="156">
        <f t="shared" si="10"/>
        <v>221.50000000000011</v>
      </c>
      <c r="AM36" s="143" t="s">
        <v>77</v>
      </c>
      <c r="AN36" s="164">
        <f>'10'!B340</f>
        <v>190</v>
      </c>
      <c r="AO36" s="164">
        <f>SUM('10'!D340:F340)</f>
        <v>0</v>
      </c>
      <c r="AP36" s="156">
        <f t="shared" si="11"/>
        <v>411.50000000000011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501.50000000000011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591.50000000000011</v>
      </c>
      <c r="AZ36" s="182">
        <f t="shared" si="23"/>
        <v>1192.4899999999998</v>
      </c>
      <c r="BA36" s="21">
        <f t="shared" si="15"/>
        <v>3.1077306131362854E-2</v>
      </c>
      <c r="BB36" s="22">
        <f t="shared" si="20"/>
        <v>10</v>
      </c>
      <c r="BC36" s="22">
        <f t="shared" ca="1" si="16"/>
        <v>132.49888888888887</v>
      </c>
      <c r="BE36" s="223">
        <f t="shared" ca="1" si="17"/>
        <v>1313</v>
      </c>
      <c r="BF36" s="21">
        <f t="shared" ca="1" si="18"/>
        <v>3.2583927810096988E-2</v>
      </c>
      <c r="BG36" s="22">
        <f t="shared" ca="1" si="21"/>
        <v>12</v>
      </c>
      <c r="BH36" s="22">
        <f t="shared" ca="1" si="19"/>
        <v>145.88888888888889</v>
      </c>
      <c r="BJ36" s="223">
        <f t="shared" ca="1" si="22"/>
        <v>120.51000000000005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69.3</v>
      </c>
      <c r="AC37" s="165">
        <f>SUM('07'!D360:F360)</f>
        <v>64.3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410.73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455.73</v>
      </c>
      <c r="AZ37" s="152">
        <f t="shared" si="23"/>
        <v>431.95</v>
      </c>
      <c r="BA37" s="21">
        <f t="shared" si="15"/>
        <v>1.1256985285782008E-2</v>
      </c>
      <c r="BB37" s="22">
        <f t="shared" si="20"/>
        <v>16</v>
      </c>
      <c r="BC37" s="22">
        <f t="shared" ca="1" si="16"/>
        <v>47.99444444444444</v>
      </c>
      <c r="BE37" s="224">
        <f t="shared" ca="1" si="17"/>
        <v>479.3</v>
      </c>
      <c r="BF37" s="21">
        <f t="shared" ca="1" si="18"/>
        <v>1.1894498552459625E-2</v>
      </c>
      <c r="BG37" s="22">
        <f t="shared" ca="1" si="21"/>
        <v>16</v>
      </c>
      <c r="BH37" s="22">
        <f t="shared" ca="1" si="19"/>
        <v>53.25555555555556</v>
      </c>
      <c r="BJ37" s="224">
        <f t="shared" ca="1" si="22"/>
        <v>47.350000000000023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43.6</v>
      </c>
      <c r="AD38" s="156">
        <f t="shared" si="8"/>
        <v>68.030000000000058</v>
      </c>
      <c r="AE38" s="143" t="s">
        <v>73</v>
      </c>
      <c r="AF38" s="166">
        <f>'08'!B380</f>
        <v>70</v>
      </c>
      <c r="AG38" s="166">
        <f>SUM('08'!D380:F380)</f>
        <v>41.3</v>
      </c>
      <c r="AH38" s="156">
        <f t="shared" si="9"/>
        <v>96.730000000000061</v>
      </c>
      <c r="AI38" s="143" t="s">
        <v>76</v>
      </c>
      <c r="AJ38" s="166">
        <f>'09'!B380</f>
        <v>65</v>
      </c>
      <c r="AK38" s="166">
        <f>SUM('09'!D380:F380)</f>
        <v>6.5</v>
      </c>
      <c r="AL38" s="156">
        <f t="shared" si="10"/>
        <v>155.23000000000008</v>
      </c>
      <c r="AM38" s="143" t="s">
        <v>77</v>
      </c>
      <c r="AN38" s="166">
        <f>'10'!B380</f>
        <v>65</v>
      </c>
      <c r="AO38" s="166">
        <f>SUM('10'!D380:F380)</f>
        <v>0</v>
      </c>
      <c r="AP38" s="156">
        <f t="shared" si="11"/>
        <v>220.23000000000008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290.23000000000008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360.23000000000008</v>
      </c>
      <c r="AZ38" s="157">
        <f t="shared" si="23"/>
        <v>538.97</v>
      </c>
      <c r="BA38" s="21">
        <f t="shared" si="15"/>
        <v>1.4046017732325337E-2</v>
      </c>
      <c r="BB38" s="22">
        <f t="shared" si="20"/>
        <v>14</v>
      </c>
      <c r="BC38" s="22">
        <f t="shared" ca="1" si="16"/>
        <v>59.885555555555555</v>
      </c>
      <c r="BE38" s="225">
        <f t="shared" ca="1" si="17"/>
        <v>655</v>
      </c>
      <c r="BF38" s="21">
        <f t="shared" ca="1" si="18"/>
        <v>1.6254739311206037E-2</v>
      </c>
      <c r="BG38" s="22">
        <f t="shared" ca="1" si="21"/>
        <v>14</v>
      </c>
      <c r="BH38" s="22">
        <f t="shared" ca="1" si="19"/>
        <v>72.777777777777771</v>
      </c>
      <c r="BJ38" s="225">
        <f t="shared" ca="1" si="22"/>
        <v>116.03000000000004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72</v>
      </c>
      <c r="AB39" s="165">
        <f>'07'!B400</f>
        <v>-40</v>
      </c>
      <c r="AC39" s="165">
        <f>SUM('07'!D400:F400)</f>
        <v>0</v>
      </c>
      <c r="AD39" s="151">
        <f t="shared" si="8"/>
        <v>-3.7400000000000091</v>
      </c>
      <c r="AE39" s="148" t="s">
        <v>73</v>
      </c>
      <c r="AF39" s="165">
        <f>'08'!B400</f>
        <v>15</v>
      </c>
      <c r="AG39" s="165">
        <f>SUM('08'!D400:F400)</f>
        <v>0</v>
      </c>
      <c r="AH39" s="151">
        <f t="shared" si="9"/>
        <v>11.259999999999991</v>
      </c>
      <c r="AI39" s="148" t="s">
        <v>76</v>
      </c>
      <c r="AJ39" s="165">
        <f>'09'!B400</f>
        <v>15</v>
      </c>
      <c r="AK39" s="165">
        <f>SUM('09'!D400:F400)</f>
        <v>0</v>
      </c>
      <c r="AL39" s="151">
        <f t="shared" si="10"/>
        <v>26.259999999999991</v>
      </c>
      <c r="AM39" s="148" t="s">
        <v>77</v>
      </c>
      <c r="AN39" s="165">
        <f>'10'!B400</f>
        <v>15</v>
      </c>
      <c r="AO39" s="165">
        <f>SUM('10'!D400:F400)</f>
        <v>0</v>
      </c>
      <c r="AP39" s="151">
        <f t="shared" si="11"/>
        <v>41.259999999999991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61.259999999999991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81.259999999999991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-1153.74</v>
      </c>
      <c r="BF39" s="21">
        <f t="shared" ca="1" si="18"/>
        <v>-2.8631668599863901E-2</v>
      </c>
      <c r="BG39" s="22">
        <f t="shared" ca="1" si="21"/>
        <v>25</v>
      </c>
      <c r="BH39" s="22">
        <f t="shared" ca="1" si="19"/>
        <v>-128.19333333333333</v>
      </c>
      <c r="BJ39" s="224">
        <f t="shared" ca="1" si="22"/>
        <v>-1153.74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-98.97999999999999</v>
      </c>
      <c r="AC40" s="166">
        <f>SUM('07'!D420:F420)</f>
        <v>3.06</v>
      </c>
      <c r="AD40" s="156">
        <f t="shared" si="8"/>
        <v>-19.059999999999388</v>
      </c>
      <c r="AE40" s="143" t="s">
        <v>73</v>
      </c>
      <c r="AF40" s="166">
        <f>'08'!B420</f>
        <v>50</v>
      </c>
      <c r="AG40" s="166">
        <f>SUM('08'!D420:F420)</f>
        <v>3.11</v>
      </c>
      <c r="AH40" s="156">
        <f t="shared" si="9"/>
        <v>27.830000000000613</v>
      </c>
      <c r="AI40" s="143" t="s">
        <v>76</v>
      </c>
      <c r="AJ40" s="166">
        <f>'09'!B420</f>
        <v>50</v>
      </c>
      <c r="AK40" s="166">
        <f>SUM('09'!D420:F420)</f>
        <v>3.09</v>
      </c>
      <c r="AL40" s="156">
        <f t="shared" si="10"/>
        <v>74.740000000000606</v>
      </c>
      <c r="AM40" s="143" t="s">
        <v>77</v>
      </c>
      <c r="AN40" s="166">
        <f>'10'!B420</f>
        <v>50</v>
      </c>
      <c r="AO40" s="166">
        <f>SUM('10'!D420:F420)</f>
        <v>0</v>
      </c>
      <c r="AP40" s="156">
        <f t="shared" si="11"/>
        <v>124.74000000000061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144.74000000000061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164.74000000000061</v>
      </c>
      <c r="AZ40" s="157">
        <f t="shared" si="23"/>
        <v>167.32000000000002</v>
      </c>
      <c r="BA40" s="21">
        <f t="shared" si="15"/>
        <v>4.3605018590509217E-3</v>
      </c>
      <c r="BB40" s="22">
        <f t="shared" si="20"/>
        <v>21</v>
      </c>
      <c r="BC40" s="22">
        <f t="shared" ca="1" si="16"/>
        <v>18.591111111111115</v>
      </c>
      <c r="BE40" s="225">
        <f t="shared" ca="1" si="17"/>
        <v>-562.45000000000005</v>
      </c>
      <c r="BF40" s="21">
        <f t="shared" ca="1" si="18"/>
        <v>-1.3957981871126469E-2</v>
      </c>
      <c r="BG40" s="22">
        <f t="shared" ca="1" si="21"/>
        <v>24</v>
      </c>
      <c r="BH40" s="22">
        <f t="shared" ca="1" si="19"/>
        <v>-62.494444444444447</v>
      </c>
      <c r="BJ40" s="225">
        <f t="shared" ca="1" si="22"/>
        <v>-729.76999999999987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72</v>
      </c>
      <c r="AB41" s="165">
        <f>'07'!B440</f>
        <v>465.44999999999982</v>
      </c>
      <c r="AC41" s="165">
        <f>SUM('07'!D440:F440)</f>
        <v>0</v>
      </c>
      <c r="AD41" s="151">
        <f t="shared" si="8"/>
        <v>8465.7400000000016</v>
      </c>
      <c r="AE41" s="148" t="s">
        <v>73</v>
      </c>
      <c r="AF41" s="165">
        <f>'08'!B440</f>
        <v>-300.89999999999918</v>
      </c>
      <c r="AG41" s="165">
        <f>SUM('08'!D440:F440)</f>
        <v>0</v>
      </c>
      <c r="AH41" s="151">
        <f t="shared" si="9"/>
        <v>8164.840000000002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4264.840000000002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364.84000000000196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-3535.159999999998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-7435.159999999998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-4285.1599999999962</v>
      </c>
      <c r="BF41" s="21">
        <f t="shared" ca="1" si="18"/>
        <v>-0.10634222703329406</v>
      </c>
      <c r="BG41" s="22">
        <f t="shared" ca="1" si="21"/>
        <v>26</v>
      </c>
      <c r="BH41" s="22">
        <f t="shared" ca="1" si="19"/>
        <v>-476.12888888888847</v>
      </c>
      <c r="BJ41" s="224">
        <f t="shared" ca="1" si="22"/>
        <v>-4285.1599999999962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10938.36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10938.36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10938.36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4046.2400000000002</v>
      </c>
      <c r="BF42" s="21">
        <f t="shared" ca="1" si="18"/>
        <v>0.10041309372606767</v>
      </c>
      <c r="BG42" s="22">
        <f t="shared" ca="1" si="21"/>
        <v>4</v>
      </c>
      <c r="BH42" s="22">
        <f t="shared" ca="1" si="19"/>
        <v>449.58222222222224</v>
      </c>
      <c r="BJ42" s="225">
        <f t="shared" ca="1" si="22"/>
        <v>4046.2400000000007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-485</v>
      </c>
      <c r="AG43" s="149">
        <f>SUM('08'!D480:F480)</f>
        <v>0</v>
      </c>
      <c r="AH43" s="151">
        <f t="shared" si="9"/>
        <v>158.63000000000011</v>
      </c>
      <c r="AI43" s="148" t="s">
        <v>76</v>
      </c>
      <c r="AJ43" s="149">
        <f>'09'!B480</f>
        <v>65</v>
      </c>
      <c r="AK43" s="149">
        <f>SUM('09'!D480:F480)</f>
        <v>0</v>
      </c>
      <c r="AL43" s="151">
        <f t="shared" si="10"/>
        <v>223.63000000000011</v>
      </c>
      <c r="AM43" s="148" t="s">
        <v>77</v>
      </c>
      <c r="AN43" s="149">
        <f>'10'!B480</f>
        <v>65</v>
      </c>
      <c r="AO43" s="149">
        <f>SUM('10'!D480:F480)</f>
        <v>0</v>
      </c>
      <c r="AP43" s="151">
        <f t="shared" si="11"/>
        <v>288.63000000000011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338.63000000000011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388.63000000000011</v>
      </c>
      <c r="AZ43" s="152">
        <f t="shared" si="23"/>
        <v>500</v>
      </c>
      <c r="BA43" s="21">
        <f t="shared" si="15"/>
        <v>1.3030426306033115E-2</v>
      </c>
      <c r="BB43" s="22">
        <f t="shared" si="20"/>
        <v>15</v>
      </c>
      <c r="BC43" s="22">
        <f t="shared" ca="1" si="16"/>
        <v>55.555555555555557</v>
      </c>
      <c r="BE43" s="224">
        <f t="shared" ca="1" si="17"/>
        <v>-239.36999999999995</v>
      </c>
      <c r="BF43" s="21">
        <f t="shared" ca="1" si="18"/>
        <v>-5.9403006853792194E-3</v>
      </c>
      <c r="BG43" s="22">
        <f t="shared" ca="1" si="21"/>
        <v>23</v>
      </c>
      <c r="BH43" s="22">
        <f t="shared" ca="1" si="19"/>
        <v>-26.59666666666666</v>
      </c>
      <c r="BJ43" s="224">
        <f t="shared" ca="1" si="22"/>
        <v>-739.36999999999989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22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20</v>
      </c>
      <c r="AG45" s="175">
        <f>SUM('08'!D520:F520)</f>
        <v>23.43</v>
      </c>
      <c r="AH45" s="176">
        <f t="shared" si="9"/>
        <v>27.910000000000032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27.910000000000032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27.910000000000032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27.910000000000032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27.910000000000032</v>
      </c>
      <c r="AZ45" s="177">
        <f t="shared" si="23"/>
        <v>88.009999999999991</v>
      </c>
      <c r="BA45" s="21">
        <f t="shared" si="15"/>
        <v>2.2936156383879486E-3</v>
      </c>
      <c r="BB45" s="22">
        <f t="shared" si="20"/>
        <v>22</v>
      </c>
      <c r="BC45" s="22">
        <f t="shared" ca="1" si="16"/>
        <v>9.7788888888888881</v>
      </c>
      <c r="BE45" s="226">
        <f t="shared" ca="1" si="17"/>
        <v>20</v>
      </c>
      <c r="BF45" s="21">
        <f t="shared" ca="1" si="18"/>
        <v>4.9632791789942104E-4</v>
      </c>
      <c r="BG45" s="22">
        <f t="shared" ca="1" si="21"/>
        <v>21</v>
      </c>
      <c r="BH45" s="22">
        <f t="shared" ca="1" si="19"/>
        <v>2.2222222222222223</v>
      </c>
      <c r="BJ45" s="226">
        <f t="shared" ca="1" si="22"/>
        <v>-68.009999999999991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29166.850000000002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29258.260000000002</v>
      </c>
      <c r="AI46" s="218"/>
      <c r="AJ46" s="219">
        <f>SUM(AJ20:AJ45)</f>
        <v>100</v>
      </c>
      <c r="AK46" s="219">
        <f>SUM(AK20:AK45)</f>
        <v>1050.5099999999998</v>
      </c>
      <c r="AL46" s="220">
        <f>SUM(AL20:AL45)</f>
        <v>28307.75</v>
      </c>
      <c r="AM46" s="218"/>
      <c r="AN46" s="219">
        <f>SUM(AN20:AN45)</f>
        <v>100</v>
      </c>
      <c r="AO46" s="219">
        <f>SUM(AO20:AO45)</f>
        <v>0</v>
      </c>
      <c r="AP46" s="220">
        <f>SUM(AP20:AP45)</f>
        <v>28407.75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28407.75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28407.75</v>
      </c>
      <c r="AZ46" s="227">
        <f>SUM(AZ20:AZ45)</f>
        <v>38371.729999999996</v>
      </c>
      <c r="BA46" s="1"/>
      <c r="BB46" s="1"/>
      <c r="BC46" s="124">
        <f ca="1">SUM(BC20:BC45)</f>
        <v>4263.5255555555559</v>
      </c>
      <c r="BE46" s="227">
        <f ca="1">SUM(BE20:BE45)</f>
        <v>40295.94000000001</v>
      </c>
      <c r="BF46" s="1"/>
      <c r="BG46" s="1"/>
      <c r="BH46" s="124">
        <f ca="1">SUM(BH20:BH45)</f>
        <v>4477.3266666666668</v>
      </c>
      <c r="BJ46" s="227">
        <f ca="1">SUM(BJ20:BJ45)</f>
        <v>1924.2100000000062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0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0</v>
      </c>
      <c r="AJ47" s="125">
        <f>AI17-AJ46</f>
        <v>0</v>
      </c>
      <c r="AK47" s="125">
        <f>AI17-AK46</f>
        <v>-950.50999999999976</v>
      </c>
      <c r="AL47" s="125"/>
      <c r="AM47" s="125">
        <f>AM5-AL46</f>
        <v>-10443.650000000001</v>
      </c>
      <c r="AN47" s="125">
        <f>AM17-AN46</f>
        <v>-100</v>
      </c>
      <c r="AO47" s="125">
        <f>AM17-AO46</f>
        <v>0</v>
      </c>
      <c r="AP47" s="125"/>
      <c r="AQ47" s="125">
        <f>AQ5-AP46</f>
        <v>-13305.859999999999</v>
      </c>
      <c r="AR47" s="125">
        <f>AQ17-AR46</f>
        <v>0</v>
      </c>
      <c r="AS47" s="125">
        <f>AQ17-AS46</f>
        <v>0</v>
      </c>
      <c r="AT47" s="140"/>
      <c r="AU47" s="125">
        <f>AU5-AT46</f>
        <v>-13305.859999999999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51162.306666666671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610</v>
      </c>
      <c r="W50" s="119"/>
      <c r="X50" s="119"/>
      <c r="Y50" s="119">
        <f>Y22+(N59/2)</f>
        <v>300.02000000000004</v>
      </c>
      <c r="Z50" s="119" t="s">
        <v>652</v>
      </c>
      <c r="AA50" s="119"/>
      <c r="AB50" s="119"/>
      <c r="AC50" s="119">
        <f>AC22</f>
        <v>108.36</v>
      </c>
      <c r="AD50" s="119" t="s">
        <v>729</v>
      </c>
      <c r="AE50" s="119"/>
      <c r="AF50" s="119"/>
      <c r="AG50" s="119">
        <f>AG22</f>
        <v>323.87000000000006</v>
      </c>
      <c r="AH50" s="119" t="s">
        <v>610</v>
      </c>
      <c r="AI50" s="119"/>
      <c r="AJ50" s="119"/>
      <c r="AK50" s="119">
        <f>AK22</f>
        <v>85.2</v>
      </c>
      <c r="AL50" s="119" t="s">
        <v>610</v>
      </c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347" t="s">
        <v>149</v>
      </c>
      <c r="D52" s="348"/>
      <c r="E52" s="348"/>
      <c r="F52" s="349"/>
      <c r="G52" s="347" t="s">
        <v>149</v>
      </c>
      <c r="H52" s="348"/>
      <c r="I52" s="348"/>
      <c r="J52" s="349"/>
      <c r="K52" s="347" t="s">
        <v>149</v>
      </c>
      <c r="L52" s="348"/>
      <c r="M52" s="348"/>
      <c r="N52" s="349"/>
      <c r="O52" s="347" t="s">
        <v>149</v>
      </c>
      <c r="P52" s="348"/>
      <c r="Q52" s="348"/>
      <c r="R52" s="349"/>
      <c r="S52" s="347" t="s">
        <v>149</v>
      </c>
      <c r="T52" s="348"/>
      <c r="U52" s="348"/>
      <c r="V52" s="349"/>
      <c r="W52" s="347" t="s">
        <v>149</v>
      </c>
      <c r="X52" s="348"/>
      <c r="Y52" s="348"/>
      <c r="Z52" s="349"/>
      <c r="AA52" s="347" t="s">
        <v>149</v>
      </c>
      <c r="AB52" s="348"/>
      <c r="AC52" s="348"/>
      <c r="AD52" s="349"/>
      <c r="AE52" s="347" t="s">
        <v>149</v>
      </c>
      <c r="AF52" s="348"/>
      <c r="AG52" s="348"/>
      <c r="AH52" s="349"/>
      <c r="AI52" s="347" t="s">
        <v>149</v>
      </c>
      <c r="AJ52" s="348"/>
      <c r="AK52" s="348"/>
      <c r="AL52" s="349"/>
      <c r="AM52" s="347" t="s">
        <v>149</v>
      </c>
      <c r="AN52" s="348"/>
      <c r="AO52" s="348"/>
      <c r="AP52" s="349"/>
      <c r="AQ52" s="347" t="s">
        <v>149</v>
      </c>
      <c r="AR52" s="348"/>
      <c r="AS52" s="348"/>
      <c r="AT52" s="349"/>
      <c r="AU52" s="347" t="s">
        <v>149</v>
      </c>
      <c r="AV52" s="348"/>
      <c r="AW52" s="348"/>
      <c r="AX52" s="349"/>
    </row>
    <row r="53" spans="1:62" ht="15.75" thickBot="1">
      <c r="C53" s="93" t="s">
        <v>150</v>
      </c>
      <c r="D53" s="350" t="s">
        <v>31</v>
      </c>
      <c r="E53" s="351"/>
      <c r="F53" s="94" t="s">
        <v>88</v>
      </c>
      <c r="G53" s="93" t="s">
        <v>150</v>
      </c>
      <c r="H53" s="350" t="s">
        <v>31</v>
      </c>
      <c r="I53" s="351"/>
      <c r="J53" s="94" t="s">
        <v>88</v>
      </c>
      <c r="K53" s="93" t="s">
        <v>150</v>
      </c>
      <c r="L53" s="350" t="s">
        <v>31</v>
      </c>
      <c r="M53" s="351"/>
      <c r="N53" s="94" t="s">
        <v>88</v>
      </c>
      <c r="O53" s="93" t="s">
        <v>150</v>
      </c>
      <c r="P53" s="350" t="s">
        <v>31</v>
      </c>
      <c r="Q53" s="351"/>
      <c r="R53" s="94" t="s">
        <v>88</v>
      </c>
      <c r="S53" s="93" t="s">
        <v>150</v>
      </c>
      <c r="T53" s="350" t="s">
        <v>31</v>
      </c>
      <c r="U53" s="351"/>
      <c r="V53" s="94" t="s">
        <v>88</v>
      </c>
      <c r="W53" s="93" t="s">
        <v>150</v>
      </c>
      <c r="X53" s="350" t="s">
        <v>31</v>
      </c>
      <c r="Y53" s="351"/>
      <c r="Z53" s="94" t="s">
        <v>88</v>
      </c>
      <c r="AA53" s="93" t="s">
        <v>150</v>
      </c>
      <c r="AB53" s="350" t="s">
        <v>31</v>
      </c>
      <c r="AC53" s="351"/>
      <c r="AD53" s="94" t="s">
        <v>88</v>
      </c>
      <c r="AE53" s="93" t="s">
        <v>150</v>
      </c>
      <c r="AF53" s="350" t="s">
        <v>31</v>
      </c>
      <c r="AG53" s="351"/>
      <c r="AH53" s="94" t="s">
        <v>88</v>
      </c>
      <c r="AI53" s="93" t="s">
        <v>150</v>
      </c>
      <c r="AJ53" s="350" t="s">
        <v>31</v>
      </c>
      <c r="AK53" s="351"/>
      <c r="AL53" s="94" t="s">
        <v>88</v>
      </c>
      <c r="AM53" s="93" t="s">
        <v>150</v>
      </c>
      <c r="AN53" s="350" t="s">
        <v>31</v>
      </c>
      <c r="AO53" s="351"/>
      <c r="AP53" s="94" t="s">
        <v>88</v>
      </c>
      <c r="AQ53" s="93" t="s">
        <v>150</v>
      </c>
      <c r="AR53" s="350" t="s">
        <v>31</v>
      </c>
      <c r="AS53" s="351"/>
      <c r="AT53" s="94" t="s">
        <v>88</v>
      </c>
      <c r="AU53" s="93" t="s">
        <v>150</v>
      </c>
      <c r="AV53" s="350" t="s">
        <v>31</v>
      </c>
      <c r="AW53" s="351"/>
      <c r="AX53" s="94" t="s">
        <v>88</v>
      </c>
    </row>
    <row r="54" spans="1:62">
      <c r="C54" s="95">
        <v>43495</v>
      </c>
      <c r="D54" s="352" t="s">
        <v>235</v>
      </c>
      <c r="E54" s="353"/>
      <c r="F54" s="98"/>
      <c r="G54" s="95">
        <v>43497</v>
      </c>
      <c r="H54" s="352" t="s">
        <v>270</v>
      </c>
      <c r="I54" s="353"/>
      <c r="J54" s="100">
        <v>500</v>
      </c>
      <c r="K54" s="95">
        <v>43539</v>
      </c>
      <c r="L54" s="370" t="s">
        <v>257</v>
      </c>
      <c r="M54" s="371"/>
      <c r="N54" s="100">
        <v>70</v>
      </c>
      <c r="O54" s="95"/>
      <c r="P54" s="358"/>
      <c r="Q54" s="359"/>
      <c r="R54" s="102"/>
      <c r="S54" s="95">
        <v>43594</v>
      </c>
      <c r="T54" s="370" t="s">
        <v>243</v>
      </c>
      <c r="U54" s="371"/>
      <c r="V54" s="103"/>
      <c r="W54" s="95">
        <v>43624</v>
      </c>
      <c r="X54" s="370" t="s">
        <v>153</v>
      </c>
      <c r="Y54" s="371"/>
      <c r="Z54" s="104">
        <v>10</v>
      </c>
      <c r="AA54" s="95"/>
      <c r="AB54" s="366" t="s">
        <v>476</v>
      </c>
      <c r="AC54" s="367"/>
      <c r="AD54" s="239">
        <v>15</v>
      </c>
      <c r="AE54" s="95"/>
      <c r="AF54" s="366" t="s">
        <v>476</v>
      </c>
      <c r="AG54" s="367"/>
      <c r="AH54" s="239">
        <v>14</v>
      </c>
      <c r="AI54" s="95"/>
      <c r="AJ54" s="366" t="s">
        <v>476</v>
      </c>
      <c r="AK54" s="367"/>
      <c r="AL54" s="239">
        <v>14</v>
      </c>
      <c r="AM54" s="95"/>
      <c r="AN54" s="362"/>
      <c r="AO54" s="363"/>
      <c r="AP54" s="100"/>
      <c r="AQ54" s="95"/>
      <c r="AR54" s="358"/>
      <c r="AS54" s="359"/>
      <c r="AT54" s="100"/>
      <c r="AU54" s="95"/>
      <c r="AV54" s="352"/>
      <c r="AW54" s="353"/>
      <c r="AX54" s="100"/>
    </row>
    <row r="55" spans="1:62">
      <c r="C55" s="96"/>
      <c r="D55" s="343" t="s">
        <v>236</v>
      </c>
      <c r="E55" s="344"/>
      <c r="F55" s="98">
        <v>121.4</v>
      </c>
      <c r="G55" s="96">
        <v>43516</v>
      </c>
      <c r="H55" s="343" t="s">
        <v>311</v>
      </c>
      <c r="I55" s="344"/>
      <c r="J55" s="100"/>
      <c r="K55" s="96">
        <v>43553</v>
      </c>
      <c r="L55" s="343" t="s">
        <v>297</v>
      </c>
      <c r="M55" s="344"/>
      <c r="N55" s="100">
        <v>4421.9399999999996</v>
      </c>
      <c r="O55" s="96">
        <v>43565</v>
      </c>
      <c r="P55" s="343" t="s">
        <v>323</v>
      </c>
      <c r="Q55" s="344"/>
      <c r="R55" s="100">
        <v>10</v>
      </c>
      <c r="S55" s="96">
        <v>43607</v>
      </c>
      <c r="T55" s="343" t="s">
        <v>311</v>
      </c>
      <c r="U55" s="344"/>
      <c r="V55" s="100"/>
      <c r="W55" s="96">
        <v>43637</v>
      </c>
      <c r="X55" s="343" t="s">
        <v>151</v>
      </c>
      <c r="Y55" s="344"/>
      <c r="Z55" s="100">
        <v>10</v>
      </c>
      <c r="AA55" s="96">
        <v>43666</v>
      </c>
      <c r="AB55" s="343" t="s">
        <v>235</v>
      </c>
      <c r="AC55" s="344"/>
      <c r="AD55" s="100"/>
      <c r="AE55" s="96">
        <v>43682</v>
      </c>
      <c r="AF55" s="343" t="s">
        <v>323</v>
      </c>
      <c r="AG55" s="344"/>
      <c r="AH55" s="100">
        <v>10</v>
      </c>
      <c r="AI55" s="96">
        <v>43711</v>
      </c>
      <c r="AJ55" s="343" t="s">
        <v>323</v>
      </c>
      <c r="AK55" s="344"/>
      <c r="AL55" s="100" t="s">
        <v>784</v>
      </c>
      <c r="AM55" s="96"/>
      <c r="AN55" s="360"/>
      <c r="AO55" s="361"/>
      <c r="AP55" s="100"/>
      <c r="AQ55" s="96"/>
      <c r="AR55" s="343"/>
      <c r="AS55" s="344"/>
      <c r="AT55" s="100"/>
      <c r="AU55" s="96"/>
      <c r="AV55" s="343"/>
      <c r="AW55" s="344"/>
      <c r="AX55" s="100"/>
    </row>
    <row r="56" spans="1:62">
      <c r="B56" s="119"/>
      <c r="C56" s="96">
        <v>43472</v>
      </c>
      <c r="D56" s="343" t="s">
        <v>151</v>
      </c>
      <c r="E56" s="344"/>
      <c r="F56" s="98">
        <v>15</v>
      </c>
      <c r="G56" s="96">
        <v>43507</v>
      </c>
      <c r="H56" s="343" t="s">
        <v>323</v>
      </c>
      <c r="I56" s="344"/>
      <c r="J56" s="100">
        <v>10</v>
      </c>
      <c r="K56" s="96">
        <v>43529</v>
      </c>
      <c r="L56" s="343" t="s">
        <v>325</v>
      </c>
      <c r="M56" s="344"/>
      <c r="N56" s="100">
        <v>3362.6</v>
      </c>
      <c r="O56" s="96">
        <v>43576</v>
      </c>
      <c r="P56" s="366" t="s">
        <v>235</v>
      </c>
      <c r="Q56" s="367"/>
      <c r="R56" s="102"/>
      <c r="S56" s="96">
        <v>43615</v>
      </c>
      <c r="T56" s="343" t="s">
        <v>235</v>
      </c>
      <c r="U56" s="344"/>
      <c r="V56" s="100"/>
      <c r="W56" s="96"/>
      <c r="X56" s="343"/>
      <c r="Y56" s="344"/>
      <c r="Z56" s="100"/>
      <c r="AA56" s="96"/>
      <c r="AB56" s="343"/>
      <c r="AC56" s="344"/>
      <c r="AD56" s="100"/>
      <c r="AE56" s="96">
        <v>43703</v>
      </c>
      <c r="AF56" s="343" t="s">
        <v>151</v>
      </c>
      <c r="AG56" s="344"/>
      <c r="AH56" s="100">
        <v>10</v>
      </c>
      <c r="AI56" s="96">
        <v>43498</v>
      </c>
      <c r="AJ56" s="364" t="s">
        <v>235</v>
      </c>
      <c r="AK56" s="365"/>
      <c r="AL56" s="100"/>
      <c r="AM56" s="96"/>
      <c r="AN56" s="364"/>
      <c r="AO56" s="365"/>
      <c r="AP56" s="100"/>
      <c r="AQ56" s="96"/>
      <c r="AR56" s="360"/>
      <c r="AS56" s="361"/>
      <c r="AT56" s="100"/>
      <c r="AU56" s="96"/>
      <c r="AV56" s="343"/>
      <c r="AW56" s="344"/>
      <c r="AX56" s="100"/>
    </row>
    <row r="57" spans="1:62">
      <c r="C57" s="96">
        <v>43476</v>
      </c>
      <c r="D57" s="343" t="s">
        <v>153</v>
      </c>
      <c r="E57" s="344"/>
      <c r="F57" s="98">
        <v>10</v>
      </c>
      <c r="G57" s="96">
        <v>43516</v>
      </c>
      <c r="H57" s="343" t="s">
        <v>352</v>
      </c>
      <c r="I57" s="344"/>
      <c r="J57" s="100"/>
      <c r="K57" s="96">
        <v>43533</v>
      </c>
      <c r="L57" s="343" t="s">
        <v>235</v>
      </c>
      <c r="M57" s="344"/>
      <c r="N57" s="100"/>
      <c r="O57" s="96">
        <v>43578</v>
      </c>
      <c r="P57" s="372" t="s">
        <v>389</v>
      </c>
      <c r="Q57" s="373"/>
      <c r="R57" s="100">
        <v>10</v>
      </c>
      <c r="S57" s="96"/>
      <c r="T57" s="343"/>
      <c r="U57" s="344"/>
      <c r="V57" s="100"/>
      <c r="W57" s="96"/>
      <c r="X57" s="343"/>
      <c r="Y57" s="344"/>
      <c r="Z57" s="100"/>
      <c r="AA57" s="96"/>
      <c r="AB57" s="360"/>
      <c r="AC57" s="361"/>
      <c r="AD57" s="100"/>
      <c r="AE57" s="96"/>
      <c r="AF57" s="343"/>
      <c r="AG57" s="344"/>
      <c r="AH57" s="100"/>
      <c r="AI57" s="96"/>
      <c r="AJ57" s="354"/>
      <c r="AK57" s="355"/>
      <c r="AL57" s="100"/>
      <c r="AM57" s="96"/>
      <c r="AN57" s="364"/>
      <c r="AO57" s="365"/>
      <c r="AP57" s="100"/>
      <c r="AQ57" s="96"/>
      <c r="AR57" s="343"/>
      <c r="AS57" s="344"/>
      <c r="AT57" s="100"/>
      <c r="AU57" s="96"/>
      <c r="AV57" s="343"/>
      <c r="AW57" s="344"/>
      <c r="AX57" s="100"/>
    </row>
    <row r="58" spans="1:62">
      <c r="C58" s="96">
        <v>43478</v>
      </c>
      <c r="D58" s="343" t="s">
        <v>243</v>
      </c>
      <c r="E58" s="344"/>
      <c r="F58" s="98"/>
      <c r="G58" s="96"/>
      <c r="H58" s="343"/>
      <c r="I58" s="344"/>
      <c r="J58" s="100"/>
      <c r="K58" s="96">
        <v>43536</v>
      </c>
      <c r="L58" s="343" t="s">
        <v>243</v>
      </c>
      <c r="M58" s="344"/>
      <c r="N58" s="100"/>
      <c r="O58" s="96"/>
      <c r="P58" s="343"/>
      <c r="Q58" s="344"/>
      <c r="R58" s="100"/>
      <c r="S58" s="96"/>
      <c r="T58" s="343"/>
      <c r="U58" s="344"/>
      <c r="V58" s="100"/>
      <c r="W58" s="96"/>
      <c r="X58" s="343"/>
      <c r="Y58" s="344"/>
      <c r="Z58" s="100"/>
      <c r="AA58" s="96"/>
      <c r="AB58" s="360"/>
      <c r="AC58" s="361"/>
      <c r="AD58" s="100"/>
      <c r="AE58" s="96"/>
      <c r="AF58" s="343"/>
      <c r="AG58" s="344"/>
      <c r="AH58" s="100"/>
      <c r="AI58" s="96"/>
      <c r="AJ58" s="354"/>
      <c r="AK58" s="355"/>
      <c r="AL58" s="100"/>
      <c r="AM58" s="96"/>
      <c r="AN58" s="354"/>
      <c r="AO58" s="355"/>
      <c r="AP58" s="100"/>
      <c r="AQ58" s="96"/>
      <c r="AR58" s="343"/>
      <c r="AS58" s="344"/>
      <c r="AT58" s="100"/>
      <c r="AU58" s="96"/>
      <c r="AV58" s="343"/>
      <c r="AW58" s="344"/>
      <c r="AX58" s="100"/>
    </row>
    <row r="59" spans="1:62">
      <c r="C59" s="96">
        <v>43481</v>
      </c>
      <c r="D59" s="343" t="s">
        <v>271</v>
      </c>
      <c r="E59" s="344"/>
      <c r="F59" s="98">
        <v>50</v>
      </c>
      <c r="G59" s="96"/>
      <c r="H59" s="343"/>
      <c r="I59" s="344"/>
      <c r="J59" s="100"/>
      <c r="K59" s="96"/>
      <c r="L59" s="343" t="s">
        <v>385</v>
      </c>
      <c r="M59" s="344"/>
      <c r="N59" s="100">
        <f>3.1+10.5</f>
        <v>13.6</v>
      </c>
      <c r="O59" s="96"/>
      <c r="P59" s="343"/>
      <c r="Q59" s="344"/>
      <c r="R59" s="100"/>
      <c r="S59" s="96"/>
      <c r="T59" s="364"/>
      <c r="U59" s="365"/>
      <c r="V59" s="100"/>
      <c r="W59" s="96"/>
      <c r="X59" s="364"/>
      <c r="Y59" s="365"/>
      <c r="Z59" s="100"/>
      <c r="AA59" s="96"/>
      <c r="AB59" s="364"/>
      <c r="AC59" s="365"/>
      <c r="AD59" s="100"/>
      <c r="AE59" s="96"/>
      <c r="AF59" s="343"/>
      <c r="AG59" s="344"/>
      <c r="AH59" s="100"/>
      <c r="AI59" s="96"/>
      <c r="AJ59" s="354"/>
      <c r="AK59" s="355"/>
      <c r="AL59" s="100"/>
      <c r="AM59" s="96"/>
      <c r="AN59" s="354"/>
      <c r="AO59" s="355"/>
      <c r="AP59" s="100"/>
      <c r="AQ59" s="96"/>
      <c r="AR59" s="343"/>
      <c r="AS59" s="344"/>
      <c r="AT59" s="100"/>
      <c r="AU59" s="96"/>
      <c r="AV59" s="343"/>
      <c r="AW59" s="344"/>
      <c r="AX59" s="100"/>
    </row>
    <row r="60" spans="1:62">
      <c r="C60" s="96">
        <v>43488</v>
      </c>
      <c r="D60" s="343" t="s">
        <v>290</v>
      </c>
      <c r="E60" s="344"/>
      <c r="F60" s="98"/>
      <c r="G60" s="96"/>
      <c r="H60" s="343"/>
      <c r="I60" s="344"/>
      <c r="J60" s="100"/>
      <c r="K60" s="235">
        <v>43549</v>
      </c>
      <c r="L60" s="372" t="s">
        <v>389</v>
      </c>
      <c r="M60" s="373"/>
      <c r="N60" s="236">
        <v>15</v>
      </c>
      <c r="O60" s="96"/>
      <c r="P60" s="343"/>
      <c r="Q60" s="344"/>
      <c r="R60" s="100"/>
      <c r="S60" s="96"/>
      <c r="T60" s="364"/>
      <c r="U60" s="365"/>
      <c r="V60" s="100"/>
      <c r="W60" s="96"/>
      <c r="X60" s="354"/>
      <c r="Y60" s="355"/>
      <c r="Z60" s="100"/>
      <c r="AA60" s="96"/>
      <c r="AB60" s="354"/>
      <c r="AC60" s="355"/>
      <c r="AD60" s="100"/>
      <c r="AE60" s="96"/>
      <c r="AF60" s="364"/>
      <c r="AG60" s="365"/>
      <c r="AH60" s="100"/>
      <c r="AI60" s="96"/>
      <c r="AJ60" s="354"/>
      <c r="AK60" s="355"/>
      <c r="AL60" s="100"/>
      <c r="AM60" s="96"/>
      <c r="AN60" s="354"/>
      <c r="AO60" s="355"/>
      <c r="AP60" s="100"/>
      <c r="AQ60" s="96"/>
      <c r="AR60" s="343"/>
      <c r="AS60" s="344"/>
      <c r="AT60" s="100"/>
      <c r="AU60" s="96"/>
      <c r="AV60" s="343"/>
      <c r="AW60" s="344"/>
      <c r="AX60" s="100"/>
    </row>
    <row r="61" spans="1:62">
      <c r="C61" s="96">
        <v>43490</v>
      </c>
      <c r="D61" s="343" t="s">
        <v>292</v>
      </c>
      <c r="E61" s="344"/>
      <c r="F61" s="98">
        <v>40</v>
      </c>
      <c r="G61" s="96"/>
      <c r="H61" s="343"/>
      <c r="I61" s="344"/>
      <c r="J61" s="100"/>
      <c r="K61" s="96"/>
      <c r="L61" s="374"/>
      <c r="M61" s="344"/>
      <c r="N61" s="100"/>
      <c r="O61" s="96"/>
      <c r="P61" s="343"/>
      <c r="Q61" s="344"/>
      <c r="R61" s="100"/>
      <c r="S61" s="96"/>
      <c r="T61" s="364"/>
      <c r="U61" s="365"/>
      <c r="V61" s="100"/>
      <c r="W61" s="96"/>
      <c r="X61" s="354"/>
      <c r="Y61" s="355"/>
      <c r="Z61" s="100"/>
      <c r="AA61" s="96"/>
      <c r="AB61" s="354"/>
      <c r="AC61" s="355"/>
      <c r="AD61" s="100"/>
      <c r="AE61" s="96"/>
      <c r="AF61" s="354"/>
      <c r="AG61" s="355"/>
      <c r="AH61" s="100"/>
      <c r="AI61" s="96"/>
      <c r="AJ61" s="354"/>
      <c r="AK61" s="355"/>
      <c r="AL61" s="100"/>
      <c r="AM61" s="96"/>
      <c r="AN61" s="354"/>
      <c r="AO61" s="355"/>
      <c r="AP61" s="100"/>
      <c r="AQ61" s="96"/>
      <c r="AR61" s="343"/>
      <c r="AS61" s="344"/>
      <c r="AT61" s="100"/>
      <c r="AU61" s="96"/>
      <c r="AV61" s="343"/>
      <c r="AW61" s="344"/>
      <c r="AX61" s="100"/>
    </row>
    <row r="62" spans="1:62">
      <c r="C62" s="96"/>
      <c r="D62" s="343"/>
      <c r="E62" s="344"/>
      <c r="F62" s="98"/>
      <c r="G62" s="96"/>
      <c r="H62" s="343"/>
      <c r="I62" s="344"/>
      <c r="J62" s="100"/>
      <c r="K62" s="96"/>
      <c r="L62" s="343"/>
      <c r="M62" s="344"/>
      <c r="N62" s="100"/>
      <c r="O62" s="96"/>
      <c r="P62" s="343"/>
      <c r="Q62" s="344"/>
      <c r="R62" s="100"/>
      <c r="S62" s="96"/>
      <c r="T62" s="364"/>
      <c r="U62" s="365"/>
      <c r="V62" s="100"/>
      <c r="W62" s="96"/>
      <c r="X62" s="354"/>
      <c r="Y62" s="355"/>
      <c r="Z62" s="100"/>
      <c r="AA62" s="96"/>
      <c r="AB62" s="354"/>
      <c r="AC62" s="355"/>
      <c r="AD62" s="100"/>
      <c r="AE62" s="96"/>
      <c r="AF62" s="354"/>
      <c r="AG62" s="355"/>
      <c r="AH62" s="100"/>
      <c r="AI62" s="96"/>
      <c r="AJ62" s="354"/>
      <c r="AK62" s="355"/>
      <c r="AL62" s="100"/>
      <c r="AM62" s="96"/>
      <c r="AN62" s="354"/>
      <c r="AO62" s="355"/>
      <c r="AP62" s="100"/>
      <c r="AQ62" s="96"/>
      <c r="AR62" s="343"/>
      <c r="AS62" s="344"/>
      <c r="AT62" s="100"/>
      <c r="AU62" s="96"/>
      <c r="AV62" s="343"/>
      <c r="AW62" s="344"/>
      <c r="AX62" s="100"/>
    </row>
    <row r="63" spans="1:62">
      <c r="C63" s="96"/>
      <c r="D63" s="343"/>
      <c r="E63" s="344"/>
      <c r="F63" s="98"/>
      <c r="G63" s="96"/>
      <c r="H63" s="343"/>
      <c r="I63" s="344"/>
      <c r="J63" s="100"/>
      <c r="K63" s="96"/>
      <c r="L63" s="343"/>
      <c r="M63" s="344"/>
      <c r="N63" s="100"/>
      <c r="O63" s="96"/>
      <c r="P63" s="343"/>
      <c r="Q63" s="344"/>
      <c r="R63" s="100"/>
      <c r="S63" s="96"/>
      <c r="T63" s="364"/>
      <c r="U63" s="365"/>
      <c r="V63" s="100"/>
      <c r="W63" s="96"/>
      <c r="X63" s="354"/>
      <c r="Y63" s="355"/>
      <c r="Z63" s="100"/>
      <c r="AA63" s="96"/>
      <c r="AB63" s="354"/>
      <c r="AC63" s="355"/>
      <c r="AD63" s="100"/>
      <c r="AE63" s="96"/>
      <c r="AF63" s="354"/>
      <c r="AG63" s="355"/>
      <c r="AH63" s="100"/>
      <c r="AI63" s="96"/>
      <c r="AJ63" s="354"/>
      <c r="AK63" s="355"/>
      <c r="AL63" s="100"/>
      <c r="AM63" s="96"/>
      <c r="AN63" s="354"/>
      <c r="AO63" s="355"/>
      <c r="AP63" s="100"/>
      <c r="AQ63" s="96"/>
      <c r="AR63" s="343"/>
      <c r="AS63" s="344"/>
      <c r="AT63" s="100"/>
      <c r="AU63" s="96"/>
      <c r="AV63" s="343"/>
      <c r="AW63" s="344"/>
      <c r="AX63" s="100"/>
    </row>
    <row r="64" spans="1:62">
      <c r="C64" s="96"/>
      <c r="D64" s="343"/>
      <c r="E64" s="344"/>
      <c r="F64" s="98"/>
      <c r="G64" s="96"/>
      <c r="H64" s="343"/>
      <c r="I64" s="344"/>
      <c r="J64" s="100"/>
      <c r="K64" s="96"/>
      <c r="L64" s="343"/>
      <c r="M64" s="344"/>
      <c r="N64" s="100"/>
      <c r="O64" s="96"/>
      <c r="P64" s="343"/>
      <c r="Q64" s="344"/>
      <c r="R64" s="100"/>
      <c r="S64" s="96"/>
      <c r="T64" s="364"/>
      <c r="U64" s="365"/>
      <c r="V64" s="100"/>
      <c r="W64" s="96"/>
      <c r="X64" s="354"/>
      <c r="Y64" s="355"/>
      <c r="Z64" s="100"/>
      <c r="AA64" s="96"/>
      <c r="AB64" s="354"/>
      <c r="AC64" s="355"/>
      <c r="AD64" s="100"/>
      <c r="AE64" s="96"/>
      <c r="AF64" s="354"/>
      <c r="AG64" s="355"/>
      <c r="AH64" s="100"/>
      <c r="AI64" s="96"/>
      <c r="AJ64" s="354"/>
      <c r="AK64" s="355"/>
      <c r="AL64" s="100"/>
      <c r="AM64" s="96"/>
      <c r="AN64" s="354"/>
      <c r="AO64" s="355"/>
      <c r="AP64" s="100"/>
      <c r="AQ64" s="96"/>
      <c r="AR64" s="343"/>
      <c r="AS64" s="344"/>
      <c r="AT64" s="100"/>
      <c r="AU64" s="96"/>
      <c r="AV64" s="343"/>
      <c r="AW64" s="344"/>
      <c r="AX64" s="100"/>
    </row>
    <row r="65" spans="1:50">
      <c r="C65" s="96"/>
      <c r="D65" s="343"/>
      <c r="E65" s="344"/>
      <c r="F65" s="98"/>
      <c r="G65" s="96"/>
      <c r="H65" s="343"/>
      <c r="I65" s="344"/>
      <c r="J65" s="100"/>
      <c r="K65" s="96"/>
      <c r="L65" s="343"/>
      <c r="M65" s="344"/>
      <c r="N65" s="100"/>
      <c r="O65" s="96"/>
      <c r="P65" s="343"/>
      <c r="Q65" s="344"/>
      <c r="R65" s="100"/>
      <c r="S65" s="96"/>
      <c r="T65" s="364"/>
      <c r="U65" s="365"/>
      <c r="V65" s="100"/>
      <c r="W65" s="96"/>
      <c r="X65" s="354"/>
      <c r="Y65" s="355"/>
      <c r="Z65" s="100"/>
      <c r="AA65" s="96"/>
      <c r="AB65" s="354"/>
      <c r="AC65" s="355"/>
      <c r="AD65" s="100"/>
      <c r="AE65" s="96"/>
      <c r="AF65" s="354"/>
      <c r="AG65" s="355"/>
      <c r="AH65" s="100"/>
      <c r="AI65" s="96"/>
      <c r="AJ65" s="354"/>
      <c r="AK65" s="355"/>
      <c r="AL65" s="100"/>
      <c r="AM65" s="96"/>
      <c r="AN65" s="354"/>
      <c r="AO65" s="355"/>
      <c r="AP65" s="100"/>
      <c r="AQ65" s="96"/>
      <c r="AR65" s="343"/>
      <c r="AS65" s="344"/>
      <c r="AT65" s="100"/>
      <c r="AU65" s="96"/>
      <c r="AV65" s="343"/>
      <c r="AW65" s="344"/>
      <c r="AX65" s="100"/>
    </row>
    <row r="66" spans="1:50">
      <c r="C66" s="96"/>
      <c r="D66" s="343"/>
      <c r="E66" s="344"/>
      <c r="F66" s="98"/>
      <c r="G66" s="96"/>
      <c r="H66" s="343"/>
      <c r="I66" s="344"/>
      <c r="J66" s="100"/>
      <c r="K66" s="96"/>
      <c r="L66" s="343"/>
      <c r="M66" s="344"/>
      <c r="N66" s="100"/>
      <c r="O66" s="96"/>
      <c r="P66" s="343"/>
      <c r="Q66" s="344"/>
      <c r="R66" s="100"/>
      <c r="S66" s="96"/>
      <c r="T66" s="354"/>
      <c r="U66" s="355"/>
      <c r="V66" s="100"/>
      <c r="W66" s="96"/>
      <c r="X66" s="354"/>
      <c r="Y66" s="355"/>
      <c r="Z66" s="100"/>
      <c r="AA66" s="96"/>
      <c r="AB66" s="354"/>
      <c r="AC66" s="355"/>
      <c r="AD66" s="100"/>
      <c r="AE66" s="96"/>
      <c r="AF66" s="354"/>
      <c r="AG66" s="355"/>
      <c r="AH66" s="100"/>
      <c r="AI66" s="96"/>
      <c r="AJ66" s="354"/>
      <c r="AK66" s="355"/>
      <c r="AL66" s="100"/>
      <c r="AM66" s="96"/>
      <c r="AN66" s="354"/>
      <c r="AO66" s="355"/>
      <c r="AP66" s="100"/>
      <c r="AQ66" s="96"/>
      <c r="AR66" s="343"/>
      <c r="AS66" s="344"/>
      <c r="AT66" s="100"/>
      <c r="AU66" s="96"/>
      <c r="AV66" s="343"/>
      <c r="AW66" s="344"/>
      <c r="AX66" s="100"/>
    </row>
    <row r="67" spans="1:50">
      <c r="C67" s="96"/>
      <c r="D67" s="343"/>
      <c r="E67" s="344"/>
      <c r="F67" s="98"/>
      <c r="G67" s="96"/>
      <c r="H67" s="343"/>
      <c r="I67" s="344"/>
      <c r="J67" s="100"/>
      <c r="K67" s="96"/>
      <c r="L67" s="343"/>
      <c r="M67" s="344"/>
      <c r="N67" s="100"/>
      <c r="O67" s="96"/>
      <c r="P67" s="343"/>
      <c r="Q67" s="344"/>
      <c r="R67" s="100"/>
      <c r="S67" s="96"/>
      <c r="T67" s="354"/>
      <c r="U67" s="355"/>
      <c r="V67" s="100"/>
      <c r="W67" s="96"/>
      <c r="X67" s="354"/>
      <c r="Y67" s="355"/>
      <c r="Z67" s="100"/>
      <c r="AA67" s="96"/>
      <c r="AB67" s="354"/>
      <c r="AC67" s="355"/>
      <c r="AD67" s="100"/>
      <c r="AE67" s="96"/>
      <c r="AF67" s="354"/>
      <c r="AG67" s="355"/>
      <c r="AH67" s="100"/>
      <c r="AI67" s="96"/>
      <c r="AJ67" s="354"/>
      <c r="AK67" s="355"/>
      <c r="AL67" s="100"/>
      <c r="AM67" s="96"/>
      <c r="AN67" s="354"/>
      <c r="AO67" s="355"/>
      <c r="AP67" s="100"/>
      <c r="AQ67" s="96"/>
      <c r="AR67" s="343"/>
      <c r="AS67" s="344"/>
      <c r="AT67" s="100"/>
      <c r="AU67" s="96"/>
      <c r="AV67" s="343"/>
      <c r="AW67" s="344"/>
      <c r="AX67" s="100"/>
    </row>
    <row r="68" spans="1:50">
      <c r="C68" s="96"/>
      <c r="D68" s="343"/>
      <c r="E68" s="344"/>
      <c r="F68" s="98"/>
      <c r="G68" s="96"/>
      <c r="H68" s="343"/>
      <c r="I68" s="344"/>
      <c r="J68" s="100"/>
      <c r="K68" s="96"/>
      <c r="L68" s="343"/>
      <c r="M68" s="344"/>
      <c r="N68" s="100"/>
      <c r="O68" s="96"/>
      <c r="P68" s="343"/>
      <c r="Q68" s="344"/>
      <c r="R68" s="100"/>
      <c r="S68" s="96"/>
      <c r="T68" s="354"/>
      <c r="U68" s="355"/>
      <c r="V68" s="100"/>
      <c r="W68" s="96"/>
      <c r="X68" s="354"/>
      <c r="Y68" s="355"/>
      <c r="Z68" s="100"/>
      <c r="AA68" s="96"/>
      <c r="AB68" s="354"/>
      <c r="AC68" s="355"/>
      <c r="AD68" s="100"/>
      <c r="AE68" s="96"/>
      <c r="AF68" s="354"/>
      <c r="AG68" s="355"/>
      <c r="AH68" s="100"/>
      <c r="AI68" s="96"/>
      <c r="AJ68" s="354"/>
      <c r="AK68" s="355"/>
      <c r="AL68" s="100"/>
      <c r="AM68" s="96"/>
      <c r="AN68" s="354"/>
      <c r="AO68" s="355"/>
      <c r="AP68" s="100"/>
      <c r="AQ68" s="96"/>
      <c r="AR68" s="343"/>
      <c r="AS68" s="344"/>
      <c r="AT68" s="100"/>
      <c r="AU68" s="96"/>
      <c r="AV68" s="343"/>
      <c r="AW68" s="344"/>
      <c r="AX68" s="100"/>
    </row>
    <row r="69" spans="1:50">
      <c r="C69" s="96"/>
      <c r="D69" s="343"/>
      <c r="E69" s="344"/>
      <c r="F69" s="98"/>
      <c r="G69" s="96"/>
      <c r="H69" s="343"/>
      <c r="I69" s="344"/>
      <c r="J69" s="100"/>
      <c r="K69" s="96"/>
      <c r="L69" s="343"/>
      <c r="M69" s="344"/>
      <c r="N69" s="100"/>
      <c r="O69" s="96"/>
      <c r="P69" s="343"/>
      <c r="Q69" s="344"/>
      <c r="R69" s="100"/>
      <c r="S69" s="96"/>
      <c r="T69" s="354"/>
      <c r="U69" s="355"/>
      <c r="V69" s="100"/>
      <c r="W69" s="96"/>
      <c r="X69" s="354"/>
      <c r="Y69" s="355"/>
      <c r="Z69" s="100"/>
      <c r="AA69" s="96"/>
      <c r="AB69" s="354"/>
      <c r="AC69" s="355"/>
      <c r="AD69" s="100"/>
      <c r="AE69" s="96"/>
      <c r="AF69" s="354"/>
      <c r="AG69" s="355"/>
      <c r="AH69" s="100"/>
      <c r="AI69" s="96"/>
      <c r="AJ69" s="354"/>
      <c r="AK69" s="355"/>
      <c r="AL69" s="100"/>
      <c r="AM69" s="96"/>
      <c r="AN69" s="354"/>
      <c r="AO69" s="355"/>
      <c r="AP69" s="100"/>
      <c r="AQ69" s="96"/>
      <c r="AR69" s="343"/>
      <c r="AS69" s="344"/>
      <c r="AT69" s="100"/>
      <c r="AU69" s="96"/>
      <c r="AV69" s="343"/>
      <c r="AW69" s="344"/>
      <c r="AX69" s="100"/>
    </row>
    <row r="70" spans="1:50">
      <c r="C70" s="96"/>
      <c r="D70" s="343"/>
      <c r="E70" s="344"/>
      <c r="F70" s="98"/>
      <c r="G70" s="96"/>
      <c r="H70" s="343"/>
      <c r="I70" s="344"/>
      <c r="J70" s="100"/>
      <c r="K70" s="96"/>
      <c r="L70" s="343"/>
      <c r="M70" s="344"/>
      <c r="N70" s="100"/>
      <c r="O70" s="96"/>
      <c r="P70" s="343"/>
      <c r="Q70" s="344"/>
      <c r="R70" s="100"/>
      <c r="S70" s="96"/>
      <c r="T70" s="343" t="s">
        <v>565</v>
      </c>
      <c r="U70" s="344"/>
      <c r="V70" s="100">
        <v>3742.92</v>
      </c>
      <c r="W70" s="96"/>
      <c r="X70" s="343" t="s">
        <v>563</v>
      </c>
      <c r="Y70" s="344"/>
      <c r="Z70" s="100">
        <f>3289.11+270.87</f>
        <v>3559.98</v>
      </c>
      <c r="AA70" s="96"/>
      <c r="AB70" s="354"/>
      <c r="AC70" s="355"/>
      <c r="AD70" s="100"/>
      <c r="AE70" s="96"/>
      <c r="AF70" s="354"/>
      <c r="AG70" s="355"/>
      <c r="AH70" s="100"/>
      <c r="AI70" s="96"/>
      <c r="AJ70" s="354"/>
      <c r="AK70" s="355"/>
      <c r="AL70" s="100"/>
      <c r="AM70" s="96"/>
      <c r="AN70" s="354"/>
      <c r="AO70" s="355"/>
      <c r="AP70" s="100"/>
      <c r="AQ70" s="96"/>
      <c r="AR70" s="343"/>
      <c r="AS70" s="344"/>
      <c r="AT70" s="100"/>
      <c r="AU70" s="96"/>
      <c r="AV70" s="343"/>
      <c r="AW70" s="344"/>
      <c r="AX70" s="100"/>
    </row>
    <row r="71" spans="1:50" ht="15.75" thickBot="1">
      <c r="C71" s="97"/>
      <c r="D71" s="345"/>
      <c r="E71" s="346"/>
      <c r="F71" s="99"/>
      <c r="G71" s="97"/>
      <c r="H71" s="345"/>
      <c r="I71" s="346"/>
      <c r="J71" s="101"/>
      <c r="K71" s="97"/>
      <c r="L71" s="345"/>
      <c r="M71" s="346"/>
      <c r="N71" s="101"/>
      <c r="O71" s="97"/>
      <c r="P71" s="345"/>
      <c r="Q71" s="346"/>
      <c r="R71" s="101"/>
      <c r="S71" s="97"/>
      <c r="T71" s="368" t="s">
        <v>566</v>
      </c>
      <c r="U71" s="369"/>
      <c r="V71" s="101">
        <v>1872.17</v>
      </c>
      <c r="W71" s="97"/>
      <c r="X71" s="368" t="s">
        <v>564</v>
      </c>
      <c r="Y71" s="369"/>
      <c r="Z71" s="101">
        <f>Z70-1484.91-429.89</f>
        <v>1645.1799999999998</v>
      </c>
      <c r="AA71" s="97"/>
      <c r="AB71" s="356"/>
      <c r="AC71" s="357"/>
      <c r="AD71" s="101"/>
      <c r="AE71" s="97"/>
      <c r="AF71" s="356"/>
      <c r="AG71" s="357"/>
      <c r="AH71" s="101"/>
      <c r="AI71" s="97"/>
      <c r="AJ71" s="356"/>
      <c r="AK71" s="357"/>
      <c r="AL71" s="101"/>
      <c r="AM71" s="97"/>
      <c r="AN71" s="356"/>
      <c r="AO71" s="357"/>
      <c r="AP71" s="101"/>
      <c r="AQ71" s="97"/>
      <c r="AR71" s="345"/>
      <c r="AS71" s="346"/>
      <c r="AT71" s="101"/>
      <c r="AU71" s="97"/>
      <c r="AV71" s="345"/>
      <c r="AW71" s="346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50</v>
      </c>
      <c r="F73">
        <f>F72*20</f>
        <v>21.799999999999997</v>
      </c>
      <c r="L73" s="119"/>
    </row>
    <row r="74" spans="1:50">
      <c r="A74" t="s">
        <v>254</v>
      </c>
      <c r="C74">
        <v>30</v>
      </c>
      <c r="D74">
        <f>100/C74</f>
        <v>3.3333333333333335</v>
      </c>
    </row>
    <row r="75" spans="1:50">
      <c r="A75" t="s">
        <v>255</v>
      </c>
      <c r="C75">
        <v>15</v>
      </c>
      <c r="D75">
        <f>C75*D74</f>
        <v>50</v>
      </c>
      <c r="Z75" s="111"/>
    </row>
    <row r="76" spans="1:50">
      <c r="D76">
        <f>D75-D73</f>
        <v>0</v>
      </c>
    </row>
    <row r="78" spans="1:50">
      <c r="W78" t="s">
        <v>671</v>
      </c>
      <c r="X78">
        <v>4</v>
      </c>
      <c r="Y78">
        <v>10</v>
      </c>
      <c r="Z78">
        <f>SUM(X78:Y78)</f>
        <v>14</v>
      </c>
    </row>
    <row r="79" spans="1:50">
      <c r="W79" t="s">
        <v>672</v>
      </c>
      <c r="X79">
        <v>9</v>
      </c>
      <c r="Y79">
        <v>5</v>
      </c>
      <c r="Z79">
        <f t="shared" ref="Z79:Z81" si="24">SUM(X79:Y79)</f>
        <v>14</v>
      </c>
    </row>
    <row r="80" spans="1:50">
      <c r="G80" s="114"/>
      <c r="W80" t="s">
        <v>673</v>
      </c>
      <c r="X80">
        <v>4</v>
      </c>
      <c r="Y80">
        <v>10</v>
      </c>
      <c r="Z80">
        <f t="shared" si="24"/>
        <v>14</v>
      </c>
    </row>
    <row r="81" spans="7:26">
      <c r="G81" s="114"/>
      <c r="W81" t="s">
        <v>674</v>
      </c>
      <c r="X81">
        <v>4</v>
      </c>
      <c r="Y81">
        <v>10</v>
      </c>
      <c r="Z81">
        <f t="shared" si="24"/>
        <v>14</v>
      </c>
    </row>
    <row r="82" spans="7:26">
      <c r="G82" s="114"/>
    </row>
    <row r="83" spans="7:26">
      <c r="G83" s="114"/>
    </row>
    <row r="86" spans="7:26">
      <c r="G86" s="114"/>
    </row>
    <row r="87" spans="7:26">
      <c r="G87" s="114"/>
    </row>
    <row r="90" spans="7:26">
      <c r="G90" s="114"/>
    </row>
    <row r="91" spans="7:26">
      <c r="G91" s="114"/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abSelected="1" topLeftCell="A280" workbookViewId="0">
      <selection activeCell="J291" sqref="J291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v>3839.35</v>
      </c>
      <c r="L5" s="425"/>
      <c r="M5" s="1"/>
      <c r="N5" s="1"/>
      <c r="R5" s="3"/>
    </row>
    <row r="6" spans="1:22" ht="15.75">
      <c r="A6" s="112">
        <f>'08'!A6+(B6-SUM(D6:F6))</f>
        <v>409.08</v>
      </c>
      <c r="B6" s="133">
        <v>403.08</v>
      </c>
      <c r="C6" s="19" t="s">
        <v>376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6">
        <v>620.12</v>
      </c>
      <c r="L6" s="427"/>
      <c r="M6" s="1" t="s">
        <v>165</v>
      </c>
      <c r="N6" s="1"/>
      <c r="R6" s="3"/>
    </row>
    <row r="7" spans="1:22" ht="15.75">
      <c r="A7" s="112">
        <f>'08'!A7+(B7-SUM(D7:F7))</f>
        <v>304.39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6">
        <v>7236.18</v>
      </c>
      <c r="L7" s="427"/>
      <c r="M7" s="1"/>
      <c r="N7" s="1"/>
      <c r="R7" s="3"/>
    </row>
    <row r="8" spans="1:22" ht="15.75">
      <c r="A8" s="112">
        <f>'08'!A8+(B8-SUM(D8:F8))</f>
        <v>-103.66999999999999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6">
        <v>6305.62</v>
      </c>
      <c r="L8" s="427"/>
      <c r="M8" s="1"/>
      <c r="N8" s="1"/>
      <c r="R8" s="3"/>
    </row>
    <row r="9" spans="1:22" ht="15.75">
      <c r="A9" s="112">
        <f>'08'!A9+(B9-SUM(D9:F9))</f>
        <v>-22.59</v>
      </c>
      <c r="B9" s="134">
        <v>0</v>
      </c>
      <c r="C9" s="16" t="s">
        <v>37</v>
      </c>
      <c r="D9" s="137"/>
      <c r="E9" s="138">
        <v>22.59</v>
      </c>
      <c r="F9" s="138"/>
      <c r="G9" s="16" t="s">
        <v>37</v>
      </c>
      <c r="H9" s="112"/>
      <c r="I9" s="108" t="s">
        <v>63</v>
      </c>
      <c r="J9" s="107" t="s">
        <v>157</v>
      </c>
      <c r="K9" s="426">
        <v>163.63</v>
      </c>
      <c r="L9" s="427"/>
      <c r="M9" s="1"/>
      <c r="N9" s="1"/>
      <c r="R9" s="3"/>
    </row>
    <row r="10" spans="1:22" ht="15.75">
      <c r="A10" s="112">
        <f>'08'!A10+(B10-SUM(D10:F10))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'08'!A11+(B11-SUM(D11:F11))</f>
        <v>30.220000000000002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6">
        <f>105+50</f>
        <v>155</v>
      </c>
      <c r="L11" s="427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'08'!A13+(B13-SUM(D13:F13))</f>
        <v>44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29258.260000000002</v>
      </c>
      <c r="L19" s="442"/>
      <c r="M19" s="1"/>
      <c r="N19" s="1"/>
      <c r="R19" s="3"/>
    </row>
    <row r="20" spans="1:18" ht="16.5" thickBot="1">
      <c r="A20" s="112">
        <f>SUM(A6:A15)</f>
        <v>948.47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22.59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/>
      <c r="K25" s="407"/>
      <c r="L25" s="231"/>
      <c r="M25" s="1"/>
      <c r="R25" s="3"/>
    </row>
    <row r="26" spans="1:18" ht="15.75">
      <c r="A26" s="112">
        <f>'08'!A26+(B26-SUM(D26:F26))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4"/>
      <c r="J26" s="408"/>
      <c r="K26" s="409"/>
      <c r="L26" s="229"/>
      <c r="M26" s="1"/>
      <c r="R26" s="3"/>
    </row>
    <row r="27" spans="1:18" ht="15.75">
      <c r="A27" s="112">
        <f>'08'!A27+(B27-SUM(D27:F27))</f>
        <v>228.04999999999995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04"/>
      <c r="J27" s="408"/>
      <c r="K27" s="409"/>
      <c r="L27" s="229"/>
      <c r="M27" s="1"/>
      <c r="R27" s="3"/>
    </row>
    <row r="28" spans="1:18" ht="15.75">
      <c r="A28" s="112">
        <f>'08'!A28+(B28-SUM(D28:F28))</f>
        <v>134.11000000000001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229"/>
      <c r="M28" s="1"/>
      <c r="R28" s="3"/>
    </row>
    <row r="29" spans="1:18" ht="15.75">
      <c r="A29" s="112">
        <f>'08'!A29+(B29-SUM(D29:F29))</f>
        <v>19.580000000000005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2"/>
      <c r="J29" s="413"/>
      <c r="K29" s="414"/>
      <c r="L29" s="230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/>
      <c r="K30" s="407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/>
      <c r="K31" s="409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/>
      <c r="K32" s="409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/>
      <c r="K35" s="407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30"/>
      <c r="M39" s="1"/>
      <c r="R39" s="3"/>
    </row>
    <row r="40" spans="1:18" ht="16.5" thickBot="1">
      <c r="A40" s="112">
        <f>SUM(A26:A35)</f>
        <v>1468.0199999999998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/>
      <c r="K40" s="407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22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2"/>
      <c r="J44" s="413"/>
      <c r="K44" s="4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 t="s">
        <v>794</v>
      </c>
      <c r="K45" s="407"/>
      <c r="L45" s="231">
        <v>100</v>
      </c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800</v>
      </c>
      <c r="H46" s="1"/>
      <c r="I46" s="404"/>
      <c r="J46" s="408"/>
      <c r="K46" s="409"/>
      <c r="L46" s="229"/>
      <c r="M46" s="1"/>
      <c r="R46" s="3"/>
    </row>
    <row r="47" spans="1:18" ht="15.75">
      <c r="A47" s="1"/>
      <c r="B47" s="134"/>
      <c r="C47" s="16" t="s">
        <v>78</v>
      </c>
      <c r="D47" s="137"/>
      <c r="E47" s="138"/>
      <c r="F47" s="138"/>
      <c r="G47" s="16"/>
      <c r="H47" s="1"/>
      <c r="I47" s="404"/>
      <c r="J47" s="408"/>
      <c r="K47" s="409"/>
      <c r="L47" s="229"/>
      <c r="M47" s="1"/>
      <c r="R47" s="3"/>
    </row>
    <row r="48" spans="1:18" ht="15.75">
      <c r="A48" s="1"/>
      <c r="B48" s="134"/>
      <c r="C48" s="16" t="s">
        <v>791</v>
      </c>
      <c r="D48" s="137"/>
      <c r="E48" s="138"/>
      <c r="F48" s="138"/>
      <c r="G48" s="16"/>
      <c r="H48" s="1">
        <f>21*8</f>
        <v>168</v>
      </c>
      <c r="I48" s="404"/>
      <c r="J48" s="408"/>
      <c r="K48" s="409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2"/>
      <c r="J49" s="413"/>
      <c r="K49" s="414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3" t="str">
        <f>AÑO!A13</f>
        <v>Gubernamental</v>
      </c>
      <c r="J50" s="406"/>
      <c r="K50" s="407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4"/>
      <c r="J51" s="408"/>
      <c r="K51" s="409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4"/>
      <c r="J52" s="408"/>
      <c r="K52" s="409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4"/>
      <c r="J53" s="408"/>
      <c r="K53" s="409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2"/>
      <c r="J54" s="413"/>
      <c r="K54" s="414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3" t="str">
        <f>AÑO!A14</f>
        <v>Mutualite/DKV</v>
      </c>
      <c r="J55" s="406"/>
      <c r="K55" s="407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/>
      <c r="K56" s="409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85.2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/>
      <c r="K60" s="407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2"/>
      <c r="J64" s="413"/>
      <c r="K64" s="414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231"/>
      <c r="M65" s="1"/>
      <c r="R65" s="3"/>
    </row>
    <row r="66" spans="1:18" ht="15.75">
      <c r="A66" s="112">
        <f>'08'!A66+(B66-SUM(D66:F78))+B67</f>
        <v>113.78000000000006</v>
      </c>
      <c r="B66" s="133">
        <v>175</v>
      </c>
      <c r="C66" s="19" t="s">
        <v>33</v>
      </c>
      <c r="D66" s="137"/>
      <c r="E66" s="138"/>
      <c r="F66" s="138">
        <f>4+4+5</f>
        <v>13</v>
      </c>
      <c r="G66" s="19" t="s">
        <v>788</v>
      </c>
      <c r="H66" s="1"/>
      <c r="I66" s="404"/>
      <c r="J66" s="408"/>
      <c r="K66" s="409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789</v>
      </c>
      <c r="H67" s="1"/>
      <c r="I67" s="404"/>
      <c r="J67" s="408"/>
      <c r="K67" s="409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798</v>
      </c>
      <c r="H68" s="1"/>
      <c r="I68" s="404"/>
      <c r="J68" s="408"/>
      <c r="K68" s="409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5"/>
      <c r="J69" s="410"/>
      <c r="K69" s="41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105</v>
      </c>
      <c r="B79" s="233">
        <v>5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218.78000000000006</v>
      </c>
      <c r="B80" s="233">
        <f>SUM(B66:B79)</f>
        <v>180</v>
      </c>
      <c r="C80" s="17" t="s">
        <v>53</v>
      </c>
      <c r="D80" s="135">
        <f>SUM(D66:D79)</f>
        <v>15</v>
      </c>
      <c r="E80" s="135">
        <f>SUM(E66:E79)</f>
        <v>36.049999999999997</v>
      </c>
      <c r="F80" s="135">
        <f>SUM(F66:F79)</f>
        <v>13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202</v>
      </c>
      <c r="D86" s="137">
        <v>51.07</v>
      </c>
      <c r="E86" s="138"/>
      <c r="F86" s="138"/>
      <c r="G86" s="16" t="s">
        <v>799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51.07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71.110000000000042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3290.1800000000012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654.20999999999992</v>
      </c>
      <c r="B120" s="135">
        <f>SUM(B106:B119)</f>
        <v>445</v>
      </c>
      <c r="C120" s="17" t="s">
        <v>53</v>
      </c>
      <c r="D120" s="135">
        <f>SUM(D106:D119)</f>
        <v>258.47000000000003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'08'!A126+(B126-SUM(D126:F126))</f>
        <v>42.5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'08'!A127+(B127-SUM(D127:F128))</f>
        <v>22.5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'08'!A129+(B129-SUM(D129:F129))</f>
        <v>8.0499999999999989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65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>
        <v>44</v>
      </c>
      <c r="F166" s="138"/>
      <c r="G166" s="16" t="s">
        <v>695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f>55.89+95.49</f>
        <v>151.38</v>
      </c>
      <c r="F186" s="138"/>
      <c r="G186" s="16" t="s">
        <v>790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20.98</v>
      </c>
      <c r="E187" s="138"/>
      <c r="F187" s="138"/>
      <c r="G187" s="16" t="s">
        <v>795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20.98</v>
      </c>
      <c r="E200" s="135">
        <f>SUM(E186:E199)</f>
        <v>151.38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696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'08'!A246+(B246-SUM(D246:F255))</f>
        <v>-55.14</v>
      </c>
      <c r="B246" s="134">
        <v>50</v>
      </c>
      <c r="C246" s="27" t="s">
        <v>402</v>
      </c>
      <c r="D246" s="137">
        <v>105.14</v>
      </c>
      <c r="E246" s="138"/>
      <c r="F246" s="138"/>
      <c r="G246" s="16" t="s">
        <v>792</v>
      </c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'08'!A256+(B256-SUM(D256:F256))</f>
        <v>40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'08'!A257+(B257-SUM(D257:F257))</f>
        <v>545.45000000000016</v>
      </c>
      <c r="B257" s="134">
        <v>40</v>
      </c>
      <c r="C257" s="16" t="s">
        <v>740</v>
      </c>
      <c r="D257" s="137"/>
      <c r="E257" s="138">
        <f>100.67</f>
        <v>100.67</v>
      </c>
      <c r="F257" s="138"/>
      <c r="G257" s="16" t="s">
        <v>405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530.31000000000017</v>
      </c>
      <c r="B260" s="135">
        <f>SUM(B246:B259)</f>
        <v>95</v>
      </c>
      <c r="C260" s="17" t="s">
        <v>53</v>
      </c>
      <c r="D260" s="135">
        <f>SUM(D246:D259)</f>
        <v>105.14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787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29" t="s">
        <v>9</v>
      </c>
      <c r="E284" s="431"/>
      <c r="F284" s="431"/>
      <c r="G284" s="430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'08'!A286+(SUM(B286:B298)-SUM(D286:F298))</f>
        <v>51.359999999999808</v>
      </c>
      <c r="B286" s="133">
        <v>50</v>
      </c>
      <c r="C286" s="19" t="s">
        <v>33</v>
      </c>
      <c r="D286" s="137"/>
      <c r="E286" s="138">
        <v>44</v>
      </c>
      <c r="F286" s="138"/>
      <c r="G286" s="16" t="s">
        <v>695</v>
      </c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770</v>
      </c>
      <c r="D299" s="135"/>
      <c r="E299" s="139"/>
      <c r="F299" s="139"/>
      <c r="G299" s="17"/>
    </row>
    <row r="300" spans="1:8" ht="16.5" thickBot="1">
      <c r="A300" s="112">
        <f>SUM(A286:A299)</f>
        <v>111.35999999999981</v>
      </c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44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726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2.82+23.05</f>
        <v>25.87</v>
      </c>
      <c r="E326" s="138"/>
      <c r="F326" s="138"/>
      <c r="G326" s="16" t="s">
        <v>793</v>
      </c>
    </row>
    <row r="327" spans="2:7">
      <c r="B327" s="134">
        <v>100</v>
      </c>
      <c r="C327" s="16" t="s">
        <v>794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53</v>
      </c>
      <c r="D340" s="135">
        <f>SUM(D326:D339)</f>
        <v>25.87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'08'!A346+(B346-SUM(D346:F357))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737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736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>
        <f>3+3.5</f>
        <v>6.5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6.5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796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AÑO!AI17</f>
        <v>100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234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797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'08'!A467+(B467-SUM(D467:F467))</f>
        <v>25.230000000000018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'08'!A468+(B468-SUM(D468:F468))</f>
        <v>198.4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223.63000000000002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20543C5C-CA5F-47D9-9636-7FC4A0D861B1}"/>
    <hyperlink ref="I2:L3" location="AÑO!AI4:AL5" display="SALDO REAL" xr:uid="{A5F11C23-6102-4B9C-9DC0-66FA90989725}"/>
    <hyperlink ref="I22" location="Trimestre!C39:F40" display="TELÉFONO" xr:uid="{06A60D21-3D5C-4FCA-99D4-AB403F0B7FE9}"/>
    <hyperlink ref="I22:L23" location="AÑO!AI7:AL17" display="INGRESOS" xr:uid="{20A2F51F-E3D5-46C1-A9B8-B584D622EC80}"/>
    <hyperlink ref="B2" location="Trimestre!C25:F26" display="HIPOTECA" xr:uid="{9C34523C-A97A-4F1D-862F-867DC6E3D25F}"/>
    <hyperlink ref="B2:G3" location="AÑO!AI20:AL20" display="AÑO!AI20:AL20" xr:uid="{BB3F881B-CD87-4769-A536-BE52EB911255}"/>
    <hyperlink ref="B22" location="Trimestre!C25:F26" display="HIPOTECA" xr:uid="{47685C71-2D34-4E61-B62C-329DBE415E81}"/>
    <hyperlink ref="B22:G23" location="AÑO!AI21:AL21" display="AÑO!AI21:AL21" xr:uid="{8A3AB0FA-6211-4820-A7EA-D17AA841788F}"/>
    <hyperlink ref="B42" location="Trimestre!C25:F26" display="HIPOTECA" xr:uid="{62DD0DD5-D492-4CEB-8044-F202ED82692B}"/>
    <hyperlink ref="B42:G43" location="AÑO!AI22:AL22" display="AÑO!AI22:AL22" xr:uid="{1FC50A9E-8F8C-4C09-9E70-0AF5C9C13327}"/>
    <hyperlink ref="B62" location="Trimestre!C25:F26" display="HIPOTECA" xr:uid="{32518F96-520E-4C50-9506-69E3433365D0}"/>
    <hyperlink ref="B62:G63" location="AÑO!AI23:AL23" display="AÑO!AI23:AL23" xr:uid="{B84F7E24-6F21-4CEF-BFFF-7F0C1DA7A514}"/>
    <hyperlink ref="B82" location="Trimestre!C25:F26" display="HIPOTECA" xr:uid="{B736ABA4-E123-4DBA-AAE8-8041EBD6EAD7}"/>
    <hyperlink ref="B82:G83" location="AÑO!AI24:AL24" display="AÑO!AI24:AL24" xr:uid="{23761A3D-4ACC-47A6-9BC2-DC6A36360911}"/>
    <hyperlink ref="B102" location="Trimestre!C25:F26" display="HIPOTECA" xr:uid="{27BC92A5-276F-47C3-B2C9-A4A83734B3A7}"/>
    <hyperlink ref="B102:G103" location="AÑO!AI25:AL25" display="AÑO!AI25:AL25" xr:uid="{092FB7B6-14DD-463E-B272-571141D23863}"/>
    <hyperlink ref="B122" location="Trimestre!C25:F26" display="HIPOTECA" xr:uid="{F98B5A38-47BB-4BB8-AB4F-DB25FD5FA136}"/>
    <hyperlink ref="B122:G123" location="AÑO!AI26:AL26" display="AÑO!AI26:AL26" xr:uid="{F0749408-8E1D-4441-8528-E154CDB1F5AC}"/>
    <hyperlink ref="B142" location="Trimestre!C25:F26" display="HIPOTECA" xr:uid="{6F3380B4-6813-4D4F-AA22-B816B234D69E}"/>
    <hyperlink ref="B142:G143" location="AÑO!AI27:AL27" display="AÑO!AI27:AL27" xr:uid="{FCF21269-28B2-43FB-AA78-A53795FACD55}"/>
    <hyperlink ref="B162" location="Trimestre!C25:F26" display="HIPOTECA" xr:uid="{9718B55E-5BC9-401C-800E-2F4C8059B4F7}"/>
    <hyperlink ref="B162:G163" location="AÑO!AI28:AL28" display="AÑO!AI28:AL28" xr:uid="{37384EB3-8A57-487C-BD03-62F5A663065F}"/>
    <hyperlink ref="B182" location="Trimestre!C25:F26" display="HIPOTECA" xr:uid="{4749CF43-8151-4706-B3FA-2F592C2697BC}"/>
    <hyperlink ref="B182:G183" location="AÑO!AI29:AL29" display="AÑO!AI29:AL29" xr:uid="{4032A82D-203F-4749-B10B-D21CD922E331}"/>
    <hyperlink ref="B202" location="Trimestre!C25:F26" display="HIPOTECA" xr:uid="{4B2C4D54-E005-4997-8DE7-F2D862286D62}"/>
    <hyperlink ref="B202:G203" location="AÑO!AI30:AL30" display="AÑO!AI30:AL30" xr:uid="{2C0D2360-607A-4CB0-8E0A-1222DE2D8D2E}"/>
    <hyperlink ref="B222" location="Trimestre!C25:F26" display="HIPOTECA" xr:uid="{7C8ADB2C-F14D-4468-B4D4-9F373342A829}"/>
    <hyperlink ref="B222:G223" location="AÑO!AI31:AL31" display="AÑO!AI31:AL31" xr:uid="{78191103-3B83-41CB-83DF-306BDA36DD0C}"/>
    <hyperlink ref="B242" location="Trimestre!C25:F26" display="HIPOTECA" xr:uid="{99D5C17A-D16C-4CC6-B2FD-AB1C445411E4}"/>
    <hyperlink ref="B242:G243" location="AÑO!AI32:AL32" display="AÑO!AI32:AL32" xr:uid="{06CCAB83-9005-485D-BD15-28367959ABB5}"/>
    <hyperlink ref="B262" location="Trimestre!C25:F26" display="HIPOTECA" xr:uid="{9F606231-5EB9-4BC7-ABB7-51CD7F450858}"/>
    <hyperlink ref="B262:G263" location="AÑO!AI33:AL33" display="AÑO!AI33:AL33" xr:uid="{FCB2B599-FA45-4F50-A383-033045BD1684}"/>
    <hyperlink ref="B282" location="Trimestre!C25:F26" display="HIPOTECA" xr:uid="{9220F1E0-E563-4FAC-8420-17EF356017CE}"/>
    <hyperlink ref="B282:G283" location="AÑO!AI34:AL34" display="AÑO!AI34:AL34" xr:uid="{9DC21D0D-BD04-4656-AABE-60436C3FD435}"/>
    <hyperlink ref="B302" location="Trimestre!C25:F26" display="HIPOTECA" xr:uid="{099D4F8A-87BD-4903-8C38-C0C30C5F7218}"/>
    <hyperlink ref="B302:G303" location="AÑO!AI35:AL35" display="AÑO!AI35:AL35" xr:uid="{C014F2DF-6917-4707-946B-85AE73C8969A}"/>
    <hyperlink ref="B322" location="Trimestre!C25:F26" display="HIPOTECA" xr:uid="{26351CCC-AC94-4CB4-9691-3F63AF27B438}"/>
    <hyperlink ref="B322:G323" location="AÑO!AI36:AL36" display="AÑO!AI36:AL36" xr:uid="{E3162F14-6595-428C-ACC7-AFAB400362C1}"/>
    <hyperlink ref="B342" location="Trimestre!C25:F26" display="HIPOTECA" xr:uid="{734476D7-35FD-4B53-82A2-93719F0185E9}"/>
    <hyperlink ref="B342:G343" location="AÑO!AI37:AL37" display="AÑO!AI37:AL37" xr:uid="{485AB37C-7A3D-445F-AB06-8FE2F0E566FD}"/>
    <hyperlink ref="B362" location="Trimestre!C25:F26" display="HIPOTECA" xr:uid="{599B9A0E-B61D-498F-B242-E07BD281AA58}"/>
    <hyperlink ref="B362:G363" location="AÑO!AI38:AL38" display="AÑO!AI38:AL38" xr:uid="{C7784D81-0F31-4DD3-A9A4-0AB890233ECF}"/>
    <hyperlink ref="B382" location="Trimestre!C25:F26" display="HIPOTECA" xr:uid="{88B507F6-AE9E-4A96-9B10-08AE8877F109}"/>
    <hyperlink ref="B382:G383" location="AÑO!AI39:AL39" display="AÑO!AI39:AL39" xr:uid="{C868514F-F708-4636-86B4-4371022E47FE}"/>
    <hyperlink ref="B402" location="Trimestre!C25:F26" display="HIPOTECA" xr:uid="{F0FAE52D-84CF-4FD0-AEE3-BCCEBC3CFCC9}"/>
    <hyperlink ref="B402:G403" location="AÑO!AI40:AL40" display="AÑO!AI40:AL40" xr:uid="{365BD708-8D6F-4059-B20F-0E37A7E843F5}"/>
    <hyperlink ref="B422" location="Trimestre!C25:F26" display="HIPOTECA" xr:uid="{FFE4A60E-F373-4AA6-B350-7050ADBC40B6}"/>
    <hyperlink ref="B422:G423" location="AÑO!AI41:AL41" display="AÑO!AI41:AL41" xr:uid="{A29E4590-1503-44F5-8D46-391BD052CEF0}"/>
    <hyperlink ref="B442" location="Trimestre!C25:F26" display="HIPOTECA" xr:uid="{7AA67850-E181-4206-97E7-06F430D5AB2C}"/>
    <hyperlink ref="B442:G443" location="AÑO!AI42:AL42" display="AÑO!AI42:AL42" xr:uid="{832986B5-D92F-4176-9307-88B214766C4C}"/>
    <hyperlink ref="B462" location="Trimestre!C25:F26" display="HIPOTECA" xr:uid="{25D5169F-DB37-4791-9902-0287580312A2}"/>
    <hyperlink ref="B462:G463" location="AÑO!AI43:AL43" display="AÑO!AI43:AL43" xr:uid="{48732DF4-29EC-42AF-A5EC-BAC9DFE1A9B1}"/>
    <hyperlink ref="B482" location="Trimestre!C25:F26" display="HIPOTECA" xr:uid="{05A03635-6C71-40B3-B616-BEBD699C0EB8}"/>
    <hyperlink ref="B482:G483" location="AÑO!AI44:AL44" display="AÑO!AI44:AL44" xr:uid="{29B0AACB-ACF0-4EEC-BC7F-CB6281B1C9FA}"/>
    <hyperlink ref="B502" location="Trimestre!C25:F26" display="HIPOTECA" xr:uid="{A15FB698-74FC-4F13-9879-5ED8FA1CFA8D}"/>
    <hyperlink ref="B502:G503" location="AÑO!AI45:AL45" display="AÑO!AI45:AL45" xr:uid="{9E445B04-893C-41D7-89CC-D0A00383380F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25" workbookViewId="0">
      <selection activeCell="I256" sqref="I256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/>
      <c r="L5" s="425"/>
      <c r="M5" s="1"/>
      <c r="N5" s="1"/>
      <c r="O5" s="89">
        <f>M5-500</f>
        <v>-500</v>
      </c>
      <c r="R5" s="3"/>
    </row>
    <row r="6" spans="1:22" ht="15.75">
      <c r="A6" s="112">
        <f>'09'!A6+(B6-SUM(D6:F6))</f>
        <v>812.16</v>
      </c>
      <c r="B6" s="133">
        <v>403.08</v>
      </c>
      <c r="C6" s="19" t="s">
        <v>376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6">
        <v>620.12</v>
      </c>
      <c r="L6" s="427"/>
      <c r="M6" s="1" t="s">
        <v>165</v>
      </c>
      <c r="N6" s="1"/>
      <c r="R6" s="3"/>
    </row>
    <row r="7" spans="1:22" ht="15.75">
      <c r="A7" s="112">
        <f>'09'!A7+(B7-SUM(D7:F7))</f>
        <v>371.57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6"/>
      <c r="L7" s="427"/>
      <c r="M7" s="1"/>
      <c r="N7" s="1"/>
      <c r="R7" s="3"/>
    </row>
    <row r="8" spans="1:22" ht="15.75">
      <c r="A8" s="112">
        <f>'09'!A8+(B8-SUM(D8:F8))</f>
        <v>-103.66999999999999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6">
        <v>6305.62</v>
      </c>
      <c r="L8" s="427"/>
      <c r="M8" s="1"/>
      <c r="N8" s="1"/>
      <c r="R8" s="3"/>
    </row>
    <row r="9" spans="1:22" ht="15.75">
      <c r="A9" s="112">
        <f>'09'!A9+(B9-SUM(D9:F9))</f>
        <v>-22.59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6"/>
      <c r="L9" s="427"/>
      <c r="M9" s="1"/>
      <c r="N9" s="1"/>
      <c r="R9" s="3"/>
    </row>
    <row r="10" spans="1:22" ht="15.75">
      <c r="A10" s="112">
        <f>'09'!A10+(B10-SUM(D10:F10))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'09'!A11+(B11-SUM(D11:F11))</f>
        <v>60.46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6"/>
      <c r="L11" s="427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'09'!A13+(B13-SUM(D13:F13))</f>
        <v>50.5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17864.099999999999</v>
      </c>
      <c r="L19" s="442"/>
      <c r="M19" s="1"/>
      <c r="N19" s="1"/>
      <c r="R19" s="3"/>
    </row>
    <row r="20" spans="1:18" ht="16.5" thickBot="1">
      <c r="A20" s="112">
        <f>SUM(A6:A15)</f>
        <v>1492.47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6925.739999999998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/>
      <c r="K25" s="407"/>
      <c r="L25" s="231"/>
      <c r="M25" s="1"/>
      <c r="R25" s="3"/>
    </row>
    <row r="26" spans="1:18" ht="15.75">
      <c r="A26" s="112">
        <f>'09'!A26+(B26-SUM(D26:F26))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4"/>
      <c r="J26" s="408"/>
      <c r="K26" s="409"/>
      <c r="L26" s="229"/>
      <c r="M26" s="1"/>
      <c r="R26" s="3"/>
    </row>
    <row r="27" spans="1:18" ht="15.75">
      <c r="A27" s="112">
        <f>'09'!A27+(B27-SUM(D27:F27))</f>
        <v>418.04999999999995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04"/>
      <c r="J27" s="408"/>
      <c r="K27" s="409"/>
      <c r="L27" s="229"/>
      <c r="M27" s="1"/>
      <c r="R27" s="3"/>
    </row>
    <row r="28" spans="1:18" ht="15.75">
      <c r="A28" s="112">
        <f>'09'!A28+(B28-SUM(D28:F28))</f>
        <v>174.11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229"/>
      <c r="M28" s="1"/>
      <c r="R28" s="3"/>
    </row>
    <row r="29" spans="1:18" ht="15.75">
      <c r="A29" s="112">
        <f>'09'!A29+(B29-SUM(D29:F29))</f>
        <v>37.580000000000005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2"/>
      <c r="J29" s="413"/>
      <c r="K29" s="414"/>
      <c r="L29" s="230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/>
      <c r="K30" s="407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/>
      <c r="K31" s="409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/>
      <c r="K32" s="409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/>
      <c r="K35" s="407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30"/>
      <c r="M39" s="1"/>
      <c r="R39" s="3"/>
    </row>
    <row r="40" spans="1:18" ht="16.5" thickBot="1">
      <c r="A40" s="112">
        <f>SUM(A26:A35)</f>
        <v>2616.0200000000004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/>
      <c r="K40" s="407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22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2"/>
      <c r="J44" s="413"/>
      <c r="K44" s="4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/>
      <c r="K45" s="407"/>
      <c r="L45" s="231"/>
      <c r="M45" s="1"/>
      <c r="R45" s="3"/>
    </row>
    <row r="46" spans="1:18" ht="15.75">
      <c r="A46" s="1"/>
      <c r="B46" s="133">
        <v>300</v>
      </c>
      <c r="C46" s="19"/>
      <c r="D46" s="137"/>
      <c r="E46" s="138"/>
      <c r="F46" s="138"/>
      <c r="G46" s="30"/>
      <c r="H46" s="1"/>
      <c r="I46" s="404"/>
      <c r="J46" s="408"/>
      <c r="K46" s="409"/>
      <c r="L46" s="229"/>
      <c r="M46" s="1"/>
      <c r="R46" s="3"/>
    </row>
    <row r="47" spans="1:18" ht="15.75">
      <c r="A47" s="1"/>
      <c r="B47" s="134"/>
      <c r="C47" s="16" t="s">
        <v>78</v>
      </c>
      <c r="D47" s="137"/>
      <c r="E47" s="138"/>
      <c r="F47" s="138"/>
      <c r="G47" s="16"/>
      <c r="H47" s="1"/>
      <c r="I47" s="404"/>
      <c r="J47" s="408"/>
      <c r="K47" s="409"/>
      <c r="L47" s="229"/>
      <c r="M47" s="1"/>
      <c r="R47" s="3"/>
    </row>
    <row r="48" spans="1:18" ht="15.75">
      <c r="A48" s="1"/>
      <c r="B48" s="134"/>
      <c r="C48" s="16" t="s">
        <v>791</v>
      </c>
      <c r="D48" s="137"/>
      <c r="E48" s="138"/>
      <c r="F48" s="138"/>
      <c r="G48" s="16"/>
      <c r="H48" s="1">
        <f>21*8</f>
        <v>168</v>
      </c>
      <c r="I48" s="404"/>
      <c r="J48" s="408"/>
      <c r="K48" s="409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2"/>
      <c r="J49" s="413"/>
      <c r="K49" s="414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3" t="str">
        <f>AÑO!A13</f>
        <v>Gubernamental</v>
      </c>
      <c r="J50" s="406"/>
      <c r="K50" s="407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4"/>
      <c r="J51" s="408"/>
      <c r="K51" s="409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4"/>
      <c r="J52" s="408"/>
      <c r="K52" s="409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4"/>
      <c r="J53" s="408"/>
      <c r="K53" s="409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2"/>
      <c r="J54" s="413"/>
      <c r="K54" s="414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3" t="str">
        <f>AÑO!A14</f>
        <v>Mutualite/DKV</v>
      </c>
      <c r="J55" s="406"/>
      <c r="K55" s="407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/>
      <c r="K56" s="409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/>
      <c r="K60" s="407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2"/>
      <c r="J64" s="413"/>
      <c r="K64" s="414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231"/>
      <c r="M65" s="1"/>
      <c r="R65" s="3"/>
    </row>
    <row r="66" spans="1:18" ht="15.75">
      <c r="A66" s="112">
        <f>'09'!A66+(B66-SUM(D66:F78))+B67</f>
        <v>288.78000000000009</v>
      </c>
      <c r="B66" s="133">
        <v>175</v>
      </c>
      <c r="C66" s="19" t="s">
        <v>33</v>
      </c>
      <c r="D66" s="137"/>
      <c r="E66" s="138"/>
      <c r="F66" s="138"/>
      <c r="G66" s="19"/>
      <c r="H66" s="1"/>
      <c r="I66" s="404"/>
      <c r="J66" s="408"/>
      <c r="K66" s="409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4"/>
      <c r="J67" s="408"/>
      <c r="K67" s="409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4"/>
      <c r="J68" s="408"/>
      <c r="K68" s="409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5"/>
      <c r="J69" s="410"/>
      <c r="K69" s="41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110</v>
      </c>
      <c r="B79" s="233">
        <v>5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398.78000000000009</v>
      </c>
      <c r="B80" s="233">
        <f>SUM(B66:B79)</f>
        <v>180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140.11000000000004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3357.7100000000014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1031.6799999999998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'09'!A126+(B126-SUM(D126:F126))</f>
        <v>72.5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'09'!A127+(B127-SUM(D127:F128))</f>
        <v>37.5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'09'!A129+(B129-SUM(D129:F129))</f>
        <v>16.049999999999997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110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'09'!A246+(B246-SUM(D246:F255))</f>
        <v>-5.1400000000000006</v>
      </c>
      <c r="B246" s="134">
        <v>50</v>
      </c>
      <c r="C246" s="27" t="s">
        <v>402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45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'09'!A257+(B257-SUM(D257:F257))</f>
        <v>585.45000000000016</v>
      </c>
      <c r="B257" s="134">
        <v>40</v>
      </c>
      <c r="C257" s="16" t="s">
        <v>801</v>
      </c>
      <c r="D257" s="137"/>
      <c r="E257" s="138"/>
      <c r="F257" s="138"/>
      <c r="G257" s="16" t="s">
        <v>405</v>
      </c>
      <c r="H257" s="89">
        <f>1208-(100.67*5)</f>
        <v>704.65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625.31000000000017</v>
      </c>
      <c r="B260" s="135">
        <f>SUM(B246:B259)</f>
        <v>95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29" t="s">
        <v>9</v>
      </c>
      <c r="E284" s="431"/>
      <c r="F284" s="431"/>
      <c r="G284" s="430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'09'!A286+(SUM(B286:B298)-SUM(D286:F298))</f>
        <v>101.35999999999981</v>
      </c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770</v>
      </c>
      <c r="D299" s="135"/>
      <c r="E299" s="139"/>
      <c r="F299" s="139"/>
      <c r="G299" s="17"/>
    </row>
    <row r="300" spans="1:8" ht="16.5" thickBot="1">
      <c r="A300" s="112">
        <f>SUM(A286:A299)</f>
        <v>201.35999999999981</v>
      </c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726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100</v>
      </c>
      <c r="C327" s="16" t="s">
        <v>794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'09'!A346+(B346-SUM(D346:F357))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737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736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/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234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797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'09'!A467+(B467-SUM(D467:F467))</f>
        <v>75.230000000000018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'09'!A468+(B468-SUM(D468:F468))</f>
        <v>213.4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288.63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3B82DF1F-E96A-4452-9E2C-CD7C4BA1429C}"/>
    <hyperlink ref="I2:L3" location="AÑO!AI4:AL5" display="SALDO REAL" xr:uid="{07C98433-F509-4514-978E-7232C4ED19FF}"/>
    <hyperlink ref="I22" location="Trimestre!C39:F40" display="TELÉFONO" xr:uid="{04F27F4E-DB77-453B-B700-4ACD2B893E94}"/>
    <hyperlink ref="I22:L23" location="AÑO!AI7:AL17" display="INGRESOS" xr:uid="{C98EE33F-2E01-4B3A-B0A0-6E2A846EDEC4}"/>
    <hyperlink ref="B2" location="Trimestre!C25:F26" display="HIPOTECA" xr:uid="{8DAD355D-9A36-4BAC-A0B6-84F23FA602D4}"/>
    <hyperlink ref="B2:G3" location="AÑO!AI20:AL20" display="AÑO!AI20:AL20" xr:uid="{8EDBA279-155A-47BE-9DCC-7498A6631C3C}"/>
    <hyperlink ref="B22" location="Trimestre!C25:F26" display="HIPOTECA" xr:uid="{91B0A05D-B833-4280-B21F-7F185BACECEF}"/>
    <hyperlink ref="B22:G23" location="AÑO!AI21:AL21" display="AÑO!AI21:AL21" xr:uid="{FBD6EEFD-A8CA-46BD-9B3A-009EDF6CCF71}"/>
    <hyperlink ref="B42" location="Trimestre!C25:F26" display="HIPOTECA" xr:uid="{D38DFAE1-0668-4D5F-8530-EFD5AC0273E1}"/>
    <hyperlink ref="B42:G43" location="AÑO!AI22:AL22" display="AÑO!AI22:AL22" xr:uid="{7B2F706E-913F-4FBE-A6E3-E9865A32EF4C}"/>
    <hyperlink ref="B62" location="Trimestre!C25:F26" display="HIPOTECA" xr:uid="{13750E3E-4977-41DD-9701-887BC948987C}"/>
    <hyperlink ref="B62:G63" location="AÑO!AI23:AL23" display="AÑO!AI23:AL23" xr:uid="{CB475850-CB8A-48BE-87C6-1CAE52599F55}"/>
    <hyperlink ref="B82" location="Trimestre!C25:F26" display="HIPOTECA" xr:uid="{4CC334BE-7C26-48F9-8F8F-4D5FA0E5D46D}"/>
    <hyperlink ref="B82:G83" location="AÑO!AI24:AL24" display="AÑO!AI24:AL24" xr:uid="{8BD21062-45FB-4B29-91BB-3E123D060CFF}"/>
    <hyperlink ref="B102" location="Trimestre!C25:F26" display="HIPOTECA" xr:uid="{38853D38-2AB5-4BA5-BF5B-F71C95824F7D}"/>
    <hyperlink ref="B102:G103" location="AÑO!AI25:AL25" display="AÑO!AI25:AL25" xr:uid="{0BF67B5C-574A-4785-89CD-F3061FAA9140}"/>
    <hyperlink ref="B122" location="Trimestre!C25:F26" display="HIPOTECA" xr:uid="{278662EB-1770-4703-9974-2746A6472775}"/>
    <hyperlink ref="B122:G123" location="AÑO!AI26:AL26" display="AÑO!AI26:AL26" xr:uid="{FB7D536D-186A-4771-8799-770620951559}"/>
    <hyperlink ref="B142" location="Trimestre!C25:F26" display="HIPOTECA" xr:uid="{F9F11EC4-9BAD-4C06-8000-2E324089BDD6}"/>
    <hyperlink ref="B142:G143" location="AÑO!AI27:AL27" display="AÑO!AI27:AL27" xr:uid="{A35AFAF7-8665-4479-AD07-4986BAEF561B}"/>
    <hyperlink ref="B162" location="Trimestre!C25:F26" display="HIPOTECA" xr:uid="{B99FA8C3-8CCE-4FB0-BD09-8E5322EB5E0A}"/>
    <hyperlink ref="B162:G163" location="AÑO!AI28:AL28" display="AÑO!AI28:AL28" xr:uid="{0F906586-6E3D-4E1E-A757-F585EC426660}"/>
    <hyperlink ref="B182" location="Trimestre!C25:F26" display="HIPOTECA" xr:uid="{0848DC06-1238-4D95-9FA2-520D5918F81B}"/>
    <hyperlink ref="B182:G183" location="AÑO!AI29:AL29" display="AÑO!AI29:AL29" xr:uid="{86F7B929-6CA2-44B2-BB2A-88B8BBA09FE6}"/>
    <hyperlink ref="B202" location="Trimestre!C25:F26" display="HIPOTECA" xr:uid="{CF051C7E-1418-4923-8A50-9437192538EA}"/>
    <hyperlink ref="B202:G203" location="AÑO!AI30:AL30" display="AÑO!AI30:AL30" xr:uid="{89E77391-5B43-4A62-9A90-5D1EA1F04B5A}"/>
    <hyperlink ref="B222" location="Trimestre!C25:F26" display="HIPOTECA" xr:uid="{A29263BE-5C59-4495-8607-0E1619BAA053}"/>
    <hyperlink ref="B222:G223" location="AÑO!AI31:AL31" display="AÑO!AI31:AL31" xr:uid="{E8A1D209-E2BF-4D8B-A24F-8B41EFD27A47}"/>
    <hyperlink ref="B242" location="Trimestre!C25:F26" display="HIPOTECA" xr:uid="{FC252FB4-1FED-450A-ABC9-2D7FD5BE209E}"/>
    <hyperlink ref="B242:G243" location="AÑO!AI32:AL32" display="AÑO!AI32:AL32" xr:uid="{6EC24824-DB34-42F6-93C4-53C2A096B36F}"/>
    <hyperlink ref="B262" location="Trimestre!C25:F26" display="HIPOTECA" xr:uid="{60D4D80E-05E4-4B95-9954-0682801D070E}"/>
    <hyperlink ref="B262:G263" location="AÑO!AI33:AL33" display="AÑO!AI33:AL33" xr:uid="{01435681-20A9-460F-8AB0-BCBA528A805A}"/>
    <hyperlink ref="B282" location="Trimestre!C25:F26" display="HIPOTECA" xr:uid="{304BAA6E-C5F7-4952-BE36-967A31A23076}"/>
    <hyperlink ref="B282:G283" location="AÑO!AI34:AL34" display="AÑO!AI34:AL34" xr:uid="{95D3ECAA-0F32-4F1D-BC49-1DC14DEFCD9A}"/>
    <hyperlink ref="B302" location="Trimestre!C25:F26" display="HIPOTECA" xr:uid="{2A9018F2-1B0B-4EB4-8A1C-171B96116931}"/>
    <hyperlink ref="B302:G303" location="AÑO!AI35:AL35" display="AÑO!AI35:AL35" xr:uid="{F776509A-606B-4D04-AE57-3FBA37DA929F}"/>
    <hyperlink ref="B322" location="Trimestre!C25:F26" display="HIPOTECA" xr:uid="{D0632158-B6E0-4604-9002-6AC4102DA746}"/>
    <hyperlink ref="B322:G323" location="AÑO!AI36:AL36" display="AÑO!AI36:AL36" xr:uid="{BE824F08-671D-4082-8635-19FBAD9F5B92}"/>
    <hyperlink ref="B342" location="Trimestre!C25:F26" display="HIPOTECA" xr:uid="{F2441972-823B-4AD0-852A-7DC607E84603}"/>
    <hyperlink ref="B342:G343" location="AÑO!AI37:AL37" display="AÑO!AI37:AL37" xr:uid="{60AD11BC-3E50-4B67-9F93-45BF6BA64895}"/>
    <hyperlink ref="B362" location="Trimestre!C25:F26" display="HIPOTECA" xr:uid="{CBF2A362-CFC5-4231-95A2-484F3230F337}"/>
    <hyperlink ref="B362:G363" location="AÑO!AI38:AL38" display="AÑO!AI38:AL38" xr:uid="{F0697011-FDEC-4888-B665-B3EBC1345ACC}"/>
    <hyperlink ref="B382" location="Trimestre!C25:F26" display="HIPOTECA" xr:uid="{2E7E955D-5087-4AEA-BB61-E59CF8CE3775}"/>
    <hyperlink ref="B382:G383" location="AÑO!AI39:AL39" display="AÑO!AI39:AL39" xr:uid="{DDE3EC76-D5FF-4019-8D22-3DBFCC30A714}"/>
    <hyperlink ref="B402" location="Trimestre!C25:F26" display="HIPOTECA" xr:uid="{82ED9533-2635-46BC-A14B-CC7300A60B30}"/>
    <hyperlink ref="B402:G403" location="AÑO!AI40:AL40" display="AÑO!AI40:AL40" xr:uid="{91581741-C693-4911-9A47-E0A17A710913}"/>
    <hyperlink ref="B422" location="Trimestre!C25:F26" display="HIPOTECA" xr:uid="{62380196-FAD1-4B7B-B82E-BE6858DEDA08}"/>
    <hyperlink ref="B422:G423" location="AÑO!AI41:AL41" display="AÑO!AI41:AL41" xr:uid="{C5B4D35B-6BA7-41DE-BF5F-CE64DCDAE700}"/>
    <hyperlink ref="B442" location="Trimestre!C25:F26" display="HIPOTECA" xr:uid="{99995857-D66E-4658-BC71-ECCF97C3524A}"/>
    <hyperlink ref="B442:G443" location="AÑO!AI42:AL42" display="AÑO!AI42:AL42" xr:uid="{11DD4323-62E7-4A8A-A701-B81C865C9FCD}"/>
    <hyperlink ref="B462" location="Trimestre!C25:F26" display="HIPOTECA" xr:uid="{BB984A45-92BE-49AC-B960-A686DA8B59D0}"/>
    <hyperlink ref="B462:G463" location="AÑO!AI43:AL43" display="AÑO!AI43:AL43" xr:uid="{8CAFA8E1-6BC0-49E0-8B74-8942882CDFD0}"/>
    <hyperlink ref="B482" location="Trimestre!C25:F26" display="HIPOTECA" xr:uid="{F6DB1CE1-BC90-469F-90C8-2209F90A179C}"/>
    <hyperlink ref="B482:G483" location="AÑO!AI44:AL44" display="AÑO!AI44:AL44" xr:uid="{5796F1A1-9692-4D9A-A62C-46569C5D6C97}"/>
    <hyperlink ref="B502" location="Trimestre!C25:F26" display="HIPOTECA" xr:uid="{FAD1BE32-F71E-463C-B4A5-C542DD92D3EB}"/>
    <hyperlink ref="B502:G503" location="AÑO!AI45:AL45" display="AÑO!AI45:AL45" xr:uid="{54A1F79B-5171-4D07-9E37-20CA23B9BDEB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G15" sqref="G15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31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/>
      <c r="L5" s="425"/>
      <c r="M5" s="1"/>
      <c r="N5" s="1"/>
      <c r="R5" s="3"/>
    </row>
    <row r="6" spans="1:22" ht="15.75">
      <c r="A6" s="112">
        <f>'10'!A6+(B6-SUM(D6:F6))</f>
        <v>1211.75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6">
        <v>550</v>
      </c>
      <c r="L6" s="427"/>
      <c r="M6" s="1" t="s">
        <v>165</v>
      </c>
      <c r="N6" s="1"/>
      <c r="R6" s="3"/>
    </row>
    <row r="7" spans="1:22" ht="15.75">
      <c r="A7" s="112">
        <f>'10'!A7+(B7-SUM(D7:F7))</f>
        <v>441.75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6"/>
      <c r="L7" s="427"/>
      <c r="M7" s="1"/>
      <c r="N7" s="1"/>
      <c r="R7" s="3"/>
    </row>
    <row r="8" spans="1:22" ht="15.75">
      <c r="A8" s="112">
        <f>'10'!A8+(B8-SUM(D8:F8))</f>
        <v>-103.66999999999999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6">
        <v>7000</v>
      </c>
      <c r="L8" s="427"/>
      <c r="M8" s="1"/>
      <c r="N8" s="1"/>
      <c r="R8" s="3"/>
    </row>
    <row r="9" spans="1:22" ht="15.75">
      <c r="A9" s="112">
        <f>'10'!A9+(B9-SUM(D9:F9))</f>
        <v>-22.59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6">
        <v>659.77</v>
      </c>
      <c r="L9" s="427"/>
      <c r="M9" s="1"/>
      <c r="N9" s="1"/>
      <c r="R9" s="3"/>
    </row>
    <row r="10" spans="1:22" ht="15.75">
      <c r="A10" s="112">
        <f>'10'!A10+(B10-SUM(D10:F10))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6">
        <v>1800.04</v>
      </c>
      <c r="L10" s="427"/>
      <c r="M10" s="1" t="s">
        <v>156</v>
      </c>
      <c r="N10" s="1"/>
      <c r="R10" s="3"/>
    </row>
    <row r="11" spans="1:22" ht="15.75">
      <c r="A11" s="112">
        <f>'10'!A11+(B11-SUM(D11:F11))</f>
        <v>90.69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6"/>
      <c r="L11" s="427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v>5092.08</v>
      </c>
      <c r="L12" s="427"/>
      <c r="M12" s="92"/>
      <c r="N12" s="1"/>
      <c r="R12" s="3"/>
    </row>
    <row r="13" spans="1:22" ht="15.75">
      <c r="A13" s="112">
        <f>'10'!A13+(B13-SUM(D13:F13))</f>
        <v>57.5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2">
        <f>SUM(K5:K18)</f>
        <v>15101.890000000001</v>
      </c>
      <c r="L19" s="433"/>
      <c r="M19" s="1"/>
      <c r="N19" s="1"/>
      <c r="R19" s="3"/>
    </row>
    <row r="20" spans="1:18" ht="16.5" thickBot="1">
      <c r="A20" s="112">
        <f>SUM(A6:A15)</f>
        <v>2036.47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31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/>
      <c r="K25" s="407"/>
      <c r="L25" s="198"/>
      <c r="M25" s="1"/>
      <c r="R25" s="3"/>
    </row>
    <row r="26" spans="1:18" ht="15.75">
      <c r="A26" s="112">
        <f>'10'!A26+(B26-SUM(D26:F26))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4"/>
      <c r="J26" s="408"/>
      <c r="K26" s="409"/>
      <c r="L26" s="199"/>
      <c r="M26" s="1"/>
      <c r="R26" s="3"/>
    </row>
    <row r="27" spans="1:18" ht="15.75">
      <c r="A27" s="112">
        <f>'10'!A27+(B27-SUM(D27:F27))</f>
        <v>588.04999999999995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4"/>
      <c r="J27" s="408"/>
      <c r="K27" s="409"/>
      <c r="L27" s="199"/>
      <c r="M27" s="1"/>
      <c r="R27" s="3"/>
    </row>
    <row r="28" spans="1:18" ht="15.75">
      <c r="A28" s="112">
        <f>'10'!A28+(B28-SUM(D28:F28))</f>
        <v>214.11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199"/>
      <c r="M28" s="1"/>
      <c r="R28" s="3"/>
    </row>
    <row r="29" spans="1:18" ht="15.75">
      <c r="A29" s="112">
        <f>'10'!A29+(B29-SUM(D29:F29))</f>
        <v>55.580000000000005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2"/>
      <c r="J29" s="413"/>
      <c r="K29" s="414"/>
      <c r="L29" s="201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/>
      <c r="K30" s="407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/>
      <c r="K31" s="409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/>
      <c r="K32" s="409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/>
      <c r="K35" s="407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01"/>
      <c r="M39" s="1"/>
      <c r="R39" s="3"/>
    </row>
    <row r="40" spans="1:18" ht="16.5" thickBot="1">
      <c r="A40" s="112">
        <f>SUM(A26:A35)</f>
        <v>3744.0200000000004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/>
      <c r="K40" s="40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19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19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199"/>
      <c r="M43" s="1"/>
      <c r="R43" s="3"/>
    </row>
    <row r="44" spans="1:18" ht="15.75">
      <c r="A44" s="1"/>
      <c r="B44" s="429" t="s">
        <v>8</v>
      </c>
      <c r="C44" s="430"/>
      <c r="D44" s="431" t="s">
        <v>9</v>
      </c>
      <c r="E44" s="431"/>
      <c r="F44" s="431"/>
      <c r="G44" s="430"/>
      <c r="H44" s="1"/>
      <c r="I44" s="412"/>
      <c r="J44" s="413"/>
      <c r="K44" s="4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/>
      <c r="K45" s="407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4"/>
      <c r="J46" s="408"/>
      <c r="K46" s="409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4"/>
      <c r="J47" s="408"/>
      <c r="K47" s="409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4"/>
      <c r="J48" s="408"/>
      <c r="K48" s="409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2"/>
      <c r="J49" s="413"/>
      <c r="K49" s="414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3" t="str">
        <f>AÑO!A13</f>
        <v>Gubernamental</v>
      </c>
      <c r="J50" s="406"/>
      <c r="K50" s="407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4"/>
      <c r="J51" s="408"/>
      <c r="K51" s="409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4"/>
      <c r="J52" s="408"/>
      <c r="K52" s="409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4"/>
      <c r="J53" s="408"/>
      <c r="K53" s="409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2"/>
      <c r="J54" s="413"/>
      <c r="K54" s="414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3" t="str">
        <f>AÑO!A14</f>
        <v>Mutualite/DKV</v>
      </c>
      <c r="J55" s="406"/>
      <c r="K55" s="407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/>
      <c r="K56" s="40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/>
      <c r="K60" s="407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19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19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199"/>
      <c r="M63" s="1"/>
      <c r="R63" s="3"/>
    </row>
    <row r="64" spans="1:18" ht="15.75">
      <c r="A64" s="1"/>
      <c r="B64" s="429" t="s">
        <v>8</v>
      </c>
      <c r="C64" s="430"/>
      <c r="D64" s="431" t="s">
        <v>9</v>
      </c>
      <c r="E64" s="431"/>
      <c r="F64" s="431"/>
      <c r="G64" s="430"/>
      <c r="H64" s="1"/>
      <c r="I64" s="412"/>
      <c r="J64" s="413"/>
      <c r="K64" s="414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4"/>
      <c r="J66" s="408"/>
      <c r="K66" s="409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4"/>
      <c r="J67" s="408"/>
      <c r="K67" s="409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4"/>
      <c r="J68" s="408"/>
      <c r="K68" s="409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5"/>
      <c r="J69" s="410"/>
      <c r="K69" s="411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31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211.11000000000004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3383.2400000000016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1411.15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31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31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2:7" ht="15" customHeight="1" thickBot="1">
      <c r="B243" s="419"/>
      <c r="C243" s="420"/>
      <c r="D243" s="420"/>
      <c r="E243" s="420"/>
      <c r="F243" s="420"/>
      <c r="G243" s="421"/>
    </row>
    <row r="244" spans="2:7" ht="15" customHeight="1">
      <c r="B244" s="429" t="s">
        <v>8</v>
      </c>
      <c r="C244" s="430"/>
      <c r="D244" s="431" t="s">
        <v>9</v>
      </c>
      <c r="E244" s="431"/>
      <c r="F244" s="431"/>
      <c r="G244" s="430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2:7" ht="15" customHeight="1" thickBot="1">
      <c r="B263" s="419"/>
      <c r="C263" s="420"/>
      <c r="D263" s="420"/>
      <c r="E263" s="420"/>
      <c r="F263" s="420"/>
      <c r="G263" s="421"/>
    </row>
    <row r="264" spans="2:7">
      <c r="B264" s="429" t="s">
        <v>8</v>
      </c>
      <c r="C264" s="430"/>
      <c r="D264" s="431" t="s">
        <v>9</v>
      </c>
      <c r="E264" s="431"/>
      <c r="F264" s="431"/>
      <c r="G264" s="430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31" t="s">
        <v>9</v>
      </c>
      <c r="E284" s="431"/>
      <c r="F284" s="431"/>
      <c r="G284" s="4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31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17"/>
      <c r="D322" s="417"/>
      <c r="E322" s="417"/>
      <c r="F322" s="417"/>
      <c r="G322" s="418"/>
    </row>
    <row r="323" spans="2:7" ht="15" customHeight="1" thickBot="1">
      <c r="B323" s="419"/>
      <c r="C323" s="420"/>
      <c r="D323" s="420"/>
      <c r="E323" s="420"/>
      <c r="F323" s="420"/>
      <c r="G323" s="421"/>
    </row>
    <row r="324" spans="2:7">
      <c r="B324" s="429" t="s">
        <v>8</v>
      </c>
      <c r="C324" s="430"/>
      <c r="D324" s="431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31" t="s">
        <v>9</v>
      </c>
      <c r="E344" s="431"/>
      <c r="F344" s="431"/>
      <c r="G344" s="4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31" t="s">
        <v>9</v>
      </c>
      <c r="E364" s="431"/>
      <c r="F364" s="431"/>
      <c r="G364" s="4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17"/>
      <c r="D382" s="417"/>
      <c r="E382" s="417"/>
      <c r="F382" s="417"/>
      <c r="G382" s="418"/>
    </row>
    <row r="383" spans="2:7" ht="15" customHeight="1" thickBot="1">
      <c r="B383" s="419"/>
      <c r="C383" s="420"/>
      <c r="D383" s="420"/>
      <c r="E383" s="420"/>
      <c r="F383" s="420"/>
      <c r="G383" s="421"/>
    </row>
    <row r="384" spans="2:7">
      <c r="B384" s="429" t="s">
        <v>8</v>
      </c>
      <c r="C384" s="430"/>
      <c r="D384" s="431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31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31" t="s">
        <v>9</v>
      </c>
      <c r="E424" s="431"/>
      <c r="F424" s="431"/>
      <c r="G424" s="430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25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'10'!A467+(B467-SUM(D467:F467))</f>
        <v>95.230000000000018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'10'!A468+(B468-SUM(D468:F468))</f>
        <v>218.4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338.63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31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13" workbookViewId="0">
      <selection activeCell="F473" sqref="F47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31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/>
      <c r="L5" s="425"/>
      <c r="M5" s="1"/>
      <c r="N5" s="1"/>
      <c r="R5" s="3"/>
    </row>
    <row r="6" spans="1:22" ht="15.75">
      <c r="A6" s="112">
        <f>'11'!A6+(B6-SUM(D6:F6))</f>
        <v>1611.34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6">
        <v>550</v>
      </c>
      <c r="L6" s="427"/>
      <c r="M6" s="1" t="s">
        <v>165</v>
      </c>
      <c r="N6" s="1"/>
      <c r="R6" s="3"/>
    </row>
    <row r="7" spans="1:22" ht="15.75">
      <c r="A7" s="112">
        <f>'11'!A7+(B7-SUM(D7:F7))</f>
        <v>511.93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6"/>
      <c r="L7" s="427"/>
      <c r="M7" s="1"/>
      <c r="N7" s="1"/>
      <c r="R7" s="3"/>
    </row>
    <row r="8" spans="1:22" ht="15.75">
      <c r="A8" s="112">
        <f>'11'!A8+(B8-SUM(D8:F8))</f>
        <v>-103.66999999999999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6">
        <v>7000</v>
      </c>
      <c r="L8" s="427"/>
      <c r="M8" s="1"/>
      <c r="N8" s="1"/>
      <c r="R8" s="3"/>
    </row>
    <row r="9" spans="1:22" ht="15.75">
      <c r="A9" s="112">
        <f>'11'!A9+(B9-SUM(D9:F9))</f>
        <v>-22.59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6">
        <v>659.77</v>
      </c>
      <c r="L9" s="427"/>
      <c r="M9" s="1"/>
      <c r="N9" s="1"/>
      <c r="R9" s="3"/>
    </row>
    <row r="10" spans="1:22" ht="15.75">
      <c r="A10" s="112">
        <f>'11'!A10+(B10-SUM(D10:F10))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6">
        <v>1800.04</v>
      </c>
      <c r="L10" s="427"/>
      <c r="M10" s="1" t="s">
        <v>156</v>
      </c>
      <c r="N10" s="1"/>
      <c r="R10" s="3"/>
    </row>
    <row r="11" spans="1:22" ht="15.75">
      <c r="A11" s="112">
        <f>'11'!A11+(B11-SUM(D11:F11))</f>
        <v>120.92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6"/>
      <c r="L11" s="427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v>5092.08</v>
      </c>
      <c r="L12" s="427"/>
      <c r="M12" s="92"/>
      <c r="N12" s="1"/>
      <c r="R12" s="3"/>
    </row>
    <row r="13" spans="1:22" ht="15.75">
      <c r="A13" s="112">
        <f>'11'!A13+(B13-SUM(D13:F13))</f>
        <v>64.5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2">
        <f>SUM(K5:K18)</f>
        <v>15101.890000000001</v>
      </c>
      <c r="L19" s="433"/>
      <c r="M19" s="1"/>
      <c r="N19" s="1"/>
      <c r="R19" s="3"/>
    </row>
    <row r="20" spans="1:18" ht="16.5" thickBot="1">
      <c r="A20" s="112">
        <f>SUM(A6:A15)</f>
        <v>2580.4700000000003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31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/>
      <c r="K25" s="407"/>
      <c r="L25" s="198"/>
      <c r="M25" s="1"/>
      <c r="R25" s="3"/>
    </row>
    <row r="26" spans="1:18" ht="15.75">
      <c r="A26" s="112">
        <f>'11'!A26+(B26-SUM(D26:F26))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4"/>
      <c r="J26" s="408"/>
      <c r="K26" s="409"/>
      <c r="L26" s="199"/>
      <c r="M26" s="1"/>
      <c r="R26" s="3"/>
    </row>
    <row r="27" spans="1:18" ht="15.75">
      <c r="A27" s="112">
        <f>'11'!A27+(B27-SUM(D27:F27))</f>
        <v>758.05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4"/>
      <c r="J27" s="408"/>
      <c r="K27" s="409"/>
      <c r="L27" s="199"/>
      <c r="M27" s="1"/>
      <c r="R27" s="3"/>
    </row>
    <row r="28" spans="1:18" ht="15.75">
      <c r="A28" s="112">
        <f>'11'!A28+(B28-SUM(D28:F28))</f>
        <v>254.11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199"/>
      <c r="M28" s="1"/>
      <c r="R28" s="3"/>
    </row>
    <row r="29" spans="1:18" ht="15.75">
      <c r="A29" s="112">
        <f>'11'!A29+(B29-SUM(D29:F29))</f>
        <v>73.580000000000013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2"/>
      <c r="J29" s="413"/>
      <c r="K29" s="414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/>
      <c r="K30" s="407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/>
      <c r="K31" s="409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/>
      <c r="K32" s="409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/>
      <c r="K35" s="407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01"/>
      <c r="M39" s="1"/>
      <c r="R39" s="3"/>
    </row>
    <row r="40" spans="1:18" ht="16.5" thickBot="1">
      <c r="A40" s="112">
        <f>SUM(A26:A35)</f>
        <v>4872.0199999999995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/>
      <c r="K40" s="40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19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19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199"/>
      <c r="M43" s="1"/>
      <c r="R43" s="3"/>
    </row>
    <row r="44" spans="1:18" ht="15.75">
      <c r="A44" s="1"/>
      <c r="B44" s="429" t="s">
        <v>8</v>
      </c>
      <c r="C44" s="430"/>
      <c r="D44" s="431" t="s">
        <v>9</v>
      </c>
      <c r="E44" s="431"/>
      <c r="F44" s="431"/>
      <c r="G44" s="430"/>
      <c r="H44" s="1"/>
      <c r="I44" s="412"/>
      <c r="J44" s="413"/>
      <c r="K44" s="4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/>
      <c r="K45" s="407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4"/>
      <c r="J46" s="408"/>
      <c r="K46" s="409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4"/>
      <c r="J47" s="408"/>
      <c r="K47" s="409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4"/>
      <c r="J48" s="408"/>
      <c r="K48" s="409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2"/>
      <c r="J49" s="413"/>
      <c r="K49" s="414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3" t="str">
        <f>AÑO!A13</f>
        <v>Gubernamental</v>
      </c>
      <c r="J50" s="406"/>
      <c r="K50" s="407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4"/>
      <c r="J51" s="408"/>
      <c r="K51" s="409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4"/>
      <c r="J52" s="408"/>
      <c r="K52" s="409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4"/>
      <c r="J53" s="408"/>
      <c r="K53" s="409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2"/>
      <c r="J54" s="413"/>
      <c r="K54" s="414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3" t="str">
        <f>AÑO!A14</f>
        <v>Mutualite/DKV</v>
      </c>
      <c r="J55" s="406"/>
      <c r="K55" s="407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/>
      <c r="K56" s="40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/>
      <c r="K60" s="407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19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19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199"/>
      <c r="M63" s="1"/>
      <c r="R63" s="3"/>
    </row>
    <row r="64" spans="1:18" ht="15.75">
      <c r="A64" s="1"/>
      <c r="B64" s="429" t="s">
        <v>8</v>
      </c>
      <c r="C64" s="430"/>
      <c r="D64" s="431" t="s">
        <v>9</v>
      </c>
      <c r="E64" s="431"/>
      <c r="F64" s="431"/>
      <c r="G64" s="430"/>
      <c r="H64" s="1"/>
      <c r="I64" s="412"/>
      <c r="J64" s="413"/>
      <c r="K64" s="414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4"/>
      <c r="J66" s="408"/>
      <c r="K66" s="409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4"/>
      <c r="J67" s="408"/>
      <c r="K67" s="409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4"/>
      <c r="J68" s="408"/>
      <c r="K68" s="409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5"/>
      <c r="J69" s="410"/>
      <c r="K69" s="411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31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282.11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3408.7700000000018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1790.62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31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31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2:7" ht="15" customHeight="1" thickBot="1">
      <c r="B243" s="419"/>
      <c r="C243" s="420"/>
      <c r="D243" s="420"/>
      <c r="E243" s="420"/>
      <c r="F243" s="420"/>
      <c r="G243" s="421"/>
    </row>
    <row r="244" spans="2:7" ht="15" customHeight="1">
      <c r="B244" s="429" t="s">
        <v>8</v>
      </c>
      <c r="C244" s="430"/>
      <c r="D244" s="431" t="s">
        <v>9</v>
      </c>
      <c r="E244" s="431"/>
      <c r="F244" s="431"/>
      <c r="G244" s="430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2:7" ht="15" customHeight="1" thickBot="1">
      <c r="B263" s="419"/>
      <c r="C263" s="420"/>
      <c r="D263" s="420"/>
      <c r="E263" s="420"/>
      <c r="F263" s="420"/>
      <c r="G263" s="421"/>
    </row>
    <row r="264" spans="2:7">
      <c r="B264" s="429" t="s">
        <v>8</v>
      </c>
      <c r="C264" s="430"/>
      <c r="D264" s="431" t="s">
        <v>9</v>
      </c>
      <c r="E264" s="431"/>
      <c r="F264" s="431"/>
      <c r="G264" s="430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31" t="s">
        <v>9</v>
      </c>
      <c r="E284" s="431"/>
      <c r="F284" s="431"/>
      <c r="G284" s="4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31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17"/>
      <c r="D322" s="417"/>
      <c r="E322" s="417"/>
      <c r="F322" s="417"/>
      <c r="G322" s="418"/>
    </row>
    <row r="323" spans="2:7" ht="15" customHeight="1" thickBot="1">
      <c r="B323" s="419"/>
      <c r="C323" s="420"/>
      <c r="D323" s="420"/>
      <c r="E323" s="420"/>
      <c r="F323" s="420"/>
      <c r="G323" s="421"/>
    </row>
    <row r="324" spans="2:7">
      <c r="B324" s="429" t="s">
        <v>8</v>
      </c>
      <c r="C324" s="430"/>
      <c r="D324" s="431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31" t="s">
        <v>9</v>
      </c>
      <c r="E344" s="431"/>
      <c r="F344" s="431"/>
      <c r="G344" s="4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31" t="s">
        <v>9</v>
      </c>
      <c r="E364" s="431"/>
      <c r="F364" s="431"/>
      <c r="G364" s="4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17"/>
      <c r="D382" s="417"/>
      <c r="E382" s="417"/>
      <c r="F382" s="417"/>
      <c r="G382" s="418"/>
    </row>
    <row r="383" spans="2:7" ht="15" customHeight="1" thickBot="1">
      <c r="B383" s="419"/>
      <c r="C383" s="420"/>
      <c r="D383" s="420"/>
      <c r="E383" s="420"/>
      <c r="F383" s="420"/>
      <c r="G383" s="421"/>
    </row>
    <row r="384" spans="2:7">
      <c r="B384" s="429" t="s">
        <v>8</v>
      </c>
      <c r="C384" s="430"/>
      <c r="D384" s="431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31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31" t="s">
        <v>9</v>
      </c>
      <c r="E424" s="431"/>
      <c r="F424" s="431"/>
      <c r="G424" s="430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50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'11'!A467+(B467-SUM(D467:F467))</f>
        <v>115.23000000000002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'11'!A468+(B468-SUM(D468:F468))</f>
        <v>223.4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388.63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31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16" workbookViewId="0">
      <selection activeCell="I28" sqref="I28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9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9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9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9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  <c r="G20">
        <f>9486.92-I20</f>
        <v>6086.8600000000006</v>
      </c>
      <c r="H20">
        <v>67.53</v>
      </c>
      <c r="I20">
        <v>3400.06</v>
      </c>
    </row>
    <row r="21" spans="2:9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  <c r="G21">
        <f>G20-H$20</f>
        <v>6019.3300000000008</v>
      </c>
    </row>
    <row r="22" spans="2:9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148</v>
      </c>
      <c r="G22">
        <f t="shared" ref="G22:G63" si="3">G21-H$20</f>
        <v>5951.8000000000011</v>
      </c>
    </row>
    <row r="23" spans="2:9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148</v>
      </c>
      <c r="G23">
        <f t="shared" si="3"/>
        <v>5884.2700000000013</v>
      </c>
    </row>
    <row r="24" spans="2:9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148</v>
      </c>
      <c r="G24">
        <f t="shared" si="3"/>
        <v>5816.7400000000016</v>
      </c>
    </row>
    <row r="25" spans="2:9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5749.2100000000019</v>
      </c>
    </row>
    <row r="26" spans="2:9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5681.6800000000021</v>
      </c>
    </row>
    <row r="27" spans="2:9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5614.1500000000024</v>
      </c>
    </row>
    <row r="28" spans="2:9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5546.6200000000026</v>
      </c>
    </row>
    <row r="29" spans="2:9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5479.0900000000029</v>
      </c>
    </row>
    <row r="30" spans="2:9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5411.5600000000031</v>
      </c>
    </row>
    <row r="31" spans="2:9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5344.0300000000034</v>
      </c>
    </row>
    <row r="32" spans="2:9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5276.5000000000036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5208.9700000000039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5141.4400000000041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5073.9100000000044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5006.3800000000047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4938.8500000000049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4871.3200000000052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4803.7900000000054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4736.2600000000057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4668.7300000000059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4601.2000000000062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4533.6700000000064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4466.1400000000067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4398.6100000000069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4331.0800000000072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4263.5500000000075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4196.0200000000077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4128.490000000008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4060.9600000000078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3993.4300000000076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3925.9000000000074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3858.3700000000072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3790.840000000007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3723.3100000000068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3655.7800000000066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3588.2500000000064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3520.7200000000062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3453.190000000006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3385.6600000000058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3318.1300000000056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3250.6000000000054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3183.0700000000052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8"/>
  <sheetViews>
    <sheetView workbookViewId="0">
      <selection activeCell="H13" sqref="H13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89</v>
      </c>
      <c r="B2" s="42"/>
      <c r="C2" s="114"/>
      <c r="E2" s="42"/>
    </row>
    <row r="3" spans="1:14" ht="12.75" customHeight="1">
      <c r="A3" t="s">
        <v>180</v>
      </c>
      <c r="B3" s="114">
        <f>Historico!I25</f>
        <v>43739</v>
      </c>
      <c r="D3" s="44"/>
      <c r="E3" s="45"/>
    </row>
    <row r="4" spans="1:14" ht="12.75" customHeight="1">
      <c r="A4" t="s">
        <v>179</v>
      </c>
      <c r="B4" s="119">
        <v>127806.25</v>
      </c>
      <c r="C4" s="114"/>
      <c r="E4" s="41"/>
    </row>
    <row r="5" spans="1:14" ht="12.75" customHeight="1">
      <c r="A5" t="s">
        <v>90</v>
      </c>
      <c r="B5" s="46">
        <f>Historico!H83</f>
        <v>335</v>
      </c>
      <c r="E5" s="42"/>
      <c r="J5" s="47" t="s">
        <v>91</v>
      </c>
      <c r="L5" s="44" t="s">
        <v>92</v>
      </c>
      <c r="M5" t="s">
        <v>93</v>
      </c>
      <c r="N5" t="s">
        <v>768</v>
      </c>
    </row>
    <row r="6" spans="1:14" ht="12.75" customHeight="1">
      <c r="A6" t="s">
        <v>94</v>
      </c>
      <c r="B6" s="48">
        <f>E19</f>
        <v>-0.35599999999999998</v>
      </c>
      <c r="C6" s="44" t="s">
        <v>95</v>
      </c>
      <c r="D6" s="43" t="s">
        <v>96</v>
      </c>
      <c r="E6" s="42"/>
      <c r="J6" t="s">
        <v>97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98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183</v>
      </c>
      <c r="E8" s="50">
        <f>(B6+0.5)/12</f>
        <v>1.2000000000000002E-2</v>
      </c>
      <c r="J8" t="s">
        <v>99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310</v>
      </c>
      <c r="B9" s="114">
        <v>54117</v>
      </c>
      <c r="D9" t="s">
        <v>100</v>
      </c>
      <c r="E9" s="50">
        <f>1+(E8/100)</f>
        <v>1.0001199999999999</v>
      </c>
      <c r="J9" t="s">
        <v>101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102</v>
      </c>
      <c r="E10" s="50">
        <f>E9^-B5</f>
        <v>0.96059961725716858</v>
      </c>
      <c r="J10" t="s">
        <v>103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104</v>
      </c>
      <c r="B11" s="42"/>
      <c r="D11" t="s">
        <v>105</v>
      </c>
      <c r="E11" s="50">
        <f>100*(1-E10)</f>
        <v>3.9400382742831419</v>
      </c>
      <c r="J11" t="s">
        <v>106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107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108</v>
      </c>
      <c r="B14" s="55">
        <f>B4*(E8/100)</f>
        <v>15.336750000000002</v>
      </c>
      <c r="E14" s="42"/>
    </row>
    <row r="15" spans="1:14" ht="12.75" customHeight="1">
      <c r="A15" t="s">
        <v>109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-0.35599999999999998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115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E32" s="42"/>
      <c r="F32">
        <v>16</v>
      </c>
      <c r="G32" s="57">
        <v>0</v>
      </c>
    </row>
    <row r="33" spans="2:7" ht="12.75" customHeight="1"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workbookViewId="0">
      <selection activeCell="C25" sqref="C25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>K24-J24</f>
        <v>-126635.79</v>
      </c>
      <c r="M24" s="72">
        <f t="shared" ref="M24" si="9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0">D25-D24</f>
        <v>-13.819999999999993</v>
      </c>
      <c r="G25" s="68">
        <f t="shared" si="0"/>
        <v>2335.56</v>
      </c>
      <c r="I25" s="79">
        <f t="shared" si="4"/>
        <v>43739</v>
      </c>
      <c r="J25" s="128"/>
      <c r="K25" s="127"/>
      <c r="L25" s="127"/>
      <c r="M25" s="72"/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1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2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3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2"/>
        <v>6</v>
      </c>
      <c r="I28" s="79">
        <f t="shared" si="4"/>
        <v>44287</v>
      </c>
      <c r="J28" s="128"/>
      <c r="K28" s="127"/>
      <c r="L28" s="127"/>
      <c r="M28" s="72"/>
      <c r="O28">
        <f t="shared" si="13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2"/>
        <v>6</v>
      </c>
      <c r="I29" s="79">
        <f t="shared" si="4"/>
        <v>44470</v>
      </c>
      <c r="J29" s="128"/>
      <c r="K29" s="127"/>
      <c r="L29" s="127"/>
      <c r="M29" s="72"/>
      <c r="O29">
        <f t="shared" si="13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2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2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2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2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2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2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2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2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2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2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2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2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2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2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2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2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2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2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2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2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2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2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2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2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2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2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2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2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2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2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2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2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2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2"/>
        <v>6</v>
      </c>
      <c r="I63" s="79">
        <f t="shared" ref="I63:I81" si="14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2"/>
        <v>6</v>
      </c>
      <c r="I64" s="79">
        <f t="shared" si="14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2"/>
        <v>6</v>
      </c>
      <c r="I65" s="79">
        <f t="shared" si="14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2"/>
        <v>6</v>
      </c>
      <c r="I66" s="79">
        <f t="shared" si="14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2"/>
        <v>6</v>
      </c>
      <c r="I67" s="79">
        <f t="shared" si="14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2"/>
        <v>6</v>
      </c>
      <c r="I68" s="79">
        <f t="shared" si="14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2"/>
        <v>6</v>
      </c>
      <c r="I69" s="79">
        <f t="shared" si="14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2"/>
        <v>6</v>
      </c>
      <c r="I70" s="79">
        <f t="shared" si="14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2"/>
        <v>6</v>
      </c>
      <c r="I71" s="79">
        <f t="shared" si="14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2"/>
        <v>6</v>
      </c>
      <c r="I72" s="79">
        <f t="shared" si="14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2"/>
        <v>6</v>
      </c>
      <c r="I73" s="79">
        <f t="shared" si="14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2"/>
        <v>6</v>
      </c>
      <c r="I74" s="79">
        <f t="shared" si="14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2"/>
        <v>6</v>
      </c>
      <c r="I75" s="79">
        <f t="shared" si="14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2"/>
        <v>6</v>
      </c>
      <c r="I76" s="79">
        <f t="shared" si="14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2"/>
        <v>6</v>
      </c>
      <c r="I77" s="79">
        <f t="shared" si="14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2"/>
        <v>6</v>
      </c>
      <c r="I78" s="79">
        <f t="shared" si="14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2"/>
        <v>6</v>
      </c>
      <c r="I79" s="79">
        <f t="shared" si="14"/>
        <v>53601</v>
      </c>
      <c r="J79" s="128"/>
      <c r="K79" s="127"/>
      <c r="L79" s="127"/>
      <c r="M79" s="72"/>
    </row>
    <row r="80" spans="1:13" ht="12.75" customHeight="1">
      <c r="A80" s="120">
        <f t="shared" ref="A80:A81" si="15">EDATE(A79,6)</f>
        <v>53724</v>
      </c>
      <c r="B80" s="116"/>
      <c r="C80" s="71"/>
      <c r="D80" s="73"/>
      <c r="E80" s="72"/>
      <c r="H80">
        <f t="shared" si="12"/>
        <v>6</v>
      </c>
      <c r="I80" s="79">
        <f t="shared" si="14"/>
        <v>53783</v>
      </c>
      <c r="J80" s="128"/>
      <c r="K80" s="127"/>
      <c r="L80" s="127"/>
      <c r="M80" s="72"/>
    </row>
    <row r="81" spans="1:13" ht="12.75" customHeight="1">
      <c r="A81" s="120">
        <f t="shared" si="15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4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-5756.1722727272727</v>
      </c>
    </row>
    <row r="85" spans="1:13">
      <c r="E85" t="s">
        <v>125</v>
      </c>
      <c r="G85" s="68">
        <f>SUM(G2:G82)</f>
        <v>70882.595055588739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E11D-5963-4199-8F64-38CC95B2FD67}">
  <dimension ref="A1:AB78"/>
  <sheetViews>
    <sheetView topLeftCell="J19" workbookViewId="0">
      <selection activeCell="P33" sqref="P33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7" max="17" width="12.85546875" customWidth="1"/>
    <col min="18" max="18" width="34.42578125" customWidth="1"/>
    <col min="19" max="19" width="23.85546875" customWidth="1"/>
    <col min="20" max="20" width="15.140625" customWidth="1"/>
    <col min="21" max="21" width="24.140625" customWidth="1"/>
    <col min="22" max="22" width="12" bestFit="1" customWidth="1"/>
    <col min="23" max="23" width="14.7109375" customWidth="1"/>
    <col min="24" max="24" width="16" customWidth="1"/>
    <col min="27" max="27" width="12.7109375" bestFit="1" customWidth="1"/>
    <col min="28" max="28" width="16.140625" customWidth="1"/>
    <col min="29" max="29" width="15.28515625" customWidth="1"/>
    <col min="30" max="30" width="12.7109375" bestFit="1" customWidth="1"/>
  </cols>
  <sheetData>
    <row r="1" spans="1:26">
      <c r="A1" s="240" t="s">
        <v>501</v>
      </c>
      <c r="B1" s="240"/>
      <c r="C1" s="241"/>
      <c r="D1" s="320"/>
      <c r="E1" s="242"/>
      <c r="F1" s="243" t="s">
        <v>502</v>
      </c>
      <c r="G1" s="244"/>
      <c r="H1" s="244"/>
      <c r="I1" s="244"/>
      <c r="J1" s="244"/>
      <c r="K1" s="245" t="s">
        <v>503</v>
      </c>
      <c r="L1" s="246"/>
      <c r="M1" s="246"/>
      <c r="N1" s="247"/>
      <c r="O1" s="248" t="s">
        <v>5</v>
      </c>
      <c r="P1" s="249"/>
      <c r="Q1" s="250"/>
      <c r="R1" s="251"/>
    </row>
    <row r="2" spans="1:26">
      <c r="A2" s="252" t="s">
        <v>504</v>
      </c>
      <c r="B2" s="252" t="s">
        <v>505</v>
      </c>
      <c r="C2" s="252" t="s">
        <v>506</v>
      </c>
      <c r="D2" s="321" t="s">
        <v>561</v>
      </c>
      <c r="E2" s="252" t="s">
        <v>507</v>
      </c>
      <c r="F2" s="253" t="s">
        <v>508</v>
      </c>
      <c r="G2" s="254" t="s">
        <v>509</v>
      </c>
      <c r="H2" s="254" t="s">
        <v>510</v>
      </c>
      <c r="I2" s="254" t="s">
        <v>511</v>
      </c>
      <c r="J2" s="254" t="s">
        <v>7</v>
      </c>
      <c r="K2" s="255" t="s">
        <v>508</v>
      </c>
      <c r="L2" s="256" t="s">
        <v>509</v>
      </c>
      <c r="M2" s="256" t="s">
        <v>511</v>
      </c>
      <c r="N2" s="257" t="s">
        <v>7</v>
      </c>
      <c r="O2" s="258" t="s">
        <v>7</v>
      </c>
      <c r="P2" s="259" t="s">
        <v>512</v>
      </c>
      <c r="Q2" s="259" t="s">
        <v>95</v>
      </c>
      <c r="R2" s="260" t="s">
        <v>513</v>
      </c>
      <c r="S2" s="261"/>
    </row>
    <row r="3" spans="1:26">
      <c r="A3" s="262" t="s">
        <v>514</v>
      </c>
      <c r="B3" s="262" t="s">
        <v>515</v>
      </c>
      <c r="C3" s="263">
        <v>5600</v>
      </c>
      <c r="D3" s="322">
        <f ca="1">_xlfn.DAYS(K3,F3)</f>
        <v>1503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43712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9">
        <f>P3/E3</f>
        <v>0.33535038629518998</v>
      </c>
      <c r="R3" s="270" t="s">
        <v>535</v>
      </c>
    </row>
    <row r="4" spans="1:26">
      <c r="A4" s="262" t="s">
        <v>516</v>
      </c>
      <c r="B4" s="262" t="s">
        <v>412</v>
      </c>
      <c r="C4" s="263">
        <v>4090</v>
      </c>
      <c r="D4" s="322">
        <f ca="1">_xlfn.DAYS(K4,F4)</f>
        <v>107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43712</v>
      </c>
      <c r="L4" s="302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4">
        <f>P4/E4</f>
        <v>1.2731940074177025E-2</v>
      </c>
      <c r="R4" s="275" t="s">
        <v>535</v>
      </c>
      <c r="S4" s="341">
        <v>43715</v>
      </c>
    </row>
    <row r="5" spans="1:26">
      <c r="A5" s="262" t="s">
        <v>516</v>
      </c>
      <c r="B5" s="262" t="s">
        <v>517</v>
      </c>
      <c r="C5" s="263">
        <v>5100</v>
      </c>
      <c r="D5" s="322">
        <f ca="1">_xlfn.DAYS(K5,F5)</f>
        <v>558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43712</v>
      </c>
      <c r="L5" s="302">
        <v>29.97</v>
      </c>
      <c r="M5" s="264">
        <f>(H5*L5)</f>
        <v>5874.12</v>
      </c>
      <c r="N5" s="264">
        <f>-(IF((M5*0.0075)&lt;30,30,(M5*0.0075)) + (M5*0.0035))</f>
        <v>-64.615319999999997</v>
      </c>
      <c r="O5" s="272">
        <f>J5+N5</f>
        <v>-120.62819999999999</v>
      </c>
      <c r="P5" s="273">
        <f>M5-E5+N5</f>
        <v>661.41179999999974</v>
      </c>
      <c r="Q5" s="274">
        <f>P5/E5</f>
        <v>0.12847705265177728</v>
      </c>
      <c r="R5" s="275" t="s">
        <v>535</v>
      </c>
      <c r="S5" s="341">
        <v>43715</v>
      </c>
    </row>
    <row r="6" spans="1:26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4"/>
      <c r="R6" s="275"/>
    </row>
    <row r="7" spans="1:26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4"/>
      <c r="R7" s="275"/>
    </row>
    <row r="8" spans="1:26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4"/>
      <c r="R8" s="275"/>
    </row>
    <row r="9" spans="1:26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8"/>
      <c r="R9" s="289"/>
    </row>
    <row r="10" spans="1:26">
      <c r="A10" s="445"/>
      <c r="B10" s="446"/>
      <c r="C10" s="446"/>
      <c r="D10" s="446"/>
      <c r="E10" s="446"/>
      <c r="F10" s="446"/>
      <c r="G10" s="446"/>
      <c r="H10" s="446"/>
      <c r="I10" s="446"/>
      <c r="J10" s="446"/>
      <c r="K10" s="446"/>
      <c r="L10" s="446"/>
      <c r="M10" s="446"/>
      <c r="N10" s="446"/>
      <c r="O10" s="446"/>
      <c r="P10" s="446"/>
      <c r="Q10" s="446"/>
      <c r="R10" s="446"/>
    </row>
    <row r="11" spans="1:26">
      <c r="A11" s="447" t="s">
        <v>518</v>
      </c>
      <c r="B11" s="448"/>
      <c r="C11" s="448"/>
      <c r="D11" s="448"/>
      <c r="E11" s="448"/>
      <c r="F11" s="448"/>
      <c r="G11" s="448"/>
      <c r="H11" s="448"/>
      <c r="I11" s="448"/>
      <c r="J11" s="448"/>
      <c r="K11" s="448"/>
      <c r="L11" s="448"/>
      <c r="M11" s="448"/>
      <c r="N11" s="448"/>
      <c r="O11" s="448"/>
      <c r="P11" s="448"/>
      <c r="Q11" s="448"/>
      <c r="R11" s="448"/>
    </row>
    <row r="12" spans="1:26">
      <c r="A12" s="290" t="s">
        <v>504</v>
      </c>
      <c r="B12" s="290" t="s">
        <v>505</v>
      </c>
      <c r="C12" s="290" t="s">
        <v>506</v>
      </c>
      <c r="D12" s="324" t="s">
        <v>561</v>
      </c>
      <c r="E12" s="290" t="s">
        <v>507</v>
      </c>
      <c r="F12" s="291" t="s">
        <v>508</v>
      </c>
      <c r="G12" s="292" t="s">
        <v>509</v>
      </c>
      <c r="H12" s="292" t="s">
        <v>510</v>
      </c>
      <c r="I12" s="292" t="s">
        <v>511</v>
      </c>
      <c r="J12" s="292" t="s">
        <v>7</v>
      </c>
      <c r="K12" s="293" t="s">
        <v>508</v>
      </c>
      <c r="L12" s="294" t="s">
        <v>509</v>
      </c>
      <c r="M12" s="294" t="s">
        <v>511</v>
      </c>
      <c r="N12" s="295" t="s">
        <v>7</v>
      </c>
      <c r="O12" s="296" t="s">
        <v>7</v>
      </c>
      <c r="P12" s="297" t="s">
        <v>512</v>
      </c>
      <c r="Q12" s="297" t="s">
        <v>95</v>
      </c>
      <c r="R12" s="298" t="s">
        <v>513</v>
      </c>
      <c r="S12" s="340" t="s">
        <v>604</v>
      </c>
      <c r="T12" s="340" t="s">
        <v>785</v>
      </c>
      <c r="W12" s="330" t="s">
        <v>531</v>
      </c>
      <c r="X12" s="330" t="s">
        <v>532</v>
      </c>
      <c r="Y12" s="330" t="s">
        <v>533</v>
      </c>
      <c r="Z12" s="330" t="s">
        <v>534</v>
      </c>
    </row>
    <row r="13" spans="1:26">
      <c r="A13" s="262" t="s">
        <v>514</v>
      </c>
      <c r="B13" s="262" t="s">
        <v>519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9">
        <v>-6.54E-2</v>
      </c>
      <c r="R13" s="270" t="s">
        <v>519</v>
      </c>
      <c r="S13" s="59">
        <f>Q13+Q14</f>
        <v>-4.7120556421087471E-2</v>
      </c>
      <c r="W13" s="39">
        <f t="shared" ref="W13:W41" ca="1" si="0">D13/D$43</f>
        <v>3.7851037851037848E-2</v>
      </c>
      <c r="X13" s="119">
        <f ca="1">W13*E13</f>
        <v>152.13350115995115</v>
      </c>
      <c r="Y13" s="38"/>
    </row>
    <row r="14" spans="1:26">
      <c r="A14" s="262" t="s">
        <v>514</v>
      </c>
      <c r="B14" s="262" t="s">
        <v>519</v>
      </c>
      <c r="C14" s="263"/>
      <c r="D14" s="322">
        <f t="shared" ref="D14:D35" si="1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4">
        <f>P14/E14</f>
        <v>1.8279443578912528E-2</v>
      </c>
      <c r="R14" s="275" t="s">
        <v>520</v>
      </c>
      <c r="W14" s="39">
        <f t="shared" ca="1" si="0"/>
        <v>0</v>
      </c>
      <c r="X14" s="119">
        <f t="shared" ref="X14:X41" ca="1" si="2">W14*E14</f>
        <v>0</v>
      </c>
    </row>
    <row r="15" spans="1:26">
      <c r="A15" s="262" t="s">
        <v>514</v>
      </c>
      <c r="B15" s="262" t="s">
        <v>521</v>
      </c>
      <c r="C15" s="263"/>
      <c r="D15" s="322">
        <f t="shared" si="1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4">
        <v>4.2278358399185385E-3</v>
      </c>
      <c r="R15" s="275" t="s">
        <v>521</v>
      </c>
      <c r="W15" s="39">
        <f t="shared" ca="1" si="0"/>
        <v>3.3577533577533576E-2</v>
      </c>
      <c r="X15" s="119">
        <f t="shared" ca="1" si="2"/>
        <v>0</v>
      </c>
    </row>
    <row r="16" spans="1:26">
      <c r="A16" s="262" t="s">
        <v>514</v>
      </c>
      <c r="B16" s="262" t="s">
        <v>522</v>
      </c>
      <c r="C16" s="263"/>
      <c r="D16" s="322">
        <f t="shared" si="1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4">
        <v>0.10105569620253146</v>
      </c>
      <c r="R16" s="275" t="s">
        <v>522</v>
      </c>
      <c r="W16" s="39">
        <f t="shared" ca="1" si="0"/>
        <v>8.5470085470085479E-3</v>
      </c>
      <c r="X16" s="119">
        <f t="shared" ca="1" si="2"/>
        <v>0</v>
      </c>
    </row>
    <row r="17" spans="1:24">
      <c r="A17" s="262"/>
      <c r="B17" s="262"/>
      <c r="C17" s="263"/>
      <c r="D17" s="322">
        <f t="shared" si="1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4"/>
      <c r="R17" s="275" t="s">
        <v>523</v>
      </c>
      <c r="W17" s="39">
        <f t="shared" ca="1" si="0"/>
        <v>0</v>
      </c>
      <c r="X17" s="119">
        <f t="shared" ca="1" si="2"/>
        <v>0</v>
      </c>
    </row>
    <row r="18" spans="1:24">
      <c r="A18" s="262"/>
      <c r="B18" s="262"/>
      <c r="C18" s="263"/>
      <c r="D18" s="322">
        <f t="shared" si="1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4"/>
      <c r="R18" s="275" t="s">
        <v>524</v>
      </c>
      <c r="W18" s="39">
        <f t="shared" ca="1" si="0"/>
        <v>0</v>
      </c>
      <c r="X18" s="119">
        <f t="shared" ca="1" si="2"/>
        <v>0</v>
      </c>
    </row>
    <row r="19" spans="1:24">
      <c r="A19" s="262" t="s">
        <v>514</v>
      </c>
      <c r="B19" s="262" t="s">
        <v>522</v>
      </c>
      <c r="C19" s="263">
        <v>4400</v>
      </c>
      <c r="D19" s="322">
        <f t="shared" si="1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4">
        <v>0.19146932203389827</v>
      </c>
      <c r="R19" s="275" t="s">
        <v>522</v>
      </c>
      <c r="S19" s="59">
        <f>Q19+Q21+Q24</f>
        <v>0.24013324659263452</v>
      </c>
      <c r="W19" s="39">
        <f t="shared" ca="1" si="0"/>
        <v>0.53052503052503053</v>
      </c>
      <c r="X19" s="119">
        <f t="shared" ca="1" si="2"/>
        <v>2346.7243775824181</v>
      </c>
    </row>
    <row r="20" spans="1:24">
      <c r="A20" s="262" t="s">
        <v>514</v>
      </c>
      <c r="B20" s="262" t="s">
        <v>522</v>
      </c>
      <c r="C20" s="263">
        <v>605</v>
      </c>
      <c r="D20" s="322">
        <f t="shared" si="1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4">
        <f>P20/E20</f>
        <v>3.2879453879453884</v>
      </c>
      <c r="R20" s="275" t="s">
        <v>562</v>
      </c>
      <c r="W20" s="39">
        <f t="shared" ca="1" si="0"/>
        <v>0.38583638583638585</v>
      </c>
      <c r="X20" s="119">
        <f t="shared" ca="1" si="2"/>
        <v>231.73333333333335</v>
      </c>
    </row>
    <row r="21" spans="1:24">
      <c r="A21" s="262" t="s">
        <v>514</v>
      </c>
      <c r="B21" s="262" t="s">
        <v>522</v>
      </c>
      <c r="C21" s="263"/>
      <c r="D21" s="322">
        <f t="shared" si="1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4">
        <f>P21/E21</f>
        <v>4.2560022472487621E-2</v>
      </c>
      <c r="R21" s="275" t="s">
        <v>525</v>
      </c>
      <c r="W21" s="39">
        <f t="shared" ca="1" si="0"/>
        <v>0</v>
      </c>
      <c r="X21" s="119">
        <f t="shared" ca="1" si="2"/>
        <v>0</v>
      </c>
    </row>
    <row r="22" spans="1:24">
      <c r="A22" s="262"/>
      <c r="B22" s="262"/>
      <c r="C22" s="263"/>
      <c r="D22" s="322">
        <f t="shared" si="1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4"/>
      <c r="R22" s="275" t="s">
        <v>523</v>
      </c>
      <c r="W22" s="39">
        <f t="shared" ca="1" si="0"/>
        <v>0</v>
      </c>
      <c r="X22" s="119">
        <f t="shared" ca="1" si="2"/>
        <v>0</v>
      </c>
    </row>
    <row r="23" spans="1:24">
      <c r="A23" s="262"/>
      <c r="B23" s="262"/>
      <c r="C23" s="263"/>
      <c r="D23" s="322">
        <f t="shared" si="1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4"/>
      <c r="R23" s="275" t="s">
        <v>526</v>
      </c>
      <c r="W23" s="39">
        <f t="shared" ca="1" si="0"/>
        <v>0</v>
      </c>
      <c r="X23" s="119">
        <f t="shared" ca="1" si="2"/>
        <v>0</v>
      </c>
    </row>
    <row r="24" spans="1:24">
      <c r="A24" s="262" t="s">
        <v>514</v>
      </c>
      <c r="B24" s="262" t="s">
        <v>522</v>
      </c>
      <c r="C24" s="263"/>
      <c r="D24" s="322">
        <f t="shared" si="1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4">
        <f>P24/E24</f>
        <v>6.1039020862486242E-3</v>
      </c>
      <c r="R24" s="275" t="s">
        <v>527</v>
      </c>
      <c r="W24" s="39">
        <f t="shared" ca="1" si="0"/>
        <v>0</v>
      </c>
      <c r="X24" s="119">
        <f t="shared" ca="1" si="2"/>
        <v>0</v>
      </c>
    </row>
    <row r="25" spans="1:24">
      <c r="A25" s="262" t="s">
        <v>514</v>
      </c>
      <c r="B25" s="262" t="s">
        <v>522</v>
      </c>
      <c r="C25" s="263">
        <v>600</v>
      </c>
      <c r="D25" s="322">
        <f t="shared" si="1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4">
        <f>P25/E25</f>
        <v>0.22727132347968687</v>
      </c>
      <c r="R25" s="275" t="s">
        <v>522</v>
      </c>
      <c r="W25" s="39">
        <f t="shared" ca="1" si="0"/>
        <v>0.17582417582417584</v>
      </c>
      <c r="X25" s="119">
        <f t="shared" ca="1" si="2"/>
        <v>106.89463314285715</v>
      </c>
    </row>
    <row r="26" spans="1:24">
      <c r="A26" s="262"/>
      <c r="B26" s="262"/>
      <c r="C26" s="263"/>
      <c r="D26" s="322">
        <f t="shared" si="1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4"/>
      <c r="R26" s="275" t="s">
        <v>528</v>
      </c>
      <c r="W26" s="39">
        <f t="shared" ca="1" si="0"/>
        <v>0</v>
      </c>
      <c r="X26" s="119">
        <f t="shared" ca="1" si="2"/>
        <v>0</v>
      </c>
    </row>
    <row r="27" spans="1:24">
      <c r="A27" s="262"/>
      <c r="B27" s="262"/>
      <c r="C27" s="263"/>
      <c r="D27" s="322">
        <f t="shared" si="1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4"/>
      <c r="R27" s="275" t="s">
        <v>528</v>
      </c>
      <c r="W27" s="39">
        <f t="shared" ca="1" si="0"/>
        <v>0</v>
      </c>
      <c r="X27" s="119">
        <f t="shared" ca="1" si="2"/>
        <v>0</v>
      </c>
    </row>
    <row r="28" spans="1:24">
      <c r="A28" s="262" t="s">
        <v>516</v>
      </c>
      <c r="B28" s="262" t="s">
        <v>517</v>
      </c>
      <c r="C28" s="263">
        <v>5100</v>
      </c>
      <c r="D28" s="322">
        <f t="shared" ca="1" si="1"/>
        <v>558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43712</v>
      </c>
      <c r="L28" s="302">
        <v>28.12</v>
      </c>
      <c r="M28" s="264">
        <f>(H28*L28)</f>
        <v>5511.52</v>
      </c>
      <c r="N28" s="264">
        <f>-(IF((M28*0.0075)&lt;30,30,(M28*0.0075)) + (M28*0.0035))</f>
        <v>-60.626720000000006</v>
      </c>
      <c r="O28" s="272">
        <f>J28+N28</f>
        <v>-116.6396</v>
      </c>
      <c r="P28" s="273">
        <f ca="1">IF(K28=0,0,M28-E28+N28)</f>
        <v>302.80040000000031</v>
      </c>
      <c r="Q28" s="274">
        <f ca="1">P28/E28</f>
        <v>5.8817975327593607E-2</v>
      </c>
      <c r="R28" s="275" t="s">
        <v>517</v>
      </c>
      <c r="S28" s="59">
        <f ca="1">Q28+Q29+Q30+Q34</f>
        <v>8.3223129416421932E-2</v>
      </c>
      <c r="T28" s="59">
        <f>(L28/L5)-1</f>
        <v>-6.1728395061728336E-2</v>
      </c>
      <c r="W28" s="39">
        <f t="shared" ca="1" si="0"/>
        <v>0.34065934065934067</v>
      </c>
      <c r="X28" s="119">
        <f t="shared" ca="1" si="2"/>
        <v>1753.7459261538463</v>
      </c>
    </row>
    <row r="29" spans="1:24">
      <c r="A29" s="262" t="s">
        <v>516</v>
      </c>
      <c r="B29" s="262" t="s">
        <v>517</v>
      </c>
      <c r="C29" s="263"/>
      <c r="D29" s="322">
        <f t="shared" si="1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4">
        <f>P29/E29</f>
        <v>7.5056920884457702E-3</v>
      </c>
      <c r="R29" s="275" t="s">
        <v>472</v>
      </c>
      <c r="W29" s="39">
        <f t="shared" ca="1" si="0"/>
        <v>0</v>
      </c>
      <c r="X29" s="119">
        <f t="shared" ca="1" si="2"/>
        <v>0</v>
      </c>
    </row>
    <row r="30" spans="1:24">
      <c r="A30" s="262" t="s">
        <v>516</v>
      </c>
      <c r="B30" s="262" t="s">
        <v>517</v>
      </c>
      <c r="C30" s="263"/>
      <c r="D30" s="322">
        <f t="shared" si="1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4">
        <f>P30/E30</f>
        <v>6.9190670856738691E-3</v>
      </c>
      <c r="R30" s="275" t="s">
        <v>472</v>
      </c>
      <c r="W30" s="39">
        <f t="shared" ca="1" si="0"/>
        <v>0</v>
      </c>
      <c r="X30" s="119">
        <f t="shared" ca="1" si="2"/>
        <v>0</v>
      </c>
    </row>
    <row r="31" spans="1:24">
      <c r="A31" s="262" t="s">
        <v>516</v>
      </c>
      <c r="B31" s="262"/>
      <c r="C31" s="263"/>
      <c r="D31" s="322">
        <f t="shared" si="1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4"/>
      <c r="R31" s="275" t="s">
        <v>529</v>
      </c>
      <c r="W31" s="39">
        <f t="shared" ca="1" si="0"/>
        <v>0</v>
      </c>
      <c r="X31" s="119">
        <f t="shared" ca="1" si="2"/>
        <v>0</v>
      </c>
    </row>
    <row r="32" spans="1:24">
      <c r="A32" s="262" t="s">
        <v>516</v>
      </c>
      <c r="B32" s="262"/>
      <c r="C32" s="263"/>
      <c r="D32" s="322">
        <f t="shared" si="1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</f>
        <v>-22.04</v>
      </c>
      <c r="Q32" s="274"/>
      <c r="R32" s="275" t="s">
        <v>530</v>
      </c>
      <c r="W32" s="39">
        <f t="shared" ca="1" si="0"/>
        <v>0</v>
      </c>
      <c r="X32" s="119">
        <f t="shared" ca="1" si="2"/>
        <v>0</v>
      </c>
    </row>
    <row r="33" spans="1:26">
      <c r="A33" s="262" t="s">
        <v>516</v>
      </c>
      <c r="B33" s="262" t="s">
        <v>412</v>
      </c>
      <c r="C33" s="263">
        <v>4090</v>
      </c>
      <c r="D33" s="322">
        <f t="shared" si="1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4">
        <f>P33/E33</f>
        <v>8.5447618433168865E-2</v>
      </c>
      <c r="R33" s="275" t="s">
        <v>412</v>
      </c>
      <c r="W33" s="39">
        <f t="shared" ca="1" si="0"/>
        <v>1.3431013431013432E-2</v>
      </c>
      <c r="X33" s="119">
        <f t="shared" ca="1" si="2"/>
        <v>55.458349450549449</v>
      </c>
    </row>
    <row r="34" spans="1:26">
      <c r="A34" s="262" t="s">
        <v>516</v>
      </c>
      <c r="B34" s="262" t="s">
        <v>517</v>
      </c>
      <c r="C34" s="263"/>
      <c r="D34" s="322">
        <f t="shared" si="1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4">
        <f>P34/E34</f>
        <v>9.9803949147086856E-3</v>
      </c>
      <c r="R34" s="275" t="s">
        <v>472</v>
      </c>
      <c r="W34" s="39">
        <f t="shared" ca="1" si="0"/>
        <v>0</v>
      </c>
      <c r="X34" s="119">
        <f t="shared" ca="1" si="2"/>
        <v>0</v>
      </c>
    </row>
    <row r="35" spans="1:26">
      <c r="A35" s="262" t="s">
        <v>516</v>
      </c>
      <c r="B35" s="262" t="s">
        <v>412</v>
      </c>
      <c r="C35" s="263">
        <v>4090</v>
      </c>
      <c r="D35" s="322">
        <f t="shared" ca="1" si="1"/>
        <v>107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301">
        <f ca="1">TODAY()</f>
        <v>43712</v>
      </c>
      <c r="L35" s="302">
        <v>60.5</v>
      </c>
      <c r="M35" s="264">
        <f>(H35*L35)</f>
        <v>3751</v>
      </c>
      <c r="N35" s="264">
        <f>-(IF((M35*0.0075)&lt;30,30,(M35*0.0075)) + (M35*0.0035))</f>
        <v>-43.128500000000003</v>
      </c>
      <c r="O35" s="272">
        <f>J35+N35</f>
        <v>-87.61536000000001</v>
      </c>
      <c r="P35" s="273">
        <f ca="1">IF(K35=0,0,M35-E35+N35)</f>
        <v>-380.87536000000023</v>
      </c>
      <c r="Q35" s="274">
        <f ca="1">P35/E35</f>
        <v>-9.315210088599131E-2</v>
      </c>
      <c r="R35" s="275" t="s">
        <v>412</v>
      </c>
      <c r="T35" s="59">
        <f>(L35/L4)-1</f>
        <v>-0.10410188064563897</v>
      </c>
      <c r="W35" s="39">
        <f t="shared" ca="1" si="0"/>
        <v>6.5323565323565327E-2</v>
      </c>
      <c r="X35" s="119">
        <f t="shared" ca="1" si="2"/>
        <v>267.09152260073262</v>
      </c>
    </row>
    <row r="36" spans="1:26">
      <c r="A36" s="262"/>
      <c r="B36" s="262"/>
      <c r="C36" s="263"/>
      <c r="D36" s="322"/>
      <c r="E36" s="278"/>
      <c r="F36" s="300"/>
      <c r="G36" s="263"/>
      <c r="H36" s="266"/>
      <c r="I36" s="264"/>
      <c r="J36" s="264"/>
      <c r="K36" s="271"/>
      <c r="L36" s="263"/>
      <c r="M36" s="264"/>
      <c r="N36" s="264"/>
      <c r="O36" s="272"/>
      <c r="P36" s="273"/>
      <c r="Q36" s="274"/>
      <c r="R36" s="275"/>
      <c r="W36" s="39">
        <f t="shared" ca="1" si="0"/>
        <v>0</v>
      </c>
      <c r="X36" s="119">
        <f t="shared" ca="1" si="2"/>
        <v>0</v>
      </c>
    </row>
    <row r="37" spans="1:26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4"/>
      <c r="R37" s="275"/>
      <c r="W37" s="39">
        <f t="shared" ca="1" si="0"/>
        <v>0</v>
      </c>
      <c r="X37" s="119">
        <f t="shared" ca="1" si="2"/>
        <v>0</v>
      </c>
    </row>
    <row r="38" spans="1:26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4"/>
      <c r="R38" s="275"/>
      <c r="W38" s="39">
        <f t="shared" ca="1" si="0"/>
        <v>0</v>
      </c>
      <c r="X38" s="119">
        <f t="shared" ca="1" si="2"/>
        <v>0</v>
      </c>
    </row>
    <row r="39" spans="1:26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4"/>
      <c r="R39" s="275"/>
      <c r="W39" s="39">
        <f t="shared" ca="1" si="0"/>
        <v>0</v>
      </c>
      <c r="X39" s="119">
        <f t="shared" ca="1" si="2"/>
        <v>0</v>
      </c>
    </row>
    <row r="40" spans="1:26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4"/>
      <c r="R40" s="275"/>
      <c r="W40" s="39">
        <f t="shared" ca="1" si="0"/>
        <v>0</v>
      </c>
      <c r="X40" s="119">
        <f t="shared" ca="1" si="2"/>
        <v>0</v>
      </c>
    </row>
    <row r="41" spans="1:26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4"/>
      <c r="R41" s="275"/>
      <c r="W41" s="39">
        <f t="shared" ca="1" si="0"/>
        <v>0</v>
      </c>
      <c r="X41" s="119">
        <f t="shared" ca="1" si="2"/>
        <v>0</v>
      </c>
    </row>
    <row r="42" spans="1:26">
      <c r="A42" s="313"/>
      <c r="B42" s="314"/>
      <c r="C42" s="315"/>
      <c r="D42" s="325">
        <f ca="1">SUM(D13:D41)</f>
        <v>2607</v>
      </c>
      <c r="E42" s="315">
        <f>SUM(E13:E41)</f>
        <v>51327.545465999996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-374.33647900000005</v>
      </c>
      <c r="O42" s="315">
        <f>SUM(O13:O41)</f>
        <v>-560.53461700000003</v>
      </c>
      <c r="P42" s="315">
        <f ca="1">SUM(P13:P41)</f>
        <v>3570.5437630000006</v>
      </c>
      <c r="Q42" s="326">
        <f ca="1">SUM(Q13:Q41)</f>
        <v>3.8890315806026723</v>
      </c>
      <c r="R42" s="317"/>
      <c r="W42" s="327">
        <f ca="1">SUM(W13:W41)</f>
        <v>1.5915750915750915</v>
      </c>
      <c r="X42" s="328">
        <f ca="1">SUM(X13:X41)</f>
        <v>4913.7816434236884</v>
      </c>
      <c r="Y42" s="329">
        <f ca="1">P42/X42</f>
        <v>0.72663867100781798</v>
      </c>
      <c r="Z42" s="329">
        <f ca="1">Y42/(D$43/365)</f>
        <v>0.16191887357622317</v>
      </c>
    </row>
    <row r="43" spans="1:26">
      <c r="C43" s="119" t="s">
        <v>568</v>
      </c>
      <c r="D43" s="46">
        <f ca="1">_xlfn.DAYS(TODAY(),F13)</f>
        <v>1638</v>
      </c>
      <c r="E43" s="119"/>
      <c r="F43" s="300"/>
      <c r="G43" s="119"/>
      <c r="H43" s="303"/>
      <c r="I43" s="119"/>
      <c r="J43" s="119"/>
      <c r="P43" s="119"/>
      <c r="Q43" s="59"/>
    </row>
    <row r="44" spans="1:26">
      <c r="C44" s="119"/>
      <c r="E44" s="119"/>
      <c r="F44" s="300"/>
      <c r="G44" s="119"/>
      <c r="H44" s="303"/>
      <c r="I44" s="119"/>
      <c r="J44" s="119"/>
    </row>
    <row r="45" spans="1:26">
      <c r="C45" s="119"/>
      <c r="E45" s="119"/>
      <c r="F45" s="300"/>
      <c r="G45" s="119"/>
      <c r="H45" s="303"/>
      <c r="I45" s="119"/>
      <c r="J45" s="119"/>
      <c r="Q45" s="119"/>
    </row>
    <row r="46" spans="1:26">
      <c r="C46" s="119"/>
      <c r="E46" s="119"/>
      <c r="F46" s="300"/>
      <c r="G46" s="119"/>
      <c r="H46" s="303"/>
      <c r="I46" s="119"/>
      <c r="J46" s="119"/>
      <c r="L46" s="119"/>
    </row>
    <row r="47" spans="1:26">
      <c r="C47" s="119"/>
      <c r="E47" s="119"/>
      <c r="F47" s="300"/>
      <c r="G47" s="119"/>
      <c r="H47" s="303"/>
      <c r="I47" s="119"/>
      <c r="J47" s="119"/>
    </row>
    <row r="48" spans="1:26">
      <c r="C48" s="119"/>
      <c r="E48" s="119"/>
      <c r="F48" s="300"/>
      <c r="G48" s="119"/>
      <c r="H48" s="303"/>
      <c r="I48" s="119"/>
      <c r="J48" s="119"/>
    </row>
    <row r="49" spans="3:28">
      <c r="C49" s="119"/>
      <c r="E49" s="119"/>
      <c r="F49" s="300"/>
      <c r="G49" s="119"/>
      <c r="H49" s="303"/>
      <c r="I49" s="119"/>
      <c r="J49" s="119"/>
    </row>
    <row r="50" spans="3:28">
      <c r="C50" s="119"/>
      <c r="E50" s="119"/>
      <c r="F50" s="300"/>
      <c r="G50" s="119"/>
      <c r="H50" s="303"/>
      <c r="I50" s="119"/>
      <c r="J50" s="119"/>
    </row>
    <row r="51" spans="3:28">
      <c r="S51" s="119"/>
      <c r="T51" s="58"/>
    </row>
    <row r="52" spans="3:28">
      <c r="E52" s="41"/>
      <c r="I52" s="41"/>
      <c r="J52" s="41"/>
      <c r="K52" s="41"/>
      <c r="L52" s="41"/>
      <c r="M52" s="41"/>
      <c r="N52" s="41"/>
      <c r="O52" s="41"/>
      <c r="P52" s="41"/>
      <c r="S52" s="41"/>
    </row>
    <row r="53" spans="3:28">
      <c r="G53" s="38"/>
      <c r="H53" s="41"/>
    </row>
    <row r="54" spans="3:28">
      <c r="AB54" s="119"/>
    </row>
    <row r="55" spans="3:28">
      <c r="I55" s="38"/>
      <c r="J55" s="38"/>
      <c r="K55" s="38"/>
      <c r="L55" s="38"/>
      <c r="M55" s="38"/>
      <c r="N55" s="38"/>
      <c r="O55" s="38"/>
      <c r="P55" s="38"/>
      <c r="Q55" s="38"/>
      <c r="S55" s="38"/>
    </row>
    <row r="56" spans="3:28">
      <c r="E56" t="s">
        <v>536</v>
      </c>
      <c r="F56">
        <v>74.89</v>
      </c>
      <c r="G56">
        <v>52</v>
      </c>
      <c r="H56" s="58">
        <f>1-(G56/F56)</f>
        <v>0.30564828415008682</v>
      </c>
      <c r="Q56" s="38"/>
      <c r="T56" s="58"/>
      <c r="V56" s="59"/>
      <c r="W56" s="59"/>
    </row>
    <row r="57" spans="3:28">
      <c r="E57" t="s">
        <v>537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S57" s="38"/>
    </row>
    <row r="58" spans="3:28">
      <c r="E58" t="s">
        <v>538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Q58" s="119"/>
    </row>
    <row r="59" spans="3:28">
      <c r="D59" s="46" t="s">
        <v>539</v>
      </c>
      <c r="F59">
        <v>20</v>
      </c>
      <c r="G59">
        <v>14</v>
      </c>
      <c r="H59" s="58">
        <f>1-(G59/F59)</f>
        <v>0.30000000000000004</v>
      </c>
      <c r="Q59" s="119"/>
      <c r="S59" s="306"/>
    </row>
    <row r="60" spans="3:28">
      <c r="G60" s="38"/>
      <c r="S60" s="304"/>
      <c r="T60">
        <f>(0.00242*12)</f>
        <v>2.9039999999999996E-2</v>
      </c>
    </row>
    <row r="61" spans="3:28">
      <c r="P61" s="304"/>
      <c r="S61" s="307"/>
      <c r="T61">
        <f>4700*T60</f>
        <v>136.48799999999997</v>
      </c>
    </row>
    <row r="62" spans="3:28">
      <c r="Q62" s="59"/>
      <c r="S62" s="308" t="s">
        <v>540</v>
      </c>
      <c r="T62" s="41" t="s">
        <v>541</v>
      </c>
      <c r="U62" s="38"/>
    </row>
    <row r="63" spans="3:28" ht="15.75">
      <c r="G63" s="38"/>
      <c r="R63" t="s">
        <v>542</v>
      </c>
      <c r="S63" s="309" t="s">
        <v>543</v>
      </c>
      <c r="T63" s="310"/>
      <c r="U63" s="38"/>
    </row>
    <row r="64" spans="3:28">
      <c r="F64" s="38"/>
      <c r="G64" s="38"/>
      <c r="R64" t="s">
        <v>544</v>
      </c>
      <c r="S64" s="309" t="s">
        <v>545</v>
      </c>
      <c r="T64" t="s">
        <v>546</v>
      </c>
    </row>
    <row r="65" spans="6:21">
      <c r="F65" s="38"/>
      <c r="G65" s="38"/>
      <c r="H65" s="38"/>
      <c r="K65" t="s">
        <v>547</v>
      </c>
      <c r="S65" s="38"/>
      <c r="T65" t="s">
        <v>548</v>
      </c>
      <c r="U65" s="38"/>
    </row>
    <row r="66" spans="6:21">
      <c r="K66" s="311">
        <v>43587</v>
      </c>
      <c r="S66" s="306"/>
    </row>
    <row r="67" spans="6:21">
      <c r="K67" t="s">
        <v>549</v>
      </c>
      <c r="S67" s="312"/>
    </row>
    <row r="68" spans="6:21">
      <c r="K68" t="s">
        <v>550</v>
      </c>
      <c r="M68" t="s">
        <v>148</v>
      </c>
      <c r="S68" s="309"/>
      <c r="T68">
        <f>5000/12</f>
        <v>416.66666666666669</v>
      </c>
    </row>
    <row r="69" spans="6:21">
      <c r="K69" t="s">
        <v>551</v>
      </c>
      <c r="T69">
        <f>2.2/T68</f>
        <v>5.28E-3</v>
      </c>
    </row>
    <row r="70" spans="6:21">
      <c r="K70" t="s">
        <v>552</v>
      </c>
      <c r="T70">
        <f>100*T69</f>
        <v>0.52800000000000002</v>
      </c>
    </row>
    <row r="71" spans="6:21">
      <c r="K71" t="s">
        <v>553</v>
      </c>
      <c r="T71">
        <f>2.2*12</f>
        <v>26.400000000000002</v>
      </c>
    </row>
    <row r="72" spans="6:21">
      <c r="K72" t="s">
        <v>554</v>
      </c>
    </row>
    <row r="73" spans="6:21">
      <c r="K73" t="s">
        <v>555</v>
      </c>
    </row>
    <row r="74" spans="6:21">
      <c r="K74" t="s">
        <v>556</v>
      </c>
    </row>
    <row r="75" spans="6:21">
      <c r="K75" t="s">
        <v>557</v>
      </c>
    </row>
    <row r="76" spans="6:21">
      <c r="K76" t="s">
        <v>558</v>
      </c>
    </row>
    <row r="77" spans="6:21">
      <c r="K77" t="s">
        <v>559</v>
      </c>
    </row>
    <row r="78" spans="6:21">
      <c r="K78" t="s">
        <v>560</v>
      </c>
    </row>
  </sheetData>
  <mergeCells count="2">
    <mergeCell ref="A10:R10"/>
    <mergeCell ref="A11:R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905C-C927-46AD-A41B-CB021864580F}">
  <dimension ref="A1:E40"/>
  <sheetViews>
    <sheetView workbookViewId="0">
      <selection activeCell="L10" sqref="L10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9" t="s">
        <v>574</v>
      </c>
      <c r="B1" s="449"/>
      <c r="C1" s="449"/>
      <c r="D1" s="449"/>
      <c r="E1" s="449"/>
    </row>
    <row r="2" spans="1:5">
      <c r="A2" s="332" t="s">
        <v>570</v>
      </c>
      <c r="B2" s="333" t="s">
        <v>88</v>
      </c>
      <c r="C2" s="333" t="s">
        <v>571</v>
      </c>
      <c r="D2" s="333" t="s">
        <v>572</v>
      </c>
      <c r="E2" s="270"/>
    </row>
    <row r="3" spans="1:5">
      <c r="A3" s="334" t="s">
        <v>52</v>
      </c>
      <c r="B3" s="335">
        <f>1094.26+150</f>
        <v>1244.26</v>
      </c>
      <c r="C3" s="305">
        <f>B3/B$7</f>
        <v>0.30766073397852756</v>
      </c>
      <c r="D3" s="335">
        <f ca="1">D$7*C3</f>
        <v>-117.18039281193599</v>
      </c>
      <c r="E3" s="275"/>
    </row>
    <row r="4" spans="1:5">
      <c r="A4" s="334" t="s">
        <v>26</v>
      </c>
      <c r="B4" s="335">
        <f>1350+50</f>
        <v>1400</v>
      </c>
      <c r="C4" s="305">
        <f t="shared" ref="C4:C6" si="0">B4/B$7</f>
        <v>0.34616963301073617</v>
      </c>
      <c r="D4" s="335">
        <f t="shared" ref="D4:D6" ca="1" si="1">D$7*C4</f>
        <v>-131.8474835940321</v>
      </c>
      <c r="E4" s="275"/>
    </row>
    <row r="5" spans="1:5">
      <c r="A5" s="334" t="s">
        <v>171</v>
      </c>
      <c r="B5" s="335">
        <f>550+550</f>
        <v>1100</v>
      </c>
      <c r="C5" s="305">
        <f t="shared" si="0"/>
        <v>0.27199042593700701</v>
      </c>
      <c r="D5" s="335">
        <f t="shared" ca="1" si="1"/>
        <v>-103.59445139531094</v>
      </c>
      <c r="E5" s="275"/>
    </row>
    <row r="6" spans="1:5">
      <c r="A6" s="334" t="s">
        <v>50</v>
      </c>
      <c r="B6" s="335">
        <f>1050-150-50-550</f>
        <v>300</v>
      </c>
      <c r="C6" s="305">
        <f t="shared" si="0"/>
        <v>7.4179207073729186E-2</v>
      </c>
      <c r="D6" s="335">
        <f t="shared" ca="1" si="1"/>
        <v>-28.253032198721169</v>
      </c>
      <c r="E6" s="275"/>
    </row>
    <row r="7" spans="1:5">
      <c r="A7" s="334" t="s">
        <v>5</v>
      </c>
      <c r="B7" s="335">
        <f>SUM(B3:B6)</f>
        <v>4044.26</v>
      </c>
      <c r="C7" s="305">
        <f>SUM(C3:C6)</f>
        <v>0.99999999999999989</v>
      </c>
      <c r="D7" s="336">
        <f ca="1">Bolsa1!P35</f>
        <v>-380.87536000000023</v>
      </c>
      <c r="E7" s="275" t="s">
        <v>573</v>
      </c>
    </row>
    <row r="8" spans="1:5">
      <c r="A8" s="334"/>
      <c r="B8" s="335"/>
      <c r="C8" s="337"/>
      <c r="D8" s="337"/>
      <c r="E8" s="275"/>
    </row>
    <row r="9" spans="1:5">
      <c r="A9" s="334"/>
      <c r="B9" s="335"/>
      <c r="C9" s="337"/>
      <c r="D9" s="337"/>
      <c r="E9" s="275"/>
    </row>
    <row r="10" spans="1:5">
      <c r="A10" s="334"/>
      <c r="B10" s="337"/>
      <c r="C10" s="337"/>
      <c r="D10" s="337"/>
      <c r="E10" s="275"/>
    </row>
    <row r="11" spans="1:5">
      <c r="A11" s="334" t="s">
        <v>155</v>
      </c>
      <c r="B11" s="335">
        <v>5092.08</v>
      </c>
      <c r="C11" s="337"/>
      <c r="D11" s="337"/>
      <c r="E11" s="275"/>
    </row>
    <row r="12" spans="1:5">
      <c r="A12" s="338" t="s">
        <v>5</v>
      </c>
      <c r="B12" s="339">
        <f>B7+B11</f>
        <v>9136.34</v>
      </c>
      <c r="C12" s="330"/>
      <c r="D12" s="330"/>
      <c r="E12" s="289"/>
    </row>
    <row r="15" spans="1:5">
      <c r="A15" s="447" t="s">
        <v>603</v>
      </c>
      <c r="B15" s="447"/>
      <c r="C15" s="447"/>
      <c r="D15" s="447"/>
      <c r="E15" s="447"/>
    </row>
    <row r="17" spans="1:4">
      <c r="A17" s="331" t="s">
        <v>575</v>
      </c>
    </row>
    <row r="19" spans="1:4">
      <c r="A19" t="s">
        <v>576</v>
      </c>
    </row>
    <row r="20" spans="1:4">
      <c r="A20" t="s">
        <v>577</v>
      </c>
    </row>
    <row r="21" spans="1:4">
      <c r="A21" t="s">
        <v>578</v>
      </c>
    </row>
    <row r="22" spans="1:4">
      <c r="A22" t="s">
        <v>579</v>
      </c>
    </row>
    <row r="23" spans="1:4">
      <c r="A23" t="s">
        <v>580</v>
      </c>
    </row>
    <row r="24" spans="1:4">
      <c r="A24" t="s">
        <v>581</v>
      </c>
    </row>
    <row r="25" spans="1:4">
      <c r="A25" t="s">
        <v>582</v>
      </c>
    </row>
    <row r="30" spans="1:4">
      <c r="A30" s="331" t="s">
        <v>583</v>
      </c>
      <c r="B30" s="331" t="s">
        <v>584</v>
      </c>
      <c r="C30" s="331" t="s">
        <v>585</v>
      </c>
      <c r="D30" s="331" t="s">
        <v>586</v>
      </c>
    </row>
    <row r="32" spans="1:4">
      <c r="A32" t="s">
        <v>587</v>
      </c>
      <c r="B32" t="s">
        <v>588</v>
      </c>
      <c r="C32" t="s">
        <v>589</v>
      </c>
      <c r="D32" t="s">
        <v>590</v>
      </c>
    </row>
    <row r="33" spans="1:4">
      <c r="A33" t="s">
        <v>591</v>
      </c>
      <c r="B33" t="s">
        <v>592</v>
      </c>
      <c r="C33" t="s">
        <v>593</v>
      </c>
      <c r="D33" t="s">
        <v>588</v>
      </c>
    </row>
    <row r="34" spans="1:4">
      <c r="A34" t="s">
        <v>594</v>
      </c>
      <c r="B34" t="s">
        <v>595</v>
      </c>
      <c r="C34" t="s">
        <v>596</v>
      </c>
      <c r="D34" t="s">
        <v>590</v>
      </c>
    </row>
    <row r="35" spans="1:4">
      <c r="A35" t="s">
        <v>597</v>
      </c>
      <c r="B35" t="s">
        <v>588</v>
      </c>
      <c r="C35" t="s">
        <v>593</v>
      </c>
      <c r="D35" t="s">
        <v>598</v>
      </c>
    </row>
    <row r="36" spans="1:4">
      <c r="A36" t="s">
        <v>424</v>
      </c>
      <c r="B36" t="s">
        <v>588</v>
      </c>
      <c r="C36" t="s">
        <v>589</v>
      </c>
      <c r="D36" t="s">
        <v>598</v>
      </c>
    </row>
    <row r="37" spans="1:4">
      <c r="A37" t="s">
        <v>599</v>
      </c>
      <c r="B37" t="s">
        <v>590</v>
      </c>
      <c r="C37" t="s">
        <v>596</v>
      </c>
      <c r="D37" t="s">
        <v>595</v>
      </c>
    </row>
    <row r="38" spans="1:4">
      <c r="A38" t="s">
        <v>600</v>
      </c>
      <c r="B38" t="s">
        <v>588</v>
      </c>
      <c r="C38" t="s">
        <v>596</v>
      </c>
      <c r="D38" t="s">
        <v>588</v>
      </c>
    </row>
    <row r="39" spans="1:4">
      <c r="A39" t="s">
        <v>601</v>
      </c>
      <c r="B39" t="s">
        <v>590</v>
      </c>
      <c r="C39" t="s">
        <v>589</v>
      </c>
      <c r="D39" t="s">
        <v>588</v>
      </c>
    </row>
    <row r="40" spans="1:4">
      <c r="A40" t="s">
        <v>602</v>
      </c>
      <c r="B40" t="s">
        <v>590</v>
      </c>
      <c r="C40" t="s">
        <v>589</v>
      </c>
      <c r="D40" t="s">
        <v>595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4"/>
  <sheetViews>
    <sheetView topLeftCell="A46" workbookViewId="0">
      <selection activeCell="G56" sqref="G56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337</v>
      </c>
      <c r="I7" t="s">
        <v>338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354</v>
      </c>
      <c r="I10" t="s">
        <v>355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204</v>
      </c>
      <c r="B52" t="s">
        <v>203</v>
      </c>
    </row>
    <row r="53" spans="1:2">
      <c r="A53" t="s">
        <v>207</v>
      </c>
      <c r="B53" t="s">
        <v>208</v>
      </c>
    </row>
    <row r="54" spans="1:2">
      <c r="A54" t="s">
        <v>35</v>
      </c>
      <c r="B54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336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31" t="s">
        <v>9</v>
      </c>
      <c r="E4" s="431"/>
      <c r="F4" s="431"/>
      <c r="G4" s="430"/>
      <c r="H4" s="222">
        <v>2018</v>
      </c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24">
        <v>2901.68</v>
      </c>
      <c r="L5" s="425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26">
        <v>620.05999999999995</v>
      </c>
      <c r="L6" s="427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26">
        <v>8035.29</v>
      </c>
      <c r="L7" s="427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26">
        <v>7000</v>
      </c>
      <c r="L8" s="427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26">
        <v>659.39</v>
      </c>
      <c r="L9" s="427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26">
        <v>1800.04</v>
      </c>
      <c r="L10" s="427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26">
        <f>240+35</f>
        <v>275</v>
      </c>
      <c r="L11" s="427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206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26">
        <v>5092.08</v>
      </c>
      <c r="L12" s="427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201</v>
      </c>
      <c r="D13" s="137"/>
      <c r="E13" s="138"/>
      <c r="F13" s="138"/>
      <c r="G13" s="16"/>
      <c r="H13" s="112">
        <v>63</v>
      </c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32">
        <f>SUM(K5:K18)</f>
        <v>26383.54</v>
      </c>
      <c r="L19" s="433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12"/>
      <c r="I22" s="416" t="s">
        <v>6</v>
      </c>
      <c r="J22" s="417"/>
      <c r="K22" s="417"/>
      <c r="L22" s="418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12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31" t="s">
        <v>9</v>
      </c>
      <c r="E24" s="431"/>
      <c r="F24" s="431"/>
      <c r="G24" s="430"/>
      <c r="H24" s="112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03" t="str">
        <f>AÑO!A8</f>
        <v>Manolo Salario</v>
      </c>
      <c r="J25" s="406" t="s">
        <v>291</v>
      </c>
      <c r="K25" s="407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04"/>
      <c r="J26" s="408"/>
      <c r="K26" s="409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04"/>
      <c r="J27" s="408"/>
      <c r="K27" s="409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04"/>
      <c r="J28" s="408"/>
      <c r="K28" s="409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12"/>
      <c r="J29" s="413"/>
      <c r="K29" s="414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296</v>
      </c>
      <c r="H30" s="112">
        <v>593.55999999999995</v>
      </c>
      <c r="I30" s="403" t="str">
        <f>AÑO!A9</f>
        <v>Rocío Salario</v>
      </c>
      <c r="J30" s="406" t="s">
        <v>238</v>
      </c>
      <c r="K30" s="407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04"/>
      <c r="J31" s="408" t="s">
        <v>256</v>
      </c>
      <c r="K31" s="409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04"/>
      <c r="J32" s="415" t="s">
        <v>267</v>
      </c>
      <c r="K32" s="409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04"/>
      <c r="J33" s="408"/>
      <c r="K33" s="4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12"/>
      <c r="J34" s="413"/>
      <c r="K34" s="4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03" t="s">
        <v>218</v>
      </c>
      <c r="J35" s="406" t="s">
        <v>306</v>
      </c>
      <c r="K35" s="407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04"/>
      <c r="J36" s="408"/>
      <c r="K36" s="4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04"/>
      <c r="J37" s="408"/>
      <c r="K37" s="4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04"/>
      <c r="J38" s="408"/>
      <c r="K38" s="4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12"/>
      <c r="J39" s="413"/>
      <c r="K39" s="414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03" t="str">
        <f>AÑO!A11</f>
        <v>Finanazas</v>
      </c>
      <c r="J40" s="406" t="s">
        <v>239</v>
      </c>
      <c r="K40" s="407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04"/>
      <c r="J41" s="408" t="s">
        <v>240</v>
      </c>
      <c r="K41" s="409"/>
      <c r="L41" s="229">
        <v>1.87</v>
      </c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12"/>
      <c r="I42" s="404"/>
      <c r="J42" s="408" t="s">
        <v>269</v>
      </c>
      <c r="K42" s="409"/>
      <c r="L42" s="229">
        <v>0.02</v>
      </c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12"/>
      <c r="I43" s="404"/>
      <c r="J43" s="408"/>
      <c r="K43" s="409"/>
      <c r="L43" s="229"/>
      <c r="M43" s="1"/>
      <c r="R43" s="3"/>
    </row>
    <row r="44" spans="1:18" ht="15.75">
      <c r="A44" s="1"/>
      <c r="B44" s="429" t="s">
        <v>8</v>
      </c>
      <c r="C44" s="430"/>
      <c r="D44" s="431" t="s">
        <v>9</v>
      </c>
      <c r="E44" s="431"/>
      <c r="F44" s="431"/>
      <c r="G44" s="430"/>
      <c r="H44" s="112"/>
      <c r="I44" s="412"/>
      <c r="J44" s="413"/>
      <c r="K44" s="4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03" t="str">
        <f>AÑO!A12</f>
        <v>Regalos</v>
      </c>
      <c r="J45" s="406" t="s">
        <v>299</v>
      </c>
      <c r="K45" s="407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244</v>
      </c>
      <c r="H46" s="112"/>
      <c r="I46" s="404"/>
      <c r="J46" s="408"/>
      <c r="K46" s="409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247</v>
      </c>
      <c r="H47" s="112"/>
      <c r="I47" s="404"/>
      <c r="J47" s="408"/>
      <c r="K47" s="409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252</v>
      </c>
      <c r="H48" s="112"/>
      <c r="I48" s="404"/>
      <c r="J48" s="408"/>
      <c r="K48" s="409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249</v>
      </c>
      <c r="H49" s="112"/>
      <c r="I49" s="412"/>
      <c r="J49" s="413"/>
      <c r="K49" s="414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253</v>
      </c>
      <c r="H50" s="112"/>
      <c r="I50" s="403" t="str">
        <f>AÑO!A13</f>
        <v>Gubernamental</v>
      </c>
      <c r="J50" s="406" t="s">
        <v>259</v>
      </c>
      <c r="K50" s="407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261</v>
      </c>
      <c r="H51" s="112"/>
      <c r="I51" s="404"/>
      <c r="J51" s="408"/>
      <c r="K51" s="409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262</v>
      </c>
      <c r="H52" s="112"/>
      <c r="I52" s="404"/>
      <c r="J52" s="408"/>
      <c r="K52" s="409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265</v>
      </c>
      <c r="H53" s="112"/>
      <c r="I53" s="404"/>
      <c r="J53" s="408"/>
      <c r="K53" s="409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274</v>
      </c>
      <c r="H54" s="112"/>
      <c r="I54" s="412"/>
      <c r="J54" s="413"/>
      <c r="K54" s="414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275</v>
      </c>
      <c r="H55" s="112"/>
      <c r="I55" s="403" t="str">
        <f>AÑO!A14</f>
        <v>Mutualite/DKV</v>
      </c>
      <c r="J55" s="406"/>
      <c r="K55" s="407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277</v>
      </c>
      <c r="H56" s="112"/>
      <c r="I56" s="404"/>
      <c r="J56" s="408"/>
      <c r="K56" s="409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288</v>
      </c>
      <c r="H57" s="112"/>
      <c r="I57" s="404"/>
      <c r="J57" s="408"/>
      <c r="K57" s="409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279</v>
      </c>
      <c r="H58" s="112"/>
      <c r="I58" s="404"/>
      <c r="J58" s="408"/>
      <c r="K58" s="4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12"/>
      <c r="J59" s="413"/>
      <c r="K59" s="414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03" t="str">
        <f>AÑO!A15</f>
        <v>Alquiler Cartama</v>
      </c>
      <c r="J60" s="406"/>
      <c r="K60" s="407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04"/>
      <c r="J61" s="408"/>
      <c r="K61" s="409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12"/>
      <c r="I62" s="404"/>
      <c r="J62" s="408"/>
      <c r="K62" s="409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12"/>
      <c r="I63" s="404"/>
      <c r="J63" s="408"/>
      <c r="K63" s="409"/>
      <c r="L63" s="229"/>
      <c r="M63" s="1"/>
      <c r="R63" s="3"/>
    </row>
    <row r="64" spans="1:18" ht="15.75">
      <c r="A64" s="1"/>
      <c r="B64" s="429" t="s">
        <v>8</v>
      </c>
      <c r="C64" s="430"/>
      <c r="D64" s="431" t="s">
        <v>9</v>
      </c>
      <c r="E64" s="431"/>
      <c r="F64" s="431"/>
      <c r="G64" s="430"/>
      <c r="H64" s="112"/>
      <c r="I64" s="412"/>
      <c r="J64" s="413"/>
      <c r="K64" s="414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03" t="str">
        <f>AÑO!A16</f>
        <v>Otros</v>
      </c>
      <c r="J65" s="406" t="s">
        <v>296</v>
      </c>
      <c r="K65" s="407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245</v>
      </c>
      <c r="H66" s="112">
        <v>42.13</v>
      </c>
      <c r="I66" s="404"/>
      <c r="J66" s="408"/>
      <c r="K66" s="409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04"/>
      <c r="J67" s="408"/>
      <c r="K67" s="409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264</v>
      </c>
      <c r="H68" s="112"/>
      <c r="I68" s="404"/>
      <c r="J68" s="408"/>
      <c r="K68" s="409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268</v>
      </c>
      <c r="H69" s="112"/>
      <c r="I69" s="405"/>
      <c r="J69" s="410"/>
      <c r="K69" s="411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266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294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295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302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237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12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12"/>
      <c r="M83" s="1"/>
      <c r="R83" s="3"/>
    </row>
    <row r="84" spans="1:18" ht="15.75">
      <c r="A84" s="1"/>
      <c r="B84" s="429" t="s">
        <v>8</v>
      </c>
      <c r="C84" s="430"/>
      <c r="D84" s="431" t="s">
        <v>9</v>
      </c>
      <c r="E84" s="431"/>
      <c r="F84" s="431"/>
      <c r="G84" s="430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>
        <v>2</v>
      </c>
      <c r="F86" s="138"/>
      <c r="G86" s="16" t="s">
        <v>260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263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284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298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301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12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12"/>
      <c r="M103" s="1"/>
      <c r="R103" s="3"/>
    </row>
    <row r="104" spans="1:18" ht="15.75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205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12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12"/>
      <c r="M123" s="1"/>
      <c r="R123" s="3"/>
    </row>
    <row r="124" spans="1:18" ht="15.75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12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12"/>
      <c r="M143" s="1"/>
      <c r="R143" s="3"/>
    </row>
    <row r="144" spans="1:18" ht="15.75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278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242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305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276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  <c r="H202" s="112"/>
    </row>
    <row r="203" spans="2:12" ht="15" customHeight="1" thickBot="1">
      <c r="B203" s="419"/>
      <c r="C203" s="420"/>
      <c r="D203" s="420"/>
      <c r="E203" s="420"/>
      <c r="F203" s="420"/>
      <c r="G203" s="421"/>
      <c r="H203" s="112"/>
    </row>
    <row r="204" spans="2:12" ht="15.75">
      <c r="B204" s="429" t="s">
        <v>8</v>
      </c>
      <c r="C204" s="430"/>
      <c r="D204" s="431" t="s">
        <v>9</v>
      </c>
      <c r="E204" s="431"/>
      <c r="F204" s="431"/>
      <c r="G204" s="430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286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28" t="str">
        <f>AÑO!A31</f>
        <v>Deportes</v>
      </c>
      <c r="C222" s="417"/>
      <c r="D222" s="417"/>
      <c r="E222" s="417"/>
      <c r="F222" s="417"/>
      <c r="G222" s="418"/>
      <c r="H222" s="112"/>
    </row>
    <row r="223" spans="2:8" ht="15" customHeight="1" thickBot="1">
      <c r="B223" s="419"/>
      <c r="C223" s="420"/>
      <c r="D223" s="420"/>
      <c r="E223" s="420"/>
      <c r="F223" s="420"/>
      <c r="G223" s="421"/>
      <c r="H223" s="112"/>
    </row>
    <row r="224" spans="2:8" ht="15.75">
      <c r="B224" s="429" t="s">
        <v>8</v>
      </c>
      <c r="C224" s="430"/>
      <c r="D224" s="431" t="s">
        <v>9</v>
      </c>
      <c r="E224" s="431"/>
      <c r="F224" s="431"/>
      <c r="G224" s="430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265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28" t="str">
        <f>AÑO!A32</f>
        <v>Hogar</v>
      </c>
      <c r="C242" s="417"/>
      <c r="D242" s="417"/>
      <c r="E242" s="417"/>
      <c r="F242" s="417"/>
      <c r="G242" s="418"/>
      <c r="H242" s="112"/>
    </row>
    <row r="243" spans="2:8" ht="15" customHeight="1" thickBot="1">
      <c r="B243" s="419"/>
      <c r="C243" s="420"/>
      <c r="D243" s="420"/>
      <c r="E243" s="420"/>
      <c r="F243" s="420"/>
      <c r="G243" s="421"/>
      <c r="H243" s="112"/>
    </row>
    <row r="244" spans="2:8" ht="15" customHeight="1">
      <c r="B244" s="429" t="s">
        <v>8</v>
      </c>
      <c r="C244" s="430"/>
      <c r="D244" s="431" t="s">
        <v>9</v>
      </c>
      <c r="E244" s="431"/>
      <c r="F244" s="431"/>
      <c r="G244" s="430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303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28" t="str">
        <f>AÑO!A33</f>
        <v>Formación</v>
      </c>
      <c r="C262" s="417"/>
      <c r="D262" s="417"/>
      <c r="E262" s="417"/>
      <c r="F262" s="417"/>
      <c r="G262" s="418"/>
      <c r="H262" s="112"/>
    </row>
    <row r="263" spans="2:8" ht="15" customHeight="1" thickBot="1">
      <c r="B263" s="419"/>
      <c r="C263" s="420"/>
      <c r="D263" s="420"/>
      <c r="E263" s="420"/>
      <c r="F263" s="420"/>
      <c r="G263" s="421"/>
      <c r="H263" s="112"/>
    </row>
    <row r="264" spans="2:8" ht="15.75">
      <c r="B264" s="429" t="s">
        <v>8</v>
      </c>
      <c r="C264" s="430"/>
      <c r="D264" s="431" t="s">
        <v>9</v>
      </c>
      <c r="E264" s="431"/>
      <c r="F264" s="431"/>
      <c r="G264" s="430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293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304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  <c r="H282" s="112"/>
    </row>
    <row r="283" spans="2:8" ht="15" customHeight="1" thickBot="1">
      <c r="B283" s="419"/>
      <c r="C283" s="420"/>
      <c r="D283" s="420"/>
      <c r="E283" s="420"/>
      <c r="F283" s="420"/>
      <c r="G283" s="421"/>
      <c r="H283" s="112"/>
    </row>
    <row r="284" spans="2:8" ht="15.75">
      <c r="B284" s="429" t="s">
        <v>8</v>
      </c>
      <c r="C284" s="430"/>
      <c r="D284" s="431" t="s">
        <v>9</v>
      </c>
      <c r="E284" s="431"/>
      <c r="F284" s="431"/>
      <c r="G284" s="430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248</v>
      </c>
      <c r="H286" s="112"/>
    </row>
    <row r="287" spans="2:8" ht="15.75">
      <c r="B287" s="134">
        <v>137</v>
      </c>
      <c r="C287" s="16" t="s">
        <v>300</v>
      </c>
      <c r="D287" s="137">
        <v>11.43</v>
      </c>
      <c r="E287" s="138"/>
      <c r="F287" s="138"/>
      <c r="G287" s="16" t="s">
        <v>250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251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272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281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282</v>
      </c>
      <c r="H291" s="112" t="s">
        <v>280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283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  <c r="H302" s="112"/>
    </row>
    <row r="303" spans="2:8" ht="15" customHeight="1" thickBot="1">
      <c r="B303" s="419"/>
      <c r="C303" s="420"/>
      <c r="D303" s="420"/>
      <c r="E303" s="420"/>
      <c r="F303" s="420"/>
      <c r="G303" s="421"/>
      <c r="H303" s="112"/>
    </row>
    <row r="304" spans="2:8" ht="15.75">
      <c r="B304" s="429" t="s">
        <v>8</v>
      </c>
      <c r="C304" s="430"/>
      <c r="D304" s="431" t="s">
        <v>9</v>
      </c>
      <c r="E304" s="431"/>
      <c r="F304" s="431"/>
      <c r="G304" s="430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258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428" t="str">
        <f>AÑO!A36</f>
        <v>Nenas</v>
      </c>
      <c r="C322" s="417"/>
      <c r="D322" s="417"/>
      <c r="E322" s="417"/>
      <c r="F322" s="417"/>
      <c r="G322" s="418"/>
      <c r="H322" s="112"/>
    </row>
    <row r="323" spans="2:8" ht="15" customHeight="1" thickBot="1">
      <c r="B323" s="419"/>
      <c r="C323" s="420"/>
      <c r="D323" s="420"/>
      <c r="E323" s="420"/>
      <c r="F323" s="420"/>
      <c r="G323" s="421"/>
      <c r="H323" s="112"/>
    </row>
    <row r="324" spans="2:8" ht="15.75">
      <c r="B324" s="429" t="s">
        <v>8</v>
      </c>
      <c r="C324" s="430"/>
      <c r="D324" s="431" t="s">
        <v>9</v>
      </c>
      <c r="E324" s="431"/>
      <c r="F324" s="431"/>
      <c r="G324" s="430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287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28" t="str">
        <f>AÑO!A37</f>
        <v>Impuestos</v>
      </c>
      <c r="C342" s="417"/>
      <c r="D342" s="417"/>
      <c r="E342" s="417"/>
      <c r="F342" s="417"/>
      <c r="G342" s="418"/>
      <c r="H342" s="112"/>
    </row>
    <row r="343" spans="2:8" ht="15" customHeight="1" thickBot="1">
      <c r="B343" s="419"/>
      <c r="C343" s="420"/>
      <c r="D343" s="420"/>
      <c r="E343" s="420"/>
      <c r="F343" s="420"/>
      <c r="G343" s="421"/>
      <c r="H343" s="112"/>
    </row>
    <row r="344" spans="2:8" ht="15.75">
      <c r="B344" s="429" t="s">
        <v>8</v>
      </c>
      <c r="C344" s="430"/>
      <c r="D344" s="431" t="s">
        <v>9</v>
      </c>
      <c r="E344" s="431"/>
      <c r="F344" s="431"/>
      <c r="G344" s="430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199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28" t="str">
        <f>AÑO!A38</f>
        <v>Gastos Curros</v>
      </c>
      <c r="C362" s="417"/>
      <c r="D362" s="417"/>
      <c r="E362" s="417"/>
      <c r="F362" s="417"/>
      <c r="G362" s="418"/>
      <c r="H362" s="112"/>
    </row>
    <row r="363" spans="2:8" ht="15" customHeight="1" thickBot="1">
      <c r="B363" s="419"/>
      <c r="C363" s="420"/>
      <c r="D363" s="420"/>
      <c r="E363" s="420"/>
      <c r="F363" s="420"/>
      <c r="G363" s="421"/>
      <c r="H363" s="112"/>
    </row>
    <row r="364" spans="2:8" ht="15.75">
      <c r="B364" s="429" t="s">
        <v>8</v>
      </c>
      <c r="C364" s="430"/>
      <c r="D364" s="431" t="s">
        <v>9</v>
      </c>
      <c r="E364" s="431"/>
      <c r="F364" s="431"/>
      <c r="G364" s="430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265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289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28" t="str">
        <f>AÑO!A39</f>
        <v>Dreamed Holidays</v>
      </c>
      <c r="C382" s="417"/>
      <c r="D382" s="417"/>
      <c r="E382" s="417"/>
      <c r="F382" s="417"/>
      <c r="G382" s="418"/>
      <c r="H382" s="112"/>
    </row>
    <row r="383" spans="2:8" ht="15" customHeight="1" thickBot="1">
      <c r="B383" s="419"/>
      <c r="C383" s="420"/>
      <c r="D383" s="420"/>
      <c r="E383" s="420"/>
      <c r="F383" s="420"/>
      <c r="G383" s="421"/>
      <c r="H383" s="112"/>
    </row>
    <row r="384" spans="2:8" ht="15.75">
      <c r="B384" s="429" t="s">
        <v>8</v>
      </c>
      <c r="C384" s="430"/>
      <c r="D384" s="431" t="s">
        <v>9</v>
      </c>
      <c r="E384" s="431"/>
      <c r="F384" s="431"/>
      <c r="G384" s="430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28" t="str">
        <f>AÑO!A40</f>
        <v>Financieros</v>
      </c>
      <c r="C402" s="417"/>
      <c r="D402" s="417"/>
      <c r="E402" s="417"/>
      <c r="F402" s="417"/>
      <c r="G402" s="418"/>
      <c r="H402" s="112"/>
    </row>
    <row r="403" spans="2:8" ht="15" customHeight="1" thickBot="1">
      <c r="B403" s="419"/>
      <c r="C403" s="420"/>
      <c r="D403" s="420"/>
      <c r="E403" s="420"/>
      <c r="F403" s="420"/>
      <c r="G403" s="421"/>
      <c r="H403" s="112"/>
    </row>
    <row r="404" spans="2:8" ht="15.75">
      <c r="B404" s="429" t="s">
        <v>8</v>
      </c>
      <c r="C404" s="430"/>
      <c r="D404" s="431" t="s">
        <v>9</v>
      </c>
      <c r="E404" s="431"/>
      <c r="F404" s="431"/>
      <c r="G404" s="430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246</v>
      </c>
      <c r="H406" s="112"/>
    </row>
    <row r="407" spans="2:8" ht="15.75">
      <c r="B407" s="134">
        <v>1.87</v>
      </c>
      <c r="C407" s="16" t="s">
        <v>240</v>
      </c>
      <c r="D407" s="137">
        <v>25.87</v>
      </c>
      <c r="E407" s="138"/>
      <c r="F407" s="138"/>
      <c r="G407" s="16" t="s">
        <v>273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28" t="str">
        <f>AÑO!A41</f>
        <v>Ahorros Colchón</v>
      </c>
      <c r="C422" s="434"/>
      <c r="D422" s="434"/>
      <c r="E422" s="434"/>
      <c r="F422" s="434"/>
      <c r="G422" s="435"/>
      <c r="H422" s="112"/>
    </row>
    <row r="423" spans="1:8" ht="15" customHeight="1" thickBot="1">
      <c r="B423" s="436"/>
      <c r="C423" s="437"/>
      <c r="D423" s="437"/>
      <c r="E423" s="437"/>
      <c r="F423" s="437"/>
      <c r="G423" s="438"/>
      <c r="H423" s="112"/>
    </row>
    <row r="424" spans="1:8" ht="15.75">
      <c r="B424" s="429" t="s">
        <v>8</v>
      </c>
      <c r="C424" s="430"/>
      <c r="D424" s="431" t="s">
        <v>9</v>
      </c>
      <c r="E424" s="431"/>
      <c r="F424" s="431"/>
      <c r="G424" s="430"/>
      <c r="H424" s="112"/>
    </row>
    <row r="425" spans="1:8" ht="15.75">
      <c r="A425" s="89" t="s">
        <v>220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209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234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28" t="str">
        <f>AÑO!A42</f>
        <v>Dinero Bloqueado</v>
      </c>
      <c r="C442" s="434"/>
      <c r="D442" s="434"/>
      <c r="E442" s="434"/>
      <c r="F442" s="434"/>
      <c r="G442" s="435"/>
      <c r="H442" s="112"/>
    </row>
    <row r="443" spans="2:8" ht="15" customHeight="1" thickBot="1">
      <c r="B443" s="436"/>
      <c r="C443" s="437"/>
      <c r="D443" s="437"/>
      <c r="E443" s="437"/>
      <c r="F443" s="437"/>
      <c r="G443" s="438"/>
      <c r="H443" s="112"/>
    </row>
    <row r="444" spans="2:8" ht="15.75">
      <c r="B444" s="429" t="s">
        <v>8</v>
      </c>
      <c r="C444" s="430"/>
      <c r="D444" s="431" t="s">
        <v>9</v>
      </c>
      <c r="E444" s="431"/>
      <c r="F444" s="431"/>
      <c r="G444" s="430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241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28" t="str">
        <f>AÑO!A43</f>
        <v>Cartama Finanazas</v>
      </c>
      <c r="C462" s="434"/>
      <c r="D462" s="434"/>
      <c r="E462" s="434"/>
      <c r="F462" s="434"/>
      <c r="G462" s="435"/>
      <c r="H462" s="112"/>
    </row>
    <row r="463" spans="2:8" ht="15" customHeight="1" thickBot="1">
      <c r="B463" s="436"/>
      <c r="C463" s="437"/>
      <c r="D463" s="437"/>
      <c r="E463" s="437"/>
      <c r="F463" s="437"/>
      <c r="G463" s="438"/>
      <c r="H463" s="112"/>
    </row>
    <row r="464" spans="2:8" ht="15.75">
      <c r="B464" s="429" t="s">
        <v>8</v>
      </c>
      <c r="C464" s="430"/>
      <c r="D464" s="431" t="s">
        <v>9</v>
      </c>
      <c r="E464" s="431"/>
      <c r="F464" s="431"/>
      <c r="G464" s="430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428" t="str">
        <f>AÑO!A44</f>
        <v>NULO</v>
      </c>
      <c r="C482" s="434"/>
      <c r="D482" s="434"/>
      <c r="E482" s="434"/>
      <c r="F482" s="434"/>
      <c r="G482" s="435"/>
      <c r="H482" s="112"/>
    </row>
    <row r="483" spans="2:8" ht="15" customHeight="1" thickBot="1">
      <c r="B483" s="436"/>
      <c r="C483" s="437"/>
      <c r="D483" s="437"/>
      <c r="E483" s="437"/>
      <c r="F483" s="437"/>
      <c r="G483" s="438"/>
      <c r="H483" s="112"/>
    </row>
    <row r="484" spans="2:8" ht="15.75">
      <c r="B484" s="429" t="s">
        <v>8</v>
      </c>
      <c r="C484" s="430"/>
      <c r="D484" s="431" t="s">
        <v>9</v>
      </c>
      <c r="E484" s="431"/>
      <c r="F484" s="431"/>
      <c r="G484" s="430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28" t="str">
        <f>AÑO!A45</f>
        <v>OTROS</v>
      </c>
      <c r="C502" s="434"/>
      <c r="D502" s="434"/>
      <c r="E502" s="434"/>
      <c r="F502" s="434"/>
      <c r="G502" s="435"/>
      <c r="H502" s="112"/>
    </row>
    <row r="503" spans="2:8" ht="15" customHeight="1" thickBot="1">
      <c r="B503" s="436"/>
      <c r="C503" s="437"/>
      <c r="D503" s="437"/>
      <c r="E503" s="437"/>
      <c r="F503" s="437"/>
      <c r="G503" s="438"/>
      <c r="H503" s="112"/>
    </row>
    <row r="504" spans="2:8" ht="15.75">
      <c r="B504" s="429" t="s">
        <v>8</v>
      </c>
      <c r="C504" s="430"/>
      <c r="D504" s="431" t="s">
        <v>9</v>
      </c>
      <c r="E504" s="431"/>
      <c r="F504" s="431"/>
      <c r="G504" s="430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285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335" zoomScaleNormal="100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31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f>2397.48-4.45</f>
        <v>2393.0300000000002</v>
      </c>
      <c r="L5" s="425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26">
        <v>620.08000000000004</v>
      </c>
      <c r="L6" s="427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6">
        <f>7340.23-4.45</f>
        <v>7335.78</v>
      </c>
      <c r="L7" s="427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26">
        <v>7001.87</v>
      </c>
      <c r="L8" s="427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6">
        <v>669.52</v>
      </c>
      <c r="L9" s="427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6">
        <f>160+155</f>
        <v>315</v>
      </c>
      <c r="L11" s="427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v>5092.08</v>
      </c>
      <c r="L12" s="427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2">
        <f>SUM(K5:K18)</f>
        <v>25229.379999999997</v>
      </c>
      <c r="L19" s="433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31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 t="s">
        <v>401</v>
      </c>
      <c r="K25" s="407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4"/>
      <c r="J26" s="408"/>
      <c r="K26" s="409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04"/>
      <c r="J27" s="408"/>
      <c r="K27" s="409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2"/>
      <c r="J29" s="413"/>
      <c r="K29" s="414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 t="s">
        <v>314</v>
      </c>
      <c r="K30" s="407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 t="s">
        <v>319</v>
      </c>
      <c r="K31" s="409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 t="s">
        <v>328</v>
      </c>
      <c r="K32" s="409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 t="s">
        <v>314</v>
      </c>
      <c r="K33" s="409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 t="s">
        <v>359</v>
      </c>
      <c r="K35" s="407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/>
      <c r="K40" s="40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19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19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199"/>
      <c r="M43" s="1"/>
      <c r="R43" s="3"/>
    </row>
    <row r="44" spans="1:18" ht="15.75">
      <c r="A44" s="1"/>
      <c r="B44" s="429" t="s">
        <v>8</v>
      </c>
      <c r="C44" s="430"/>
      <c r="D44" s="431" t="s">
        <v>9</v>
      </c>
      <c r="E44" s="431"/>
      <c r="F44" s="431"/>
      <c r="G44" s="430"/>
      <c r="H44" s="1"/>
      <c r="I44" s="412"/>
      <c r="J44" s="413"/>
      <c r="K44" s="4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 t="s">
        <v>160</v>
      </c>
      <c r="K45" s="407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307</v>
      </c>
      <c r="H46" s="1"/>
      <c r="I46" s="404"/>
      <c r="J46" s="408"/>
      <c r="K46" s="409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308</v>
      </c>
      <c r="H47" s="1"/>
      <c r="I47" s="404"/>
      <c r="J47" s="408"/>
      <c r="K47" s="409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312</v>
      </c>
      <c r="H48" s="1"/>
      <c r="I48" s="404"/>
      <c r="J48" s="408"/>
      <c r="K48" s="409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313</v>
      </c>
      <c r="H49" s="1"/>
      <c r="I49" s="412"/>
      <c r="J49" s="413"/>
      <c r="K49" s="414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324</v>
      </c>
      <c r="H50" s="1"/>
      <c r="I50" s="403" t="str">
        <f>AÑO!A13</f>
        <v>Gubernamental</v>
      </c>
      <c r="J50" s="406" t="s">
        <v>259</v>
      </c>
      <c r="K50" s="407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331</v>
      </c>
      <c r="H51" s="1"/>
      <c r="I51" s="404"/>
      <c r="J51" s="408"/>
      <c r="K51" s="409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332</v>
      </c>
      <c r="H52" s="1"/>
      <c r="I52" s="404"/>
      <c r="J52" s="408"/>
      <c r="K52" s="409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345</v>
      </c>
      <c r="H53" s="1"/>
      <c r="I53" s="404"/>
      <c r="J53" s="408"/>
      <c r="K53" s="409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349</v>
      </c>
      <c r="H54" s="1"/>
      <c r="I54" s="412"/>
      <c r="J54" s="413"/>
      <c r="K54" s="414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350</v>
      </c>
      <c r="H55" s="1"/>
      <c r="I55" s="403" t="str">
        <f>AÑO!A14</f>
        <v>Mutualite/DKV</v>
      </c>
      <c r="J55" s="406"/>
      <c r="K55" s="407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/>
      <c r="K56" s="40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03" t="str">
        <f>AÑO!A15</f>
        <v>Alquiler Cartama</v>
      </c>
      <c r="J60" s="406" t="s">
        <v>315</v>
      </c>
      <c r="K60" s="407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19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19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199"/>
      <c r="M63" s="1"/>
      <c r="R63" s="3"/>
    </row>
    <row r="64" spans="1:18" ht="15.75">
      <c r="A64" s="1"/>
      <c r="B64" s="429" t="s">
        <v>8</v>
      </c>
      <c r="C64" s="430"/>
      <c r="D64" s="431" t="s">
        <v>9</v>
      </c>
      <c r="E64" s="431"/>
      <c r="F64" s="431"/>
      <c r="G64" s="430"/>
      <c r="H64" s="1"/>
      <c r="I64" s="412"/>
      <c r="J64" s="413"/>
      <c r="K64" s="414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320</v>
      </c>
      <c r="H66" s="1"/>
      <c r="I66" s="404"/>
      <c r="J66" s="408"/>
      <c r="K66" s="409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334</v>
      </c>
      <c r="H67" s="1"/>
      <c r="I67" s="404"/>
      <c r="J67" s="408"/>
      <c r="K67" s="409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336</v>
      </c>
      <c r="H68" s="1"/>
      <c r="I68" s="404"/>
      <c r="J68" s="408"/>
      <c r="K68" s="409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341</v>
      </c>
      <c r="H69" s="1"/>
      <c r="I69" s="405"/>
      <c r="J69" s="410"/>
      <c r="K69" s="411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353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31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48.45</v>
      </c>
      <c r="E86" s="138"/>
      <c r="F86" s="138"/>
      <c r="G86" s="16" t="s">
        <v>329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344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343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308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327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340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31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31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350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2:7" ht="15" customHeight="1" thickBot="1">
      <c r="B243" s="419"/>
      <c r="C243" s="420"/>
      <c r="D243" s="420"/>
      <c r="E243" s="420"/>
      <c r="F243" s="420"/>
      <c r="G243" s="421"/>
    </row>
    <row r="244" spans="2:7" ht="15" customHeight="1">
      <c r="B244" s="429" t="s">
        <v>8</v>
      </c>
      <c r="C244" s="430"/>
      <c r="D244" s="431" t="s">
        <v>9</v>
      </c>
      <c r="E244" s="431"/>
      <c r="F244" s="431"/>
      <c r="G244" s="430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350</v>
      </c>
    </row>
    <row r="247" spans="2:7" ht="15" customHeight="1">
      <c r="B247" s="134">
        <v>40</v>
      </c>
      <c r="C247" s="16" t="s">
        <v>361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2:7" ht="15" customHeight="1" thickBot="1">
      <c r="B263" s="419"/>
      <c r="C263" s="420"/>
      <c r="D263" s="420"/>
      <c r="E263" s="420"/>
      <c r="F263" s="420"/>
      <c r="G263" s="421"/>
    </row>
    <row r="264" spans="2:7">
      <c r="B264" s="429" t="s">
        <v>8</v>
      </c>
      <c r="C264" s="430"/>
      <c r="D264" s="431" t="s">
        <v>9</v>
      </c>
      <c r="E264" s="431"/>
      <c r="F264" s="431"/>
      <c r="G264" s="430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317</v>
      </c>
    </row>
    <row r="267" spans="2:7">
      <c r="B267" s="134"/>
      <c r="C267" s="16"/>
      <c r="D267" s="137">
        <v>10.45</v>
      </c>
      <c r="E267" s="138"/>
      <c r="F267" s="138"/>
      <c r="G267" s="16" t="s">
        <v>321</v>
      </c>
    </row>
    <row r="268" spans="2:7">
      <c r="B268" s="134"/>
      <c r="C268" s="16"/>
      <c r="D268" s="137"/>
      <c r="E268" s="138">
        <v>57.96</v>
      </c>
      <c r="F268" s="138"/>
      <c r="G268" s="16" t="s">
        <v>347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31" t="s">
        <v>9</v>
      </c>
      <c r="E284" s="431"/>
      <c r="F284" s="431"/>
      <c r="G284" s="4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31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333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346</v>
      </c>
    </row>
    <row r="308" spans="2:7">
      <c r="B308" s="134">
        <v>61.11</v>
      </c>
      <c r="C308" s="27" t="s">
        <v>360</v>
      </c>
      <c r="D308" s="137">
        <v>11.12</v>
      </c>
      <c r="E308" s="138"/>
      <c r="F308" s="138"/>
      <c r="G308" s="16" t="s">
        <v>351</v>
      </c>
    </row>
    <row r="309" spans="2:7">
      <c r="B309" s="134"/>
      <c r="C309" s="16"/>
      <c r="D309" s="137">
        <v>6</v>
      </c>
      <c r="E309" s="138"/>
      <c r="F309" s="138"/>
      <c r="G309" s="16" t="s">
        <v>350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17"/>
      <c r="D322" s="417"/>
      <c r="E322" s="417"/>
      <c r="F322" s="417"/>
      <c r="G322" s="418"/>
    </row>
    <row r="323" spans="2:7" ht="15" customHeight="1" thickBot="1">
      <c r="B323" s="419"/>
      <c r="C323" s="420"/>
      <c r="D323" s="420"/>
      <c r="E323" s="420"/>
      <c r="F323" s="420"/>
      <c r="G323" s="421"/>
    </row>
    <row r="324" spans="2:7">
      <c r="B324" s="429" t="s">
        <v>8</v>
      </c>
      <c r="C324" s="430"/>
      <c r="D324" s="431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331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31" t="s">
        <v>9</v>
      </c>
      <c r="E344" s="431"/>
      <c r="F344" s="431"/>
      <c r="G344" s="4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285.64999999999998</v>
      </c>
      <c r="E346" s="138"/>
      <c r="F346" s="138"/>
      <c r="G346" s="16" t="s">
        <v>318</v>
      </c>
    </row>
    <row r="347" spans="2:7">
      <c r="B347" s="134"/>
      <c r="C347" s="16"/>
      <c r="D347" s="137"/>
      <c r="E347" s="138"/>
      <c r="F347" s="138">
        <v>30</v>
      </c>
      <c r="G347" s="16" t="s">
        <v>342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31" t="s">
        <v>9</v>
      </c>
      <c r="E364" s="431"/>
      <c r="F364" s="431"/>
      <c r="G364" s="4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327</v>
      </c>
    </row>
    <row r="368" spans="2:7">
      <c r="B368" s="134"/>
      <c r="C368" s="16"/>
      <c r="D368" s="137">
        <v>60</v>
      </c>
      <c r="E368" s="138"/>
      <c r="F368" s="138"/>
      <c r="G368" s="16" t="s">
        <v>335</v>
      </c>
    </row>
    <row r="369" spans="2:7">
      <c r="B369" s="134"/>
      <c r="C369" s="16"/>
      <c r="D369" s="137">
        <v>26.58</v>
      </c>
      <c r="E369" s="138"/>
      <c r="F369" s="138"/>
      <c r="G369" s="16" t="s">
        <v>339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17"/>
      <c r="D382" s="417"/>
      <c r="E382" s="417"/>
      <c r="F382" s="417"/>
      <c r="G382" s="418"/>
    </row>
    <row r="383" spans="2:7" ht="15" customHeight="1" thickBot="1">
      <c r="B383" s="419"/>
      <c r="C383" s="420"/>
      <c r="D383" s="420"/>
      <c r="E383" s="420"/>
      <c r="F383" s="420"/>
      <c r="G383" s="421"/>
    </row>
    <row r="384" spans="2:7">
      <c r="B384" s="429" t="s">
        <v>8</v>
      </c>
      <c r="C384" s="430"/>
      <c r="D384" s="431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31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273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8" ht="15" customHeight="1" thickBot="1">
      <c r="B423" s="436"/>
      <c r="C423" s="437"/>
      <c r="D423" s="437"/>
      <c r="E423" s="437"/>
      <c r="F423" s="437"/>
      <c r="G423" s="438"/>
    </row>
    <row r="424" spans="1:8">
      <c r="B424" s="429" t="s">
        <v>8</v>
      </c>
      <c r="C424" s="430"/>
      <c r="D424" s="431" t="s">
        <v>9</v>
      </c>
      <c r="E424" s="431"/>
      <c r="F424" s="431"/>
      <c r="G424" s="430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356</v>
      </c>
    </row>
    <row r="426" spans="1:8" ht="15.75">
      <c r="A426" s="112">
        <v>3900</v>
      </c>
      <c r="B426" s="134">
        <f>A425-SUM(A426:A439)</f>
        <v>120.06999999999971</v>
      </c>
      <c r="C426" s="19" t="s">
        <v>234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309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31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29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31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v>1559.34</v>
      </c>
      <c r="L5" s="425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26">
        <v>620.08000000000004</v>
      </c>
      <c r="L6" s="427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200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26">
        <v>8577.0300000000007</v>
      </c>
      <c r="L7" s="427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6">
        <v>3501.87</v>
      </c>
      <c r="L8" s="427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26">
        <v>4167.34</v>
      </c>
      <c r="L9" s="427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6">
        <v>255</v>
      </c>
      <c r="L11" s="427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v>5092.08</v>
      </c>
      <c r="L12" s="427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326</v>
      </c>
      <c r="D13" s="137"/>
      <c r="E13" s="138">
        <v>79</v>
      </c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2">
        <f>SUM(K5:K18)</f>
        <v>25574.760000000002</v>
      </c>
      <c r="L19" s="433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31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 t="s">
        <v>401</v>
      </c>
      <c r="K25" s="407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4"/>
      <c r="J26" s="408"/>
      <c r="K26" s="409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04"/>
      <c r="J27" s="408"/>
      <c r="K27" s="409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2"/>
      <c r="J29" s="413"/>
      <c r="K29" s="414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 t="s">
        <v>362</v>
      </c>
      <c r="K30" s="407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 t="s">
        <v>238</v>
      </c>
      <c r="K31" s="409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 t="s">
        <v>328</v>
      </c>
      <c r="K32" s="409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/>
      <c r="K35" s="407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/>
      <c r="K40" s="40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19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19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199"/>
      <c r="M43" s="1"/>
      <c r="R43" s="3"/>
    </row>
    <row r="44" spans="1:18" ht="15.75">
      <c r="A44" s="1"/>
      <c r="B44" s="429" t="s">
        <v>8</v>
      </c>
      <c r="C44" s="430"/>
      <c r="D44" s="431" t="s">
        <v>9</v>
      </c>
      <c r="E44" s="431"/>
      <c r="F44" s="431"/>
      <c r="G44" s="430"/>
      <c r="H44" s="1"/>
      <c r="I44" s="412"/>
      <c r="J44" s="413"/>
      <c r="K44" s="4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 t="s">
        <v>379</v>
      </c>
      <c r="K45" s="407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363</v>
      </c>
      <c r="H46" s="1"/>
      <c r="I46" s="404"/>
      <c r="J46" s="408" t="s">
        <v>160</v>
      </c>
      <c r="K46" s="409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364</v>
      </c>
      <c r="H47" s="1"/>
      <c r="I47" s="404"/>
      <c r="J47" s="408"/>
      <c r="K47" s="409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371</v>
      </c>
      <c r="H48" s="1"/>
      <c r="I48" s="404"/>
      <c r="J48" s="408"/>
      <c r="K48" s="409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375</v>
      </c>
      <c r="H49" s="1"/>
      <c r="I49" s="412"/>
      <c r="J49" s="413"/>
      <c r="K49" s="414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374</v>
      </c>
      <c r="H50" s="1"/>
      <c r="I50" s="403" t="str">
        <f>AÑO!A13</f>
        <v>Gubernamental</v>
      </c>
      <c r="J50" s="406" t="s">
        <v>259</v>
      </c>
      <c r="K50" s="407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381</v>
      </c>
      <c r="H51" s="1"/>
      <c r="I51" s="404"/>
      <c r="J51" s="408" t="s">
        <v>417</v>
      </c>
      <c r="K51" s="409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386</v>
      </c>
      <c r="H52" s="1"/>
      <c r="I52" s="404"/>
      <c r="J52" s="408"/>
      <c r="K52" s="409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387</v>
      </c>
      <c r="H53" s="1"/>
      <c r="I53" s="404"/>
      <c r="J53" s="408"/>
      <c r="K53" s="409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407</v>
      </c>
      <c r="H54" s="1"/>
      <c r="I54" s="412"/>
      <c r="J54" s="413"/>
      <c r="K54" s="414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421</v>
      </c>
      <c r="H55" s="1"/>
      <c r="I55" s="403" t="str">
        <f>AÑO!A14</f>
        <v>Mutualite/DKV</v>
      </c>
      <c r="J55" s="439" t="str">
        <f>G306</f>
        <v>12/03 Chirec</v>
      </c>
      <c r="K55" s="407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/>
      <c r="K56" s="40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 t="s">
        <v>366</v>
      </c>
      <c r="K60" s="407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19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19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199"/>
      <c r="M63" s="1"/>
      <c r="R63" s="3"/>
    </row>
    <row r="64" spans="1:18" ht="15.75">
      <c r="A64" s="1"/>
      <c r="B64" s="429" t="s">
        <v>8</v>
      </c>
      <c r="C64" s="430"/>
      <c r="D64" s="431" t="s">
        <v>9</v>
      </c>
      <c r="E64" s="431"/>
      <c r="F64" s="431"/>
      <c r="G64" s="430"/>
      <c r="H64" s="1"/>
      <c r="I64" s="412"/>
      <c r="J64" s="413"/>
      <c r="K64" s="414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365</v>
      </c>
      <c r="H66" s="1"/>
      <c r="I66" s="404"/>
      <c r="J66" s="408"/>
      <c r="K66" s="409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373</v>
      </c>
      <c r="H67" s="1"/>
      <c r="I67" s="404"/>
      <c r="J67" s="408"/>
      <c r="K67" s="409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377</v>
      </c>
      <c r="H68" s="1"/>
      <c r="I68" s="404"/>
      <c r="J68" s="408"/>
      <c r="K68" s="409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388</v>
      </c>
      <c r="H69" s="1"/>
      <c r="I69" s="405"/>
      <c r="J69" s="410"/>
      <c r="K69" s="411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390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420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422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367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31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49.03</v>
      </c>
      <c r="E86" s="138"/>
      <c r="F86" s="138"/>
      <c r="G86" s="16" t="s">
        <v>392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393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394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398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372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386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410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31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384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408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31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8" ht="15" customHeight="1" thickBot="1">
      <c r="B243" s="419"/>
      <c r="C243" s="420"/>
      <c r="D243" s="420"/>
      <c r="E243" s="420"/>
      <c r="F243" s="420"/>
      <c r="G243" s="421"/>
    </row>
    <row r="244" spans="1:8" ht="15" customHeight="1">
      <c r="B244" s="429" t="s">
        <v>8</v>
      </c>
      <c r="C244" s="430"/>
      <c r="D244" s="431" t="s">
        <v>9</v>
      </c>
      <c r="E244" s="431"/>
      <c r="F244" s="431"/>
      <c r="G244" s="430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378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382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399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409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405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403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404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7" ht="15" customHeight="1" thickBot="1">
      <c r="B263" s="419"/>
      <c r="C263" s="420"/>
      <c r="D263" s="420"/>
      <c r="E263" s="420"/>
      <c r="F263" s="420"/>
      <c r="G263" s="421"/>
    </row>
    <row r="264" spans="1:7">
      <c r="B264" s="429" t="s">
        <v>8</v>
      </c>
      <c r="C264" s="430"/>
      <c r="D264" s="431" t="s">
        <v>9</v>
      </c>
      <c r="E264" s="431"/>
      <c r="F264" s="431"/>
      <c r="G264" s="430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368</v>
      </c>
    </row>
    <row r="267" spans="1:7">
      <c r="B267" s="134">
        <v>4021.94</v>
      </c>
      <c r="C267" s="16" t="s">
        <v>417</v>
      </c>
      <c r="D267" s="137"/>
      <c r="E267" s="138"/>
      <c r="F267" s="138">
        <v>15</v>
      </c>
      <c r="G267" s="16" t="s">
        <v>423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31" t="s">
        <v>9</v>
      </c>
      <c r="E284" s="431"/>
      <c r="F284" s="431"/>
      <c r="G284" s="4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31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380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395</v>
      </c>
    </row>
    <row r="308" spans="2:7">
      <c r="B308" s="134">
        <f>L55</f>
        <v>9.44</v>
      </c>
      <c r="C308" s="27" t="s">
        <v>406</v>
      </c>
      <c r="D308" s="137">
        <v>8.27</v>
      </c>
      <c r="E308" s="138"/>
      <c r="F308" s="138"/>
      <c r="G308" s="16" t="s">
        <v>396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416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418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17"/>
      <c r="D322" s="417"/>
      <c r="E322" s="417"/>
      <c r="F322" s="417"/>
      <c r="G322" s="418"/>
    </row>
    <row r="323" spans="2:7" ht="15" customHeight="1" thickBot="1">
      <c r="B323" s="419"/>
      <c r="C323" s="420"/>
      <c r="D323" s="420"/>
      <c r="E323" s="420"/>
      <c r="F323" s="420"/>
      <c r="G323" s="421"/>
    </row>
    <row r="324" spans="2:7">
      <c r="B324" s="429" t="s">
        <v>8</v>
      </c>
      <c r="C324" s="430"/>
      <c r="D324" s="431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391</v>
      </c>
    </row>
    <row r="327" spans="2:7">
      <c r="B327" s="134">
        <v>100</v>
      </c>
      <c r="C327" s="16" t="s">
        <v>379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31" t="s">
        <v>9</v>
      </c>
      <c r="E344" s="431"/>
      <c r="F344" s="431"/>
      <c r="G344" s="4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16</v>
      </c>
      <c r="E346" s="138"/>
      <c r="F346" s="138"/>
      <c r="G346" s="16" t="s">
        <v>369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370</v>
      </c>
    </row>
    <row r="348" spans="2:7">
      <c r="B348" s="134"/>
      <c r="C348" s="16"/>
      <c r="D348" s="137">
        <v>16</v>
      </c>
      <c r="E348" s="138"/>
      <c r="F348" s="138"/>
      <c r="G348" s="16" t="s">
        <v>383</v>
      </c>
    </row>
    <row r="349" spans="2:7">
      <c r="B349" s="134"/>
      <c r="C349" s="16"/>
      <c r="D349" s="137">
        <v>10</v>
      </c>
      <c r="E349" s="138"/>
      <c r="F349" s="138"/>
      <c r="G349" s="16" t="s">
        <v>384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31" t="s">
        <v>9</v>
      </c>
      <c r="E364" s="431"/>
      <c r="F364" s="431"/>
      <c r="G364" s="4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397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17"/>
      <c r="D382" s="417"/>
      <c r="E382" s="417"/>
      <c r="F382" s="417"/>
      <c r="G382" s="418"/>
    </row>
    <row r="383" spans="2:7" ht="15" customHeight="1" thickBot="1">
      <c r="B383" s="419"/>
      <c r="C383" s="420"/>
      <c r="D383" s="420"/>
      <c r="E383" s="420"/>
      <c r="F383" s="420"/>
      <c r="G383" s="421"/>
    </row>
    <row r="384" spans="2:7">
      <c r="B384" s="429" t="s">
        <v>8</v>
      </c>
      <c r="C384" s="430"/>
      <c r="D384" s="431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31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273</v>
      </c>
    </row>
    <row r="407" spans="2:7">
      <c r="B407" s="134">
        <v>-984.2</v>
      </c>
      <c r="C407" s="16" t="s">
        <v>412</v>
      </c>
      <c r="D407" s="137">
        <v>44.93</v>
      </c>
      <c r="E407" s="138"/>
      <c r="F407" s="138"/>
      <c r="G407" s="16" t="s">
        <v>411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31" t="s">
        <v>9</v>
      </c>
      <c r="E424" s="431"/>
      <c r="F424" s="431"/>
      <c r="G424" s="430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234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415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413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31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419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94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v>861.84</v>
      </c>
      <c r="L5" s="425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6">
        <v>620.08000000000004</v>
      </c>
      <c r="L6" s="427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6">
        <v>10075.709999999999</v>
      </c>
      <c r="L7" s="427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26">
        <v>3501.87</v>
      </c>
      <c r="L8" s="427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6">
        <v>35.96</v>
      </c>
      <c r="L9" s="427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6">
        <v>370</v>
      </c>
      <c r="L11" s="427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f>5092.08+4084.2</f>
        <v>9176.2799999999988</v>
      </c>
      <c r="L12" s="427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26443.759999999998</v>
      </c>
      <c r="L19" s="442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 t="s">
        <v>401</v>
      </c>
      <c r="K25" s="407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4"/>
      <c r="J26" s="408"/>
      <c r="K26" s="409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4"/>
      <c r="J27" s="408"/>
      <c r="K27" s="409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2"/>
      <c r="J29" s="413"/>
      <c r="K29" s="414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 t="s">
        <v>362</v>
      </c>
      <c r="K30" s="407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 t="s">
        <v>430</v>
      </c>
      <c r="K31" s="409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 t="s">
        <v>328</v>
      </c>
      <c r="K32" s="409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/>
      <c r="K35" s="407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 t="s">
        <v>424</v>
      </c>
      <c r="K40" s="407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 t="s">
        <v>444</v>
      </c>
      <c r="K41" s="409"/>
      <c r="L41" s="229">
        <v>352.82</v>
      </c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 t="s">
        <v>60</v>
      </c>
      <c r="K42" s="409"/>
      <c r="L42" s="229">
        <v>0.02</v>
      </c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2"/>
      <c r="J44" s="413"/>
      <c r="K44" s="4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/>
      <c r="K45" s="407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445</v>
      </c>
      <c r="H46" s="1"/>
      <c r="I46" s="404"/>
      <c r="J46" s="408"/>
      <c r="K46" s="409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451</v>
      </c>
      <c r="H47" s="1"/>
      <c r="I47" s="404"/>
      <c r="J47" s="408"/>
      <c r="K47" s="409"/>
      <c r="L47" s="229"/>
      <c r="M47" s="1"/>
      <c r="R47" s="3"/>
    </row>
    <row r="48" spans="1:18" ht="15.75">
      <c r="A48" s="1"/>
      <c r="B48" s="134">
        <v>40</v>
      </c>
      <c r="C48" s="16" t="s">
        <v>429</v>
      </c>
      <c r="D48" s="137">
        <v>5.35</v>
      </c>
      <c r="E48" s="138"/>
      <c r="F48" s="138"/>
      <c r="G48" s="16" t="s">
        <v>456</v>
      </c>
      <c r="H48" s="1"/>
      <c r="I48" s="404"/>
      <c r="J48" s="408"/>
      <c r="K48" s="409"/>
      <c r="L48" s="229"/>
      <c r="M48" s="1"/>
      <c r="R48" s="3"/>
    </row>
    <row r="49" spans="1:18" ht="15.75">
      <c r="A49" s="1"/>
      <c r="B49" s="134"/>
      <c r="C49" s="16" t="s">
        <v>461</v>
      </c>
      <c r="D49" s="137"/>
      <c r="E49" s="138"/>
      <c r="F49" s="138"/>
      <c r="G49" s="16"/>
      <c r="H49" s="1"/>
      <c r="I49" s="412"/>
      <c r="J49" s="413"/>
      <c r="K49" s="414"/>
      <c r="L49" s="230"/>
      <c r="M49" s="1"/>
      <c r="R49" s="3"/>
    </row>
    <row r="50" spans="1:18" ht="15.75" customHeight="1">
      <c r="A50" s="1"/>
      <c r="B50" s="134">
        <v>-146</v>
      </c>
      <c r="C50" s="16" t="s">
        <v>464</v>
      </c>
      <c r="D50" s="137"/>
      <c r="E50" s="138"/>
      <c r="F50" s="138"/>
      <c r="G50" s="16"/>
      <c r="H50" s="1"/>
      <c r="I50" s="403" t="str">
        <f>AÑO!A13</f>
        <v>Gubernamental</v>
      </c>
      <c r="J50" s="406" t="s">
        <v>433</v>
      </c>
      <c r="K50" s="407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4"/>
      <c r="J51" s="408"/>
      <c r="K51" s="409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4"/>
      <c r="J52" s="408"/>
      <c r="K52" s="409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4"/>
      <c r="J53" s="408"/>
      <c r="K53" s="409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2"/>
      <c r="J54" s="413"/>
      <c r="K54" s="414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3" t="str">
        <f>AÑO!A14</f>
        <v>Mutualite/DKV</v>
      </c>
      <c r="J55" s="439" t="str">
        <f>'03'!G307</f>
        <v>22/03 Chirec</v>
      </c>
      <c r="K55" s="407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40" t="str">
        <f>'03'!G309</f>
        <v>26/03 Ginecologa</v>
      </c>
      <c r="K56" s="409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 t="s">
        <v>448</v>
      </c>
      <c r="K57" s="409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/>
      <c r="K60" s="407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2"/>
      <c r="J64" s="413"/>
      <c r="K64" s="414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452</v>
      </c>
      <c r="H66" s="1"/>
      <c r="I66" s="404"/>
      <c r="J66" s="408"/>
      <c r="K66" s="409"/>
      <c r="L66" s="229"/>
      <c r="M66" s="1"/>
      <c r="R66" s="3"/>
    </row>
    <row r="67" spans="1:18" ht="15.75">
      <c r="A67" s="1"/>
      <c r="B67" s="134">
        <v>-50</v>
      </c>
      <c r="C67" s="16" t="s">
        <v>464</v>
      </c>
      <c r="D67" s="137">
        <v>41</v>
      </c>
      <c r="E67" s="138"/>
      <c r="F67" s="138"/>
      <c r="G67" s="31" t="s">
        <v>458</v>
      </c>
      <c r="H67" s="1"/>
      <c r="I67" s="404"/>
      <c r="J67" s="408"/>
      <c r="K67" s="409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4"/>
      <c r="J68" s="408"/>
      <c r="K68" s="409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5"/>
      <c r="J69" s="410"/>
      <c r="K69" s="41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57.56</v>
      </c>
      <c r="E86" s="138"/>
      <c r="F86" s="138"/>
      <c r="G86" s="16" t="s">
        <v>442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459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465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454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455</v>
      </c>
      <c r="D109" s="137">
        <v>11</v>
      </c>
      <c r="E109" s="138"/>
      <c r="F109" s="138">
        <v>3</v>
      </c>
      <c r="G109" s="31" t="s">
        <v>460</v>
      </c>
      <c r="H109" s="1"/>
      <c r="M109" s="1"/>
      <c r="R109" s="3"/>
    </row>
    <row r="110" spans="1:18" ht="15.75">
      <c r="B110" s="134">
        <v>1370</v>
      </c>
      <c r="C110" s="18" t="s">
        <v>443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426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439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440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450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463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428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435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431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403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404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7" ht="15" customHeight="1" thickBot="1">
      <c r="B263" s="419"/>
      <c r="C263" s="420"/>
      <c r="D263" s="420"/>
      <c r="E263" s="420"/>
      <c r="F263" s="420"/>
      <c r="G263" s="421"/>
    </row>
    <row r="264" spans="1:7">
      <c r="B264" s="429" t="s">
        <v>8</v>
      </c>
      <c r="C264" s="430"/>
      <c r="D264" s="429" t="s">
        <v>9</v>
      </c>
      <c r="E264" s="431"/>
      <c r="F264" s="431"/>
      <c r="G264" s="430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427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29" t="s">
        <v>9</v>
      </c>
      <c r="E284" s="431"/>
      <c r="F284" s="431"/>
      <c r="G284" s="4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432</v>
      </c>
    </row>
    <row r="287" spans="2:8">
      <c r="B287" s="134"/>
      <c r="C287" s="16"/>
      <c r="D287" s="137">
        <v>9.65</v>
      </c>
      <c r="E287" s="138"/>
      <c r="F287" s="138"/>
      <c r="G287" s="16" t="s">
        <v>438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447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462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441</v>
      </c>
    </row>
    <row r="308" spans="2:7">
      <c r="B308" s="134">
        <f>L55+L56+L57</f>
        <v>37.980000000000004</v>
      </c>
      <c r="C308" s="27" t="s">
        <v>466</v>
      </c>
      <c r="D308" s="137"/>
      <c r="E308" s="138"/>
      <c r="F308" s="138">
        <v>50</v>
      </c>
      <c r="G308" s="16" t="s">
        <v>448</v>
      </c>
    </row>
    <row r="309" spans="2:7">
      <c r="B309" s="134"/>
      <c r="C309" s="16"/>
      <c r="D309" s="137">
        <v>63.9</v>
      </c>
      <c r="E309" s="138"/>
      <c r="F309" s="138"/>
      <c r="G309" s="16" t="s">
        <v>468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29" t="s">
        <v>9</v>
      </c>
      <c r="E344" s="431"/>
      <c r="F344" s="431"/>
      <c r="G344" s="4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29" t="s">
        <v>9</v>
      </c>
      <c r="E364" s="431"/>
      <c r="F364" s="431"/>
      <c r="G364" s="4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443</v>
      </c>
      <c r="D387" s="137"/>
      <c r="E387" s="138"/>
      <c r="F387" s="138"/>
      <c r="G387" s="16"/>
    </row>
    <row r="388" spans="2:7">
      <c r="B388" s="134">
        <v>106.26</v>
      </c>
      <c r="C388" s="27" t="s">
        <v>444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425</v>
      </c>
    </row>
    <row r="407" spans="2:7">
      <c r="B407" s="134">
        <v>3.75</v>
      </c>
      <c r="C407" s="16" t="s">
        <v>424</v>
      </c>
      <c r="D407" s="137"/>
      <c r="E407" s="138">
        <f>10+10</f>
        <v>20</v>
      </c>
      <c r="F407" s="138"/>
      <c r="G407" s="16" t="s">
        <v>449</v>
      </c>
    </row>
    <row r="408" spans="2:7">
      <c r="B408" s="134">
        <v>984.2</v>
      </c>
      <c r="C408" s="18" t="s">
        <v>443</v>
      </c>
      <c r="D408" s="137"/>
      <c r="E408" s="138"/>
      <c r="F408" s="138"/>
      <c r="G408" s="16"/>
    </row>
    <row r="409" spans="2:7">
      <c r="B409" s="134">
        <v>85.02</v>
      </c>
      <c r="C409" s="27" t="s">
        <v>444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234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467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443</v>
      </c>
      <c r="D469" s="137"/>
      <c r="E469" s="138"/>
      <c r="F469" s="138"/>
      <c r="G469" s="16"/>
    </row>
    <row r="470" spans="1:7">
      <c r="B470" s="134">
        <v>43.19</v>
      </c>
      <c r="C470" s="27" t="s">
        <v>444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01" workbookViewId="0">
      <selection activeCell="B342" sqref="B342:G36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v>1773.93</v>
      </c>
      <c r="L5" s="425"/>
      <c r="M5" s="1"/>
      <c r="N5" s="1"/>
      <c r="R5" s="3"/>
    </row>
    <row r="6" spans="1:22" ht="15.75">
      <c r="A6" s="112">
        <f>'04'!A6+(B6-SUM(D6:F6))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6">
        <v>620.1</v>
      </c>
      <c r="L6" s="427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6">
        <v>7144.52</v>
      </c>
      <c r="L7" s="427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6">
        <v>10005.620000000001</v>
      </c>
      <c r="L8" s="427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6">
        <v>514.82000000000005</v>
      </c>
      <c r="L9" s="427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6">
        <f>210</f>
        <v>210</v>
      </c>
      <c r="L11" s="427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v>5092.08</v>
      </c>
      <c r="L12" s="427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27163.090000000004</v>
      </c>
      <c r="L19" s="442"/>
      <c r="M19" s="1"/>
      <c r="N19" s="1"/>
      <c r="R19" s="3"/>
    </row>
    <row r="20" spans="1:18" ht="16.5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 t="s">
        <v>401</v>
      </c>
      <c r="K25" s="407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4"/>
      <c r="J26" s="408"/>
      <c r="K26" s="409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4"/>
      <c r="J27" s="408"/>
      <c r="K27" s="409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04"/>
      <c r="J28" s="408"/>
      <c r="K28" s="409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2"/>
      <c r="J29" s="413"/>
      <c r="K29" s="414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 t="s">
        <v>430</v>
      </c>
      <c r="K30" s="407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 t="s">
        <v>362</v>
      </c>
      <c r="K31" s="409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 t="s">
        <v>328</v>
      </c>
      <c r="K32" s="409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/>
      <c r="K35" s="407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 t="s">
        <v>472</v>
      </c>
      <c r="K40" s="407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22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2"/>
      <c r="J44" s="413"/>
      <c r="K44" s="4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/>
      <c r="K45" s="407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471</v>
      </c>
      <c r="H46" s="1"/>
      <c r="I46" s="404"/>
      <c r="J46" s="408"/>
      <c r="K46" s="409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474</v>
      </c>
      <c r="H47" s="1"/>
      <c r="I47" s="404"/>
      <c r="J47" s="408"/>
      <c r="K47" s="409"/>
      <c r="L47" s="229"/>
      <c r="M47" s="1"/>
      <c r="R47" s="3"/>
    </row>
    <row r="48" spans="1:18" ht="15.75">
      <c r="A48" s="1"/>
      <c r="B48" s="134"/>
      <c r="C48" s="16" t="s">
        <v>457</v>
      </c>
      <c r="D48" s="137">
        <v>27.34</v>
      </c>
      <c r="E48" s="138"/>
      <c r="F48" s="138"/>
      <c r="G48" s="16" t="s">
        <v>481</v>
      </c>
      <c r="H48" s="1"/>
      <c r="I48" s="404"/>
      <c r="J48" s="408"/>
      <c r="K48" s="409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482</v>
      </c>
      <c r="H49" s="1"/>
      <c r="I49" s="412"/>
      <c r="J49" s="413"/>
      <c r="K49" s="414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489</v>
      </c>
      <c r="H50" s="1"/>
      <c r="I50" s="403" t="str">
        <f>AÑO!A13</f>
        <v>Gubernamental</v>
      </c>
      <c r="J50" s="406" t="s">
        <v>483</v>
      </c>
      <c r="K50" s="407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490</v>
      </c>
      <c r="H51" s="1"/>
      <c r="I51" s="404"/>
      <c r="J51" s="408"/>
      <c r="K51" s="409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494</v>
      </c>
      <c r="H52" s="1"/>
      <c r="I52" s="404"/>
      <c r="J52" s="408"/>
      <c r="K52" s="409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497</v>
      </c>
      <c r="H53" s="1"/>
      <c r="I53" s="404"/>
      <c r="J53" s="408"/>
      <c r="K53" s="409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606</v>
      </c>
      <c r="H54" s="1"/>
      <c r="I54" s="412"/>
      <c r="J54" s="413"/>
      <c r="K54" s="414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607</v>
      </c>
      <c r="H55" s="1"/>
      <c r="I55" s="403" t="str">
        <f>AÑO!A14</f>
        <v>Mutualite/DKV</v>
      </c>
      <c r="J55" s="406" t="s">
        <v>477</v>
      </c>
      <c r="K55" s="407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/>
      <c r="K56" s="409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/>
      <c r="K60" s="407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2"/>
      <c r="J64" s="413"/>
      <c r="K64" s="414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470</v>
      </c>
      <c r="H66" s="1"/>
      <c r="I66" s="404"/>
      <c r="J66" s="408"/>
      <c r="K66" s="409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479</v>
      </c>
      <c r="H67" s="1"/>
      <c r="I67" s="404"/>
      <c r="J67" s="408"/>
      <c r="K67" s="409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480</v>
      </c>
      <c r="H68" s="1"/>
      <c r="I68" s="404"/>
      <c r="J68" s="408"/>
      <c r="K68" s="409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487</v>
      </c>
      <c r="H69" s="1"/>
      <c r="I69" s="405"/>
      <c r="J69" s="410"/>
      <c r="K69" s="411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488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495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608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55.61</v>
      </c>
      <c r="E86" s="138"/>
      <c r="F86" s="138"/>
      <c r="G86" s="16" t="s">
        <v>475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491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500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609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614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474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493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567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492</v>
      </c>
    </row>
    <row r="207" spans="2:12">
      <c r="B207" s="134">
        <v>15</v>
      </c>
      <c r="C207" s="16" t="s">
        <v>567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402</v>
      </c>
      <c r="D246" s="137">
        <v>15</v>
      </c>
      <c r="E246" s="138"/>
      <c r="F246" s="138"/>
      <c r="G246" s="16" t="s">
        <v>490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498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431</v>
      </c>
      <c r="D257" s="137"/>
      <c r="E257" s="138">
        <f>100.67</f>
        <v>100.67</v>
      </c>
      <c r="F257" s="138"/>
      <c r="G257" s="16" t="s">
        <v>612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403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478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29" t="s">
        <v>9</v>
      </c>
      <c r="E284" s="431"/>
      <c r="F284" s="431"/>
      <c r="G284" s="4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485</v>
      </c>
    </row>
    <row r="287" spans="2:8">
      <c r="B287" s="134">
        <v>35</v>
      </c>
      <c r="C287" s="16" t="s">
        <v>613</v>
      </c>
      <c r="D287" s="137">
        <v>54.8</v>
      </c>
      <c r="E287" s="138"/>
      <c r="F287" s="138"/>
      <c r="G287" s="16" t="s">
        <v>615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633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v>4.4000000000000004</v>
      </c>
      <c r="E306" s="138"/>
      <c r="F306" s="138"/>
      <c r="G306" s="16" t="s">
        <v>469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477</v>
      </c>
    </row>
    <row r="308" spans="2:7">
      <c r="B308" s="134">
        <v>17.45</v>
      </c>
      <c r="C308" s="27" t="s">
        <v>486</v>
      </c>
      <c r="D308" s="137">
        <f>51.89+44.67</f>
        <v>96.56</v>
      </c>
      <c r="E308" s="138"/>
      <c r="F308" s="138"/>
      <c r="G308" s="16" t="s">
        <v>605</v>
      </c>
    </row>
    <row r="309" spans="2:7">
      <c r="B309" s="134">
        <v>170</v>
      </c>
      <c r="C309" s="16" t="s">
        <v>567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484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29" t="s">
        <v>9</v>
      </c>
      <c r="E344" s="431"/>
      <c r="F344" s="431"/>
      <c r="G344" s="4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29" t="s">
        <v>9</v>
      </c>
      <c r="E364" s="431"/>
      <c r="F364" s="431"/>
      <c r="G364" s="4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634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473</v>
      </c>
    </row>
    <row r="407" spans="2:7">
      <c r="B407" s="134">
        <v>45.86</v>
      </c>
      <c r="C407" s="16" t="s">
        <v>472</v>
      </c>
      <c r="D407" s="137"/>
      <c r="E407" s="138"/>
      <c r="F407" s="138"/>
      <c r="G407" s="16"/>
    </row>
    <row r="408" spans="2:7">
      <c r="B408" s="134">
        <v>-1094.26</v>
      </c>
      <c r="C408" s="16" t="s">
        <v>412</v>
      </c>
      <c r="D408" s="137">
        <v>44.48</v>
      </c>
      <c r="E408" s="138"/>
      <c r="F408" s="138"/>
      <c r="G408" s="16" t="s">
        <v>499</v>
      </c>
    </row>
    <row r="409" spans="2:7">
      <c r="B409" s="134">
        <f>29.29+20</f>
        <v>49.29</v>
      </c>
      <c r="C409" s="16" t="s">
        <v>567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8" ht="15" customHeight="1" thickBot="1">
      <c r="B423" s="436"/>
      <c r="C423" s="437"/>
      <c r="D423" s="437"/>
      <c r="E423" s="437"/>
      <c r="F423" s="437"/>
      <c r="G423" s="438"/>
    </row>
    <row r="424" spans="1:8">
      <c r="B424" s="429" t="s">
        <v>8</v>
      </c>
      <c r="C424" s="430"/>
      <c r="D424" s="429" t="s">
        <v>9</v>
      </c>
      <c r="E424" s="431"/>
      <c r="F424" s="431"/>
      <c r="G424" s="430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234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413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A5A9C1AE-FA77-4B03-91A5-3C7C451F6652}"/>
    <hyperlink ref="I2:L3" location="AÑO!S4:V5" display="SALDO REAL" xr:uid="{AF4E0249-6339-4D4B-8989-BFCE1D12F767}"/>
    <hyperlink ref="B2" location="Trimestre!C25:F26" display="HIPOTECA" xr:uid="{21638881-E10A-4387-A1D8-39673B44B6F8}"/>
    <hyperlink ref="B2:G3" location="AÑO!S20:V20" display="AÑO!S20:V20" xr:uid="{CC3F70BE-85F3-4F80-85B1-27F5FC8EAF0B}"/>
    <hyperlink ref="I22" location="Trimestre!C39:F40" display="TELÉFONO" xr:uid="{BB12CCB8-1173-44E4-9278-BC9E97480635}"/>
    <hyperlink ref="I22:L23" location="AÑO!S7:V17" display="INGRESOS" xr:uid="{EF8D674F-8E35-46E1-A1BA-C27AEA8D5852}"/>
    <hyperlink ref="B22" location="Trimestre!C25:F26" display="HIPOTECA" xr:uid="{F9F0C922-CD6C-4013-9F37-1984F7ECBD50}"/>
    <hyperlink ref="B22:G23" location="AÑO!S21:V21" display="AÑO!S21:V21" xr:uid="{CED09A46-DABF-45D0-8F83-FFECCAF72C6F}"/>
    <hyperlink ref="B42" location="Trimestre!C25:F26" display="HIPOTECA" xr:uid="{244BAA62-94B3-444B-8315-5B4D8C151BAC}"/>
    <hyperlink ref="B42:G43" location="AÑO!S22:V22" display="AÑO!S22:V22" xr:uid="{0F1AC34E-0E6B-45C0-ADCE-8AB3CCD88AC0}"/>
    <hyperlink ref="B62" location="Trimestre!C25:F26" display="HIPOTECA" xr:uid="{BE1A4C25-0506-4426-93B4-E8C4FD492466}"/>
    <hyperlink ref="B62:G63" location="AÑO!S23:V23" display="AÑO!S23:V23" xr:uid="{503CEBA6-5FB5-49AE-9A84-76C4DDD54FBD}"/>
    <hyperlink ref="B82" location="Trimestre!C25:F26" display="HIPOTECA" xr:uid="{1BCCA366-8CA9-4F11-961E-4A50E65BF955}"/>
    <hyperlink ref="B82:G83" location="AÑO!S24:V24" display="AÑO!S24:V24" xr:uid="{D8032147-A151-4625-B0D2-43196EC08A6A}"/>
    <hyperlink ref="B102" location="Trimestre!C25:F26" display="HIPOTECA" xr:uid="{3D4FB3E3-04AC-40BA-84C4-ED18C0140A33}"/>
    <hyperlink ref="B102:G103" location="AÑO!S25:V25" display="AÑO!S25:V25" xr:uid="{6B403437-19A2-4F2C-B6E5-9F44D2697B83}"/>
    <hyperlink ref="B122" location="Trimestre!C25:F26" display="HIPOTECA" xr:uid="{43CFFD85-3F55-44AF-B621-6D46EFD1C07F}"/>
    <hyperlink ref="B122:G123" location="AÑO!S26:V26" display="AÑO!S26:V26" xr:uid="{B31A78CD-DAF7-4E75-9C06-AD6D09638C1A}"/>
    <hyperlink ref="B142" location="Trimestre!C25:F26" display="HIPOTECA" xr:uid="{16D220B4-D51F-4546-BD38-D1CA6EBF2ACD}"/>
    <hyperlink ref="B142:G143" location="AÑO!S27:V27" display="AÑO!S27:V27" xr:uid="{CDA19D48-32FF-49FA-93C5-6A81F017AE1D}"/>
    <hyperlink ref="B162" location="Trimestre!C25:F26" display="HIPOTECA" xr:uid="{31FD3CDE-1AF8-4B42-9620-7D80D5C85D03}"/>
    <hyperlink ref="B162:G163" location="AÑO!S28:V28" display="AÑO!S28:V28" xr:uid="{CD4D19A6-987A-45B5-862B-9A4496A35650}"/>
    <hyperlink ref="B182" location="Trimestre!C25:F26" display="HIPOTECA" xr:uid="{90CCF46A-3E8F-48EA-8C21-6B88DDDD8338}"/>
    <hyperlink ref="B182:G183" location="AÑO!S29:V29" display="AÑO!S29:V29" xr:uid="{DF52C654-1C4D-4CAB-9A6F-62DBB8D557F1}"/>
    <hyperlink ref="B202" location="Trimestre!C25:F26" display="HIPOTECA" xr:uid="{A70E27AA-572D-43E5-81CF-C4B5A9D6E517}"/>
    <hyperlink ref="B202:G203" location="AÑO!S30:V30" display="AÑO!S30:V30" xr:uid="{C530BF0A-C67E-4F55-8DF1-89A7C3D3C403}"/>
    <hyperlink ref="B222" location="Trimestre!C25:F26" display="HIPOTECA" xr:uid="{918A5996-F3C2-4FE1-AC99-1D5CB52BB22F}"/>
    <hyperlink ref="B222:G223" location="AÑO!S31:V31" display="AÑO!S31:V31" xr:uid="{86FD4112-F38D-42C6-BFDE-E3A28BC76EA5}"/>
    <hyperlink ref="B242" location="Trimestre!C25:F26" display="HIPOTECA" xr:uid="{AD0B23F0-7EAB-455F-BF4C-910708D153AA}"/>
    <hyperlink ref="B242:G243" location="AÑO!S32:V32" display="AÑO!S32:V32" xr:uid="{994CB92F-921B-407C-B404-DC2858AC5922}"/>
    <hyperlink ref="B262" location="Trimestre!C25:F26" display="HIPOTECA" xr:uid="{EAB46DC5-CB4D-4835-9A84-8F7377E0CE0C}"/>
    <hyperlink ref="B262:G263" location="AÑO!S33:V33" display="AÑO!S33:V33" xr:uid="{75880A30-1E80-4916-8DB4-4C7B6D817431}"/>
    <hyperlink ref="B282" location="Trimestre!C25:F26" display="HIPOTECA" xr:uid="{924BE1C9-0303-445F-A3CA-0E5B57DFAED8}"/>
    <hyperlink ref="B282:G283" location="AÑO!S34:V34" display="AÑO!S34:V34" xr:uid="{18F535D3-FAA9-457D-8E5B-9C6A6CD4FF26}"/>
    <hyperlink ref="B302" location="Trimestre!C25:F26" display="HIPOTECA" xr:uid="{B23BCDBF-D615-409E-B358-847C80316071}"/>
    <hyperlink ref="B302:G303" location="AÑO!S35:V35" display="AÑO!S35:V35" xr:uid="{922C42CD-488F-49B9-93E1-4EC225657F19}"/>
    <hyperlink ref="B322" location="Trimestre!C25:F26" display="HIPOTECA" xr:uid="{E22C9BC9-94AF-4DF3-A22D-1192AA9CA52F}"/>
    <hyperlink ref="B322:G323" location="AÑO!S36:V36" display="AÑO!S36:V36" xr:uid="{D4719D72-CFA2-4C2D-B8B4-95BFB826C4EA}"/>
    <hyperlink ref="B342" location="Trimestre!C25:F26" display="HIPOTECA" xr:uid="{C84D498D-59C6-4343-8205-5831F34CF71C}"/>
    <hyperlink ref="B342:G343" location="AÑO!S37:V37" display="AÑO!S37:V37" xr:uid="{BB2A541B-A350-4290-BD68-8CD973680099}"/>
    <hyperlink ref="B362" location="Trimestre!C25:F26" display="HIPOTECA" xr:uid="{C58001FA-E4CA-46E5-8B38-58C407EBB712}"/>
    <hyperlink ref="B362:G363" location="AÑO!S38:V38" display="AÑO!S38:V38" xr:uid="{706084C7-D781-4A88-AE4B-F342BB82D627}"/>
    <hyperlink ref="B382" location="Trimestre!C25:F26" display="HIPOTECA" xr:uid="{9A75DF25-0C2C-4862-9766-495B88D439F2}"/>
    <hyperlink ref="B382:G383" location="AÑO!S39:V39" display="AÑO!S39:V39" xr:uid="{5CFC7EA4-5FD7-4F00-9B53-AA498336E25D}"/>
    <hyperlink ref="B402" location="Trimestre!C25:F26" display="HIPOTECA" xr:uid="{6F4C86F2-59B9-4A28-9ED0-E7AAB16F2819}"/>
    <hyperlink ref="B402:G403" location="AÑO!S40:V40" display="AÑO!S40:V40" xr:uid="{7CD7E4FA-39C4-45E7-B27E-049D821CBEB4}"/>
    <hyperlink ref="B422" location="Trimestre!C25:F26" display="HIPOTECA" xr:uid="{FF38462F-CD21-4504-B396-FB49D2F688D8}"/>
    <hyperlink ref="B422:G423" location="AÑO!S41:V41" display="AÑO!S41:V41" xr:uid="{614CD5D7-7102-4960-91B1-A0EBD0E9FA8C}"/>
    <hyperlink ref="B442" location="Trimestre!C25:F26" display="HIPOTECA" xr:uid="{78475C08-6BD3-4DD5-9911-962E1DFE2F8E}"/>
    <hyperlink ref="B442:G443" location="AÑO!S42:V42" display="AÑO!S42:V42" xr:uid="{3321C4F9-47BF-4D0A-93FE-AFC59F09A6E4}"/>
    <hyperlink ref="B462" location="Trimestre!C25:F26" display="HIPOTECA" xr:uid="{70D7E32A-FC07-4F1A-98CE-96E69323DA35}"/>
    <hyperlink ref="B462:G463" location="AÑO!S43:V43" display="AÑO!S43:V43" xr:uid="{28E4C79B-EB20-4F17-9FF5-D9EBCC32F648}"/>
    <hyperlink ref="B482" location="Trimestre!C25:F26" display="HIPOTECA" xr:uid="{DAC6EBDB-7181-4FEA-8A75-0DF4DF2CD73C}"/>
    <hyperlink ref="B482:G483" location="AÑO!S44:V44" display="AÑO!S44:V44" xr:uid="{F880265A-B96C-4F6B-B84A-724D6021839E}"/>
    <hyperlink ref="B502" location="Trimestre!C25:F26" display="HIPOTECA" xr:uid="{E83DA720-F94F-43F9-9B75-BE982F4E3707}"/>
    <hyperlink ref="B502:G503" location="AÑO!S45:V45" display="AÑO!S45:V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zoomScaleNormal="100" workbookViewId="0">
      <selection activeCell="E8" sqref="E8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f>M5+2156.93</f>
        <v>1614.1099999999997</v>
      </c>
      <c r="L5" s="425"/>
      <c r="M5" s="1">
        <f>-542.82</f>
        <v>-542.82000000000005</v>
      </c>
      <c r="N5" s="1" t="s">
        <v>611</v>
      </c>
      <c r="R5" s="3"/>
    </row>
    <row r="6" spans="1:22" ht="15.75">
      <c r="A6" s="112">
        <f>'05'!A6+(B6-SUM(D6:F6))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6">
        <v>620.1</v>
      </c>
      <c r="L6" s="427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6">
        <f>9234.42-58.2</f>
        <v>9176.2199999999993</v>
      </c>
      <c r="L7" s="427"/>
      <c r="M7" s="1"/>
      <c r="N7" s="1"/>
      <c r="R7" s="3"/>
    </row>
    <row r="8" spans="1:22" ht="15.75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26">
        <v>6305.62</v>
      </c>
      <c r="L8" s="427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26">
        <v>169.67</v>
      </c>
      <c r="L9" s="427"/>
      <c r="M9" s="1"/>
      <c r="N9" s="1"/>
      <c r="R9" s="3"/>
    </row>
    <row r="10" spans="1:22" ht="15.75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6">
        <v>190</v>
      </c>
      <c r="L11" s="427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29014.079999999998</v>
      </c>
      <c r="L19" s="442"/>
      <c r="M19" s="1"/>
      <c r="N19" s="1"/>
      <c r="R19" s="3"/>
    </row>
    <row r="20" spans="1:18" ht="16.5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 t="s">
        <v>401</v>
      </c>
      <c r="K25" s="407"/>
      <c r="L25" s="231">
        <v>2574.61</v>
      </c>
      <c r="M25" s="1"/>
      <c r="R25" s="3"/>
    </row>
    <row r="26" spans="1:18" ht="15.75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4"/>
      <c r="J26" s="408"/>
      <c r="K26" s="409"/>
      <c r="L26" s="229"/>
      <c r="M26" s="1"/>
      <c r="R26" s="3"/>
    </row>
    <row r="27" spans="1:18" ht="15.75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4"/>
      <c r="J27" s="408"/>
      <c r="K27" s="409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229"/>
      <c r="M28" s="1"/>
      <c r="R28" s="3"/>
    </row>
    <row r="29" spans="1:18" ht="15.75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2"/>
      <c r="J29" s="413"/>
      <c r="K29" s="414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 t="s">
        <v>626</v>
      </c>
      <c r="K30" s="407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 t="s">
        <v>430</v>
      </c>
      <c r="K31" s="409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 t="s">
        <v>328</v>
      </c>
      <c r="K32" s="409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 t="s">
        <v>359</v>
      </c>
      <c r="K35" s="407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30"/>
      <c r="M39" s="1"/>
      <c r="R39" s="3"/>
    </row>
    <row r="40" spans="1:18" ht="16.5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/>
      <c r="K40" s="407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22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2"/>
      <c r="J44" s="413"/>
      <c r="K44" s="4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 t="s">
        <v>160</v>
      </c>
      <c r="K45" s="407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618</v>
      </c>
      <c r="H46" s="1"/>
      <c r="I46" s="404"/>
      <c r="J46" s="408"/>
      <c r="K46" s="409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630</v>
      </c>
      <c r="H47" s="1"/>
      <c r="I47" s="404"/>
      <c r="J47" s="408"/>
      <c r="K47" s="409"/>
      <c r="L47" s="229"/>
      <c r="M47" s="1"/>
      <c r="R47" s="3"/>
    </row>
    <row r="48" spans="1:18" ht="15.75">
      <c r="A48" s="1"/>
      <c r="B48" s="134"/>
      <c r="C48" s="16" t="s">
        <v>619</v>
      </c>
      <c r="D48" s="137">
        <v>27.2</v>
      </c>
      <c r="E48" s="138"/>
      <c r="F48" s="138"/>
      <c r="G48" s="16" t="s">
        <v>643</v>
      </c>
      <c r="H48" s="1"/>
      <c r="I48" s="404"/>
      <c r="J48" s="408"/>
      <c r="K48" s="409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644</v>
      </c>
      <c r="H49" s="1"/>
      <c r="I49" s="412"/>
      <c r="J49" s="413"/>
      <c r="K49" s="414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648</v>
      </c>
      <c r="H50" s="1"/>
      <c r="I50" s="403" t="str">
        <f>AÑO!A13</f>
        <v>Gubernamental</v>
      </c>
      <c r="J50" s="406" t="s">
        <v>639</v>
      </c>
      <c r="K50" s="407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656</v>
      </c>
      <c r="H51" s="1"/>
      <c r="I51" s="404"/>
      <c r="J51" s="408"/>
      <c r="K51" s="409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658</v>
      </c>
      <c r="H52" s="1"/>
      <c r="I52" s="404"/>
      <c r="J52" s="408"/>
      <c r="K52" s="409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664</v>
      </c>
      <c r="H53" s="1"/>
      <c r="I53" s="404"/>
      <c r="J53" s="408"/>
      <c r="K53" s="409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669</v>
      </c>
      <c r="H54" s="1"/>
      <c r="I54" s="412"/>
      <c r="J54" s="413"/>
      <c r="K54" s="414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677</v>
      </c>
      <c r="H55" s="1"/>
      <c r="I55" s="403" t="str">
        <f>AÑO!A14</f>
        <v>Mutualite/DKV</v>
      </c>
      <c r="J55" s="406"/>
      <c r="K55" s="407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/>
      <c r="K56" s="409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 t="s">
        <v>627</v>
      </c>
      <c r="K60" s="407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2"/>
      <c r="J64" s="413"/>
      <c r="K64" s="414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231"/>
      <c r="M65" s="1"/>
      <c r="R65" s="3"/>
    </row>
    <row r="66" spans="1:18" ht="15.75">
      <c r="A66" s="112">
        <f>'05'!A66+(B66-SUM(D66:F78))+B67+B68</f>
        <v>1.6800000000000139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640</v>
      </c>
      <c r="H66" s="1"/>
      <c r="I66" s="404"/>
      <c r="J66" s="408"/>
      <c r="K66" s="409"/>
      <c r="L66" s="229"/>
      <c r="M66" s="1"/>
      <c r="R66" s="3"/>
    </row>
    <row r="67" spans="1:18" ht="15.75">
      <c r="A67" s="1"/>
      <c r="B67" s="134">
        <v>-35</v>
      </c>
      <c r="C67" s="16" t="s">
        <v>628</v>
      </c>
      <c r="D67" s="137">
        <v>36.049999999999997</v>
      </c>
      <c r="E67" s="138"/>
      <c r="F67" s="138"/>
      <c r="G67" s="31" t="s">
        <v>651</v>
      </c>
      <c r="H67" s="1"/>
      <c r="I67" s="404"/>
      <c r="J67" s="408"/>
      <c r="K67" s="409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653</v>
      </c>
      <c r="H68" s="1"/>
      <c r="I68" s="404"/>
      <c r="J68" s="408"/>
      <c r="K68" s="409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655</v>
      </c>
      <c r="H69" s="1"/>
      <c r="I69" s="405"/>
      <c r="J69" s="410"/>
      <c r="K69" s="41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659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660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667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81.680000000000007</v>
      </c>
      <c r="B80" s="233">
        <f>SUM(B66:B79)</f>
        <v>145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41.71</v>
      </c>
      <c r="E86" s="138"/>
      <c r="F86" s="138"/>
      <c r="G86" s="16" t="s">
        <v>622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624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641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642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663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665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666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675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53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33.159999999999997</v>
      </c>
      <c r="E146" s="138"/>
      <c r="F146" s="138"/>
      <c r="G146" s="16" t="s">
        <v>676</v>
      </c>
      <c r="H146" s="1"/>
      <c r="M146" s="1"/>
      <c r="R146" s="3"/>
    </row>
    <row r="147" spans="1:22" ht="15.75">
      <c r="A147" s="1"/>
      <c r="B147" s="134">
        <v>-60</v>
      </c>
      <c r="C147" s="16" t="s">
        <v>620</v>
      </c>
      <c r="D147" s="137"/>
      <c r="E147" s="138"/>
      <c r="F147" s="138"/>
      <c r="G147" s="16" t="s">
        <v>621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53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649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654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656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657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678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402</v>
      </c>
      <c r="D246" s="137"/>
      <c r="E246" s="138">
        <v>21.08</v>
      </c>
      <c r="F246" s="138"/>
      <c r="G246" s="16" t="s">
        <v>647</v>
      </c>
    </row>
    <row r="247" spans="1:7" ht="15" customHeight="1">
      <c r="A247" s="112"/>
      <c r="B247" s="134">
        <f>-10</f>
        <v>-10</v>
      </c>
      <c r="C247" s="16" t="s">
        <v>680</v>
      </c>
      <c r="D247" s="137">
        <v>12.99</v>
      </c>
      <c r="E247" s="138"/>
      <c r="F247" s="138"/>
      <c r="G247" s="16" t="s">
        <v>656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669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431</v>
      </c>
      <c r="D257" s="137"/>
      <c r="E257" s="138">
        <v>100.67</v>
      </c>
      <c r="F257" s="138"/>
      <c r="G257" s="16" t="s">
        <v>405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403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53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632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662</v>
      </c>
      <c r="H267" s="89" t="s">
        <v>661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668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.75" thickBot="1">
      <c r="B281" s="5"/>
      <c r="C281" s="3"/>
      <c r="D281" s="5"/>
      <c r="E281" s="5"/>
    </row>
    <row r="282" spans="2:9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9" ht="15" customHeight="1" thickBot="1">
      <c r="B283" s="419"/>
      <c r="C283" s="420"/>
      <c r="D283" s="420"/>
      <c r="E283" s="420"/>
      <c r="F283" s="420"/>
      <c r="G283" s="421"/>
    </row>
    <row r="284" spans="2:9">
      <c r="B284" s="429" t="s">
        <v>8</v>
      </c>
      <c r="C284" s="430"/>
      <c r="D284" s="429" t="s">
        <v>9</v>
      </c>
      <c r="E284" s="431"/>
      <c r="F284" s="431"/>
      <c r="G284" s="430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635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646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616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625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637</v>
      </c>
    </row>
    <row r="308" spans="2:7">
      <c r="B308" s="134"/>
      <c r="C308" s="27"/>
      <c r="D308" s="137"/>
      <c r="E308" s="138"/>
      <c r="F308" s="138">
        <v>50</v>
      </c>
      <c r="G308" s="16" t="s">
        <v>638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636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140.73+(B346-SUM(D346:F357))</f>
        <v>185.73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617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629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650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669</v>
      </c>
    </row>
    <row r="369" spans="2:7">
      <c r="B369" s="134"/>
      <c r="C369" s="16"/>
      <c r="D369" s="137">
        <v>11</v>
      </c>
      <c r="E369" s="138"/>
      <c r="F369" s="138"/>
      <c r="G369" s="16" t="s">
        <v>670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AÑO!W17</f>
        <v>4093.3200000000006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-0.82999999999901775</v>
      </c>
      <c r="C426" s="19" t="s">
        <v>234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623</v>
      </c>
      <c r="D469" s="137"/>
      <c r="E469" s="138"/>
      <c r="F469" s="138"/>
      <c r="G469" s="16" t="s">
        <v>296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C712BEFF-058D-483E-A328-9530E395AF8E}"/>
    <hyperlink ref="I2:L3" location="AÑO!W4:Z5" display="SALDO REAL" xr:uid="{83A7CBDF-7BAE-4ACF-BB60-362D3DFA6DB5}"/>
    <hyperlink ref="B2" location="Trimestre!C25:F26" display="HIPOTECA" xr:uid="{7BEE5A7A-2695-4DA7-A231-832C5178BEC1}"/>
    <hyperlink ref="B2:G3" location="AÑO!W20:Z20" display="AÑO!W20:Z20" xr:uid="{01FC6BD1-5956-4F00-B223-0C8E893D3C28}"/>
    <hyperlink ref="I22" location="Trimestre!C39:F40" display="TELÉFONO" xr:uid="{654C5CF2-30EC-4AD5-A1EB-74496773D9CB}"/>
    <hyperlink ref="I22:L23" location="AÑO!W7:Z17" display="INGRESOS" xr:uid="{821ADD62-E467-4C75-82DA-8270E43CC849}"/>
    <hyperlink ref="B22" location="Trimestre!C25:F26" display="HIPOTECA" xr:uid="{7113D5FD-7161-4761-A2C1-D0757C5E1BF4}"/>
    <hyperlink ref="B22:G23" location="AÑO!W21:Z21" display="AÑO!W21:Z21" xr:uid="{C970DD7C-6B6B-4623-86F9-67FE2986FC1B}"/>
    <hyperlink ref="B42" location="Trimestre!C25:F26" display="HIPOTECA" xr:uid="{CCD608B7-652A-424C-8450-8D21A6CAB32E}"/>
    <hyperlink ref="B42:G43" location="AÑO!W22:Z22" display="AÑO!W22:Z22" xr:uid="{5DAC9651-92CB-4B35-A7E7-5B937AAA1CDC}"/>
    <hyperlink ref="B62" location="Trimestre!C25:F26" display="HIPOTECA" xr:uid="{85376C4C-D3D9-4A89-9A53-FC980DA1B72D}"/>
    <hyperlink ref="B62:G63" location="AÑO!W23:Z23" display="AÑO!W23:Z23" xr:uid="{0E402A44-7D95-47CA-ACFC-F020562EEE9C}"/>
    <hyperlink ref="B82" location="Trimestre!C25:F26" display="HIPOTECA" xr:uid="{3FE09476-1DDE-4CAF-B2EC-21CCD3C2C328}"/>
    <hyperlink ref="B82:G83" location="AÑO!W24:Z24" display="AÑO!W24:Z24" xr:uid="{DB737FED-966E-415D-8C26-E437B7981E2F}"/>
    <hyperlink ref="B102" location="Trimestre!C25:F26" display="HIPOTECA" xr:uid="{00DC005D-247A-4D21-9061-866AE19681E9}"/>
    <hyperlink ref="B102:G103" location="AÑO!W25:Z25" display="AÑO!W25:Z25" xr:uid="{45082976-83C9-4CBF-B824-AB20B5E878BF}"/>
    <hyperlink ref="B122" location="Trimestre!C25:F26" display="HIPOTECA" xr:uid="{809A540D-9B15-442F-ABF4-E13063969D3E}"/>
    <hyperlink ref="B122:G123" location="AÑO!W26:Z26" display="AÑO!W26:Z26" xr:uid="{2D9C2949-2780-4310-BB08-8CD4C828FDB2}"/>
    <hyperlink ref="B142" location="Trimestre!C25:F26" display="HIPOTECA" xr:uid="{FC0831B9-AC1B-4953-B67A-43ACF9F36AFE}"/>
    <hyperlink ref="B142:G143" location="AÑO!W27:Z27" display="AÑO!W27:Z27" xr:uid="{1759BAC5-1B77-4325-86FE-75AFAAE070A1}"/>
    <hyperlink ref="B162" location="Trimestre!C25:F26" display="HIPOTECA" xr:uid="{E6D41C3D-713F-454C-8558-542C07EDE443}"/>
    <hyperlink ref="B162:G163" location="AÑO!W28:Z28" display="AÑO!W28:Z28" xr:uid="{B0A872C0-2891-4136-B00C-C496A1900AD5}"/>
    <hyperlink ref="B182" location="Trimestre!C25:F26" display="HIPOTECA" xr:uid="{B4B69845-9743-4992-8FAB-5756A8695DA3}"/>
    <hyperlink ref="B182:G183" location="AÑO!W29:Z29" display="AÑO!W29:Z29" xr:uid="{6E7DD210-E74D-4F40-8724-5EEE41D7DE5F}"/>
    <hyperlink ref="B202" location="Trimestre!C25:F26" display="HIPOTECA" xr:uid="{57DD9A53-8885-4936-B3AC-90A89FBE503C}"/>
    <hyperlink ref="B202:G203" location="AÑO!W30:Z30" display="AÑO!W30:Z30" xr:uid="{AD6A6C05-B994-4464-BADE-0A1EC792F45A}"/>
    <hyperlink ref="B222" location="Trimestre!C25:F26" display="HIPOTECA" xr:uid="{569ABEBF-CADC-4219-9F59-8E5F8A0DC5C1}"/>
    <hyperlink ref="B222:G223" location="AÑO!W31:Z31" display="AÑO!W31:Z31" xr:uid="{C2123514-2FBE-4B7E-9A27-FA2677AF659C}"/>
    <hyperlink ref="B242" location="Trimestre!C25:F26" display="HIPOTECA" xr:uid="{F960F257-9A31-4EA0-9C35-17BE03BF784F}"/>
    <hyperlink ref="B242:G243" location="AÑO!W32:Z32" display="AÑO!W32:Z32" xr:uid="{E8282D48-23D8-4ADF-93AD-D69651254A9C}"/>
    <hyperlink ref="B262" location="Trimestre!C25:F26" display="HIPOTECA" xr:uid="{ECF73BA6-20B2-4C63-A6D6-54240B32F4B1}"/>
    <hyperlink ref="B262:G263" location="AÑO!W33:Z33" display="AÑO!W33:Z33" xr:uid="{4A4EA5B9-9B9E-4434-B2AF-5F1F2954FD9C}"/>
    <hyperlink ref="B282" location="Trimestre!C25:F26" display="HIPOTECA" xr:uid="{72B1D4EE-306A-47AE-9D2E-35AC0C5F007C}"/>
    <hyperlink ref="B282:G283" location="AÑO!W34:Z34" display="AÑO!W34:Z34" xr:uid="{955679F8-C326-49B1-AEFD-ED6ACE44D8D1}"/>
    <hyperlink ref="B302" location="Trimestre!C25:F26" display="HIPOTECA" xr:uid="{0D3CB661-04D3-49A7-B08D-F1391433FB04}"/>
    <hyperlink ref="B302:G303" location="AÑO!W35:Z35" display="AÑO!W35:Z35" xr:uid="{3F49CD76-506D-4763-982B-B02227D65106}"/>
    <hyperlink ref="B322" location="Trimestre!C25:F26" display="HIPOTECA" xr:uid="{9D10FB17-6F1D-4F88-A3ED-5DD57BD8D0DE}"/>
    <hyperlink ref="B322:G323" location="AÑO!W36:Z36" display="AÑO!W36:Z36" xr:uid="{8644B60D-DD50-426B-858A-C94DD04F76DF}"/>
    <hyperlink ref="B342" location="Trimestre!C25:F26" display="HIPOTECA" xr:uid="{9218D1A0-BC4E-487A-9A38-2C4C7663C8B1}"/>
    <hyperlink ref="B342:G343" location="AÑO!W37:Z37" display="AÑO!W37:Z37" xr:uid="{A4D22A1A-AD19-442F-9D94-9B9D0F2048B0}"/>
    <hyperlink ref="B362" location="Trimestre!C25:F26" display="HIPOTECA" xr:uid="{9ED8BB8F-F32C-402A-B4F6-908DA76EA86D}"/>
    <hyperlink ref="B362:G363" location="AÑO!W38:Z38" display="AÑO!W38:Z38" xr:uid="{A5CD3ECA-0FCC-4E28-9E36-A188F7710686}"/>
    <hyperlink ref="B382" location="Trimestre!C25:F26" display="HIPOTECA" xr:uid="{B8668375-2FE4-477B-BE37-C33AFA8579A9}"/>
    <hyperlink ref="B382:G383" location="AÑO!W39:Z39" display="AÑO!W39:Z39" xr:uid="{317EDCAE-F153-444A-8C5B-BF5F1346012D}"/>
    <hyperlink ref="B402" location="Trimestre!C25:F26" display="HIPOTECA" xr:uid="{848E53AC-4FA4-485F-9786-CFBDC41CDCA6}"/>
    <hyperlink ref="B402:G403" location="AÑO!W40:Z40" display="AÑO!W40:Z40" xr:uid="{0407D3B1-89E8-4DA8-B417-A0D8D9DB6101}"/>
    <hyperlink ref="B422" location="Trimestre!C25:F26" display="HIPOTECA" xr:uid="{B323137B-9FEC-4589-9805-31276D7D178B}"/>
    <hyperlink ref="B422:G423" location="AÑO!W41:Z41" display="AÑO!W41:Z41" xr:uid="{17EAB0DC-C684-4FF4-B35A-DC054656CE62}"/>
    <hyperlink ref="B442" location="Trimestre!C25:F26" display="HIPOTECA" xr:uid="{17D2B360-577D-4D90-A0F2-19C70E498CDA}"/>
    <hyperlink ref="B442:G443" location="AÑO!W42:Z42" display="AÑO!W42:Z42" xr:uid="{7626C6B4-0DC5-4717-BAAC-22EC8A1567E6}"/>
    <hyperlink ref="B462" location="Trimestre!C25:F26" display="HIPOTECA" xr:uid="{0C07E8E6-F16E-41EF-8CEF-D3B172C71492}"/>
    <hyperlink ref="B462:G463" location="AÑO!W43:Z43" display="AÑO!W43:Z43" xr:uid="{49B14C1F-E19B-4E66-A339-BB6B1D7EB6B9}"/>
    <hyperlink ref="B482" location="Trimestre!C25:F26" display="HIPOTECA" xr:uid="{B1749E88-0C12-4EF3-98FF-E9B4169AB33A}"/>
    <hyperlink ref="B482:G483" location="AÑO!W44:Z44" display="AÑO!W44:Z44" xr:uid="{ACAF3C81-C442-4A76-969D-49B6EB1C885F}"/>
    <hyperlink ref="B502" location="Trimestre!C25:F26" display="HIPOTECA" xr:uid="{050C5B32-2449-4B2F-9583-532EE23527D7}"/>
    <hyperlink ref="B502:G503" location="AÑO!W45:Z45" display="AÑO!W45:Z45" xr:uid="{D01A944C-AC54-4D06-8173-53A2A9728944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C8" sqref="C8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f>2939.95</f>
        <v>2939.95</v>
      </c>
      <c r="L5" s="425"/>
      <c r="M5" s="1"/>
      <c r="N5" s="1"/>
      <c r="R5" s="3"/>
    </row>
    <row r="6" spans="1:22" ht="15.75">
      <c r="A6" s="112">
        <f>'06'!A6+(B6-SUM(D6:F6))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6">
        <v>620.1</v>
      </c>
      <c r="L6" s="427"/>
      <c r="M6" s="1" t="s">
        <v>165</v>
      </c>
      <c r="N6" s="1"/>
      <c r="R6" s="3"/>
    </row>
    <row r="7" spans="1:22" ht="15.75">
      <c r="A7" s="112">
        <f>'06'!A7+(B7-SUM(D7:F7))</f>
        <v>170.02999999999997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6">
        <v>8049.26</v>
      </c>
      <c r="L7" s="427"/>
      <c r="M7" s="1"/>
      <c r="N7" s="1"/>
      <c r="R7" s="3"/>
    </row>
    <row r="8" spans="1:22" ht="15.75">
      <c r="A8" s="112">
        <f>'06'!A8+(B8-SUM(D8:F8))</f>
        <v>9.0000000000017621E-2</v>
      </c>
      <c r="B8" s="134">
        <f>L60-550</f>
        <v>99.100000000000023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6">
        <v>6305.62</v>
      </c>
      <c r="L8" s="427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6">
        <v>169.67</v>
      </c>
      <c r="L9" s="427"/>
      <c r="M9" s="1"/>
      <c r="N9" s="1"/>
      <c r="R9" s="3"/>
    </row>
    <row r="10" spans="1:22" ht="15.75">
      <c r="A10" s="112">
        <f>'06'!A10+(B10-SUM(D10:F10))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'06'!A11+(B11-SUM(D11:F11))</f>
        <v>-1.9999999999996021E-2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26">
        <v>260</v>
      </c>
      <c r="L11" s="427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'06'!A13+(B13-SUM(D13:F13))</f>
        <v>31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29282.959999999999</v>
      </c>
      <c r="L19" s="442"/>
      <c r="M19" s="1"/>
      <c r="N19" s="1"/>
      <c r="R19" s="3"/>
    </row>
    <row r="20" spans="1:18" ht="16.5" thickBot="1">
      <c r="A20" s="112">
        <f>SUM(A6:A15)</f>
        <v>432.14000000000004</v>
      </c>
      <c r="B20" s="135">
        <f>SUM(B6:B19)</f>
        <v>643.1</v>
      </c>
      <c r="C20" s="17" t="s">
        <v>53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 t="s">
        <v>401</v>
      </c>
      <c r="K25" s="407"/>
      <c r="L25" s="231">
        <v>2568.54</v>
      </c>
      <c r="M25" s="1"/>
      <c r="R25" s="3"/>
    </row>
    <row r="26" spans="1:18" ht="15.75">
      <c r="A26" s="112">
        <f>'06'!A26+(B26-SUM(D26:F26))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4"/>
      <c r="J26" s="408"/>
      <c r="K26" s="409"/>
      <c r="L26" s="229"/>
      <c r="M26" s="1"/>
      <c r="R26" s="3"/>
    </row>
    <row r="27" spans="1:18" ht="15.75">
      <c r="A27" s="112">
        <f>'06'!A27+(B27-SUM(D27:F27))</f>
        <v>34.039999999999964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4"/>
      <c r="J27" s="408"/>
      <c r="K27" s="409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229"/>
      <c r="M28" s="1"/>
      <c r="R28" s="3"/>
    </row>
    <row r="29" spans="1:18" ht="15.75">
      <c r="A29" s="112">
        <f>'06'!A29+(B29-SUM(D29:F29))</f>
        <v>1.5300000000000047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2"/>
      <c r="J29" s="413"/>
      <c r="K29" s="414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 t="s">
        <v>430</v>
      </c>
      <c r="K30" s="407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 t="s">
        <v>626</v>
      </c>
      <c r="K31" s="409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 t="s">
        <v>692</v>
      </c>
      <c r="K32" s="409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/>
      <c r="K35" s="407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30"/>
      <c r="M39" s="1"/>
      <c r="R39" s="3"/>
    </row>
    <row r="40" spans="1:18" ht="16.5" thickBot="1">
      <c r="A40" s="112">
        <f>SUM(A26:A35)</f>
        <v>380.15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 t="s">
        <v>679</v>
      </c>
      <c r="K40" s="407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 t="s">
        <v>60</v>
      </c>
      <c r="K41" s="409"/>
      <c r="L41" s="229">
        <v>0.02</v>
      </c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2"/>
      <c r="J44" s="413"/>
      <c r="K44" s="4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/>
      <c r="K45" s="407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684</v>
      </c>
      <c r="H46" s="1"/>
      <c r="I46" s="404"/>
      <c r="J46" s="408"/>
      <c r="K46" s="409"/>
      <c r="L46" s="229"/>
      <c r="M46" s="1"/>
      <c r="R46" s="3"/>
    </row>
    <row r="47" spans="1:18" ht="15.75">
      <c r="A47" s="1"/>
      <c r="B47" s="134"/>
      <c r="C47" s="16" t="s">
        <v>78</v>
      </c>
      <c r="D47" s="137">
        <f>43.65-D187-D286</f>
        <v>6.6499999999999986</v>
      </c>
      <c r="E47" s="138"/>
      <c r="F47" s="138"/>
      <c r="G47" s="16" t="s">
        <v>690</v>
      </c>
      <c r="H47" s="1"/>
      <c r="I47" s="404"/>
      <c r="J47" s="408"/>
      <c r="K47" s="409"/>
      <c r="L47" s="229"/>
      <c r="M47" s="1"/>
      <c r="R47" s="3"/>
    </row>
    <row r="48" spans="1:18" ht="15.75">
      <c r="A48" s="1"/>
      <c r="B48" s="134"/>
      <c r="C48" s="16" t="s">
        <v>619</v>
      </c>
      <c r="D48" s="137">
        <v>8.1</v>
      </c>
      <c r="E48" s="138"/>
      <c r="F48" s="138"/>
      <c r="G48" s="16" t="s">
        <v>709</v>
      </c>
      <c r="H48" s="1"/>
      <c r="I48" s="404"/>
      <c r="J48" s="408"/>
      <c r="K48" s="409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687</v>
      </c>
      <c r="D49" s="137">
        <v>2.5499999999999998</v>
      </c>
      <c r="E49" s="138"/>
      <c r="F49" s="138"/>
      <c r="G49" s="16" t="s">
        <v>718</v>
      </c>
      <c r="H49" s="1"/>
      <c r="I49" s="412"/>
      <c r="J49" s="413"/>
      <c r="K49" s="414"/>
      <c r="L49" s="230"/>
      <c r="M49" s="1"/>
      <c r="R49" s="3"/>
    </row>
    <row r="50" spans="1:18" ht="15.75" customHeight="1">
      <c r="A50" s="1"/>
      <c r="B50" s="134">
        <v>5</v>
      </c>
      <c r="C50" s="16" t="s">
        <v>714</v>
      </c>
      <c r="D50" s="137">
        <v>69.97</v>
      </c>
      <c r="E50" s="138"/>
      <c r="F50" s="138"/>
      <c r="G50" s="16" t="s">
        <v>730</v>
      </c>
      <c r="H50" s="1"/>
      <c r="I50" s="403" t="str">
        <f>AÑO!A13</f>
        <v>Gubernamental</v>
      </c>
      <c r="J50" s="406" t="s">
        <v>639</v>
      </c>
      <c r="K50" s="407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733</v>
      </c>
      <c r="D51" s="137">
        <v>5.29</v>
      </c>
      <c r="E51" s="138"/>
      <c r="F51" s="138"/>
      <c r="G51" s="16" t="s">
        <v>732</v>
      </c>
      <c r="H51" s="1"/>
      <c r="I51" s="404"/>
      <c r="J51" s="408"/>
      <c r="K51" s="409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4"/>
      <c r="J52" s="408"/>
      <c r="K52" s="409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4"/>
      <c r="J53" s="408"/>
      <c r="K53" s="409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2"/>
      <c r="J54" s="413"/>
      <c r="K54" s="414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3" t="str">
        <f>AÑO!A14</f>
        <v>Mutualite/DKV</v>
      </c>
      <c r="J55" s="406" t="s">
        <v>693</v>
      </c>
      <c r="K55" s="407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 t="s">
        <v>693</v>
      </c>
      <c r="K56" s="409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 t="s">
        <v>693</v>
      </c>
      <c r="K57" s="409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53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 t="s">
        <v>708</v>
      </c>
      <c r="K60" s="407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2"/>
      <c r="J64" s="413"/>
      <c r="K64" s="414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231"/>
      <c r="M65" s="1"/>
      <c r="R65" s="3"/>
    </row>
    <row r="66" spans="1:18" ht="15.75">
      <c r="A66" s="112">
        <f>'06'!A66+(B66-SUM(D66:F78))+B67</f>
        <v>19.480000000000025</v>
      </c>
      <c r="B66" s="133">
        <v>160</v>
      </c>
      <c r="C66" s="19" t="s">
        <v>33</v>
      </c>
      <c r="D66" s="137">
        <v>42</v>
      </c>
      <c r="E66" s="138"/>
      <c r="F66" s="138"/>
      <c r="G66" s="19" t="s">
        <v>685</v>
      </c>
      <c r="H66" s="1"/>
      <c r="I66" s="404"/>
      <c r="J66" s="408"/>
      <c r="K66" s="409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694</v>
      </c>
      <c r="H67" s="1"/>
      <c r="I67" s="404"/>
      <c r="J67" s="408"/>
      <c r="K67" s="409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716</v>
      </c>
      <c r="H68" s="1"/>
      <c r="I68" s="404"/>
      <c r="J68" s="408"/>
      <c r="K68" s="409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715</v>
      </c>
      <c r="H69" s="1"/>
      <c r="I69" s="405"/>
      <c r="J69" s="410"/>
      <c r="K69" s="411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728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90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109.48000000000002</v>
      </c>
      <c r="B80" s="233">
        <f>SUM(B66:B79)</f>
        <v>170</v>
      </c>
      <c r="C80" s="17" t="s">
        <v>53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47.8</v>
      </c>
      <c r="E86" s="138"/>
      <c r="F86" s="138"/>
      <c r="G86" s="16" t="s">
        <v>717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723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2.0200000000000387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735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738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485.11999999999995</v>
      </c>
      <c r="B120" s="135">
        <f>SUM(B106:B119)</f>
        <v>645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14.63</v>
      </c>
      <c r="E166" s="138"/>
      <c r="F166" s="138"/>
      <c r="G166" s="16" t="s">
        <v>689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697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701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703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711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704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705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706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35.94</v>
      </c>
      <c r="E186" s="138"/>
      <c r="F186" s="138"/>
      <c r="G186" s="16" t="s">
        <v>691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690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719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731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684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702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402</v>
      </c>
      <c r="D246" s="137">
        <v>33.729999999999997</v>
      </c>
      <c r="E246" s="138"/>
      <c r="F246" s="138"/>
      <c r="G246" s="16" t="s">
        <v>727</v>
      </c>
    </row>
    <row r="247" spans="1:7" ht="15" customHeight="1">
      <c r="A247" s="112"/>
      <c r="B247" s="134">
        <v>-5</v>
      </c>
      <c r="C247" s="16" t="s">
        <v>714</v>
      </c>
      <c r="D247" s="137">
        <v>20</v>
      </c>
      <c r="E247" s="138"/>
      <c r="F247" s="138"/>
      <c r="G247" s="16" t="s">
        <v>730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712</v>
      </c>
      <c r="D257" s="137"/>
      <c r="E257" s="138">
        <v>100.67</v>
      </c>
      <c r="F257" s="138"/>
      <c r="G257" s="16" t="s">
        <v>739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721</v>
      </c>
      <c r="D258" s="137">
        <v>349</v>
      </c>
      <c r="E258" s="138"/>
      <c r="F258" s="138"/>
      <c r="G258" s="16" t="s">
        <v>688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53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29" t="s">
        <v>9</v>
      </c>
      <c r="E284" s="431"/>
      <c r="F284" s="431"/>
      <c r="G284" s="4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25</v>
      </c>
      <c r="E286" s="138"/>
      <c r="F286" s="138"/>
      <c r="G286" s="16" t="s">
        <v>690</v>
      </c>
    </row>
    <row r="287" spans="2:8">
      <c r="B287" s="134"/>
      <c r="C287" s="16"/>
      <c r="D287" s="137"/>
      <c r="E287" s="138"/>
      <c r="F287" s="138">
        <v>50</v>
      </c>
      <c r="G287" s="16" t="s">
        <v>699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700</v>
      </c>
    </row>
    <row r="289" spans="2:8">
      <c r="B289" s="134"/>
      <c r="C289" s="16"/>
      <c r="D289" s="137">
        <v>26.31</v>
      </c>
      <c r="E289" s="138"/>
      <c r="F289" s="138"/>
      <c r="G289" s="16" t="s">
        <v>702</v>
      </c>
    </row>
    <row r="290" spans="2:8">
      <c r="B290" s="134"/>
      <c r="C290" s="16"/>
      <c r="D290" s="137"/>
      <c r="E290" s="138">
        <v>31.95</v>
      </c>
      <c r="F290" s="138"/>
      <c r="G290" s="16" t="s">
        <v>720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681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683</v>
      </c>
    </row>
    <row r="308" spans="2:7">
      <c r="B308" s="134">
        <f>37.49+14.27+14.27</f>
        <v>66.03</v>
      </c>
      <c r="C308" s="27" t="s">
        <v>693</v>
      </c>
      <c r="D308" s="137">
        <f>37.5+37.5</f>
        <v>75</v>
      </c>
      <c r="E308" s="138"/>
      <c r="F308" s="138"/>
      <c r="G308" s="16" t="s">
        <v>710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53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707</v>
      </c>
    </row>
    <row r="327" spans="2:7">
      <c r="B327" s="134">
        <v>100</v>
      </c>
      <c r="C327" s="16" t="s">
        <v>698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53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'06'!A346+(B346-SUM(D346:F357))</f>
        <v>230.73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724</v>
      </c>
      <c r="D358" s="137">
        <v>64.3</v>
      </c>
      <c r="E358" s="138"/>
      <c r="F358" s="138"/>
      <c r="G358" s="16" t="s">
        <v>722</v>
      </c>
    </row>
    <row r="359" spans="1:7" ht="16.5" thickBot="1">
      <c r="A359" s="112"/>
      <c r="B359" s="135">
        <f>12.64+6.66</f>
        <v>19.3</v>
      </c>
      <c r="C359" s="17" t="s">
        <v>733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53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3.5+4.5</f>
        <v>8</v>
      </c>
      <c r="E366" s="138"/>
      <c r="F366" s="138">
        <f>4+4.5+4.5+4+4+4.5+4.5</f>
        <v>30</v>
      </c>
      <c r="G366" s="31" t="s">
        <v>67</v>
      </c>
    </row>
    <row r="367" spans="1:7">
      <c r="B367" s="134"/>
      <c r="C367" s="16"/>
      <c r="D367" s="137">
        <v>5.6</v>
      </c>
      <c r="E367" s="138"/>
      <c r="F367" s="138"/>
      <c r="G367" s="31" t="s">
        <v>686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734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682</v>
      </c>
    </row>
    <row r="407" spans="2:7">
      <c r="B407" s="134">
        <v>1</v>
      </c>
      <c r="C407" s="16" t="s">
        <v>679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-150</v>
      </c>
      <c r="C409" s="16" t="s">
        <v>734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53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AÑO!AA17</f>
        <v>4638.26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465.44999999999982</v>
      </c>
      <c r="C426" s="19" t="s">
        <v>234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'06'!A467+(B467-SUM(D467:F467))</f>
        <v>475.22999999999996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3DA59B46-24BF-496A-AC74-B5E756B39091}"/>
    <hyperlink ref="I2:L3" location="AÑO!AA4:AD5" display="SALDO REAL" xr:uid="{1C99B46B-F75F-4CF4-941B-29448D0E9056}"/>
    <hyperlink ref="I22" location="Trimestre!C39:F40" display="TELÉFONO" xr:uid="{A7B1CA3C-6C16-4F87-906B-0189AFCA49D8}"/>
    <hyperlink ref="I22:L23" location="AÑO!AA7:AD17" display="INGRESOS" xr:uid="{1D123B88-52F4-44CF-9F33-561082ACB86F}"/>
    <hyperlink ref="B2" location="Trimestre!C25:F26" display="HIPOTECA" xr:uid="{053FDFC4-D24F-4493-BC10-5CEFDC465A0D}"/>
    <hyperlink ref="B2:G3" location="AÑO!AA20:AD20" display="AÑO!AA20:AD20" xr:uid="{B0037B1E-A836-445C-8895-C4C9246A5B72}"/>
    <hyperlink ref="B22" location="Trimestre!C25:F26" display="HIPOTECA" xr:uid="{36B88377-6877-4989-8556-CD17B38926B6}"/>
    <hyperlink ref="B22:G23" location="AÑO!AA21:AD21" display="AÑO!AA21:AD21" xr:uid="{4BF0FD77-DC2E-498F-BBA7-657D275D274A}"/>
    <hyperlink ref="B42" location="Trimestre!C25:F26" display="HIPOTECA" xr:uid="{30ADBC39-4E51-48EA-A26F-60FFA18C2BDD}"/>
    <hyperlink ref="B42:G43" location="AÑO!AA22:AD22" display="AÑO!AA22:AD22" xr:uid="{C5C69B82-C203-4258-8E85-E568AEBDEF1A}"/>
    <hyperlink ref="B62" location="Trimestre!C25:F26" display="HIPOTECA" xr:uid="{620B36F7-FF67-479E-8B38-1E475B4D21DE}"/>
    <hyperlink ref="B62:G63" location="AÑO!AA23:AD23" display="AÑO!AA23:AD23" xr:uid="{05D51832-5663-4FBA-8264-06E0CC774391}"/>
    <hyperlink ref="B82" location="Trimestre!C25:F26" display="HIPOTECA" xr:uid="{806F9CA7-BEE1-4EC4-9E1F-0A556948096C}"/>
    <hyperlink ref="B82:G83" location="AÑO!AA24:AD24" display="AÑO!AA24:AD24" xr:uid="{DA76A9D0-E06E-4678-9228-36DC32521A6B}"/>
    <hyperlink ref="B102" location="Trimestre!C25:F26" display="HIPOTECA" xr:uid="{0E6825BF-2FD9-444A-9E8C-861DD6E18F10}"/>
    <hyperlink ref="B102:G103" location="AÑO!AA25:AD25" display="AÑO!AA25:AD25" xr:uid="{E4F0D320-76CC-4643-B558-470B4A191267}"/>
    <hyperlink ref="B122" location="Trimestre!C25:F26" display="HIPOTECA" xr:uid="{FD958644-DB29-4AB7-8D6F-D46D23AA36FE}"/>
    <hyperlink ref="B122:G123" location="AÑO!AA26:AD26" display="AÑO!AA26:AD26" xr:uid="{670994AC-F608-4AEE-B2BF-76AA7DB6AC29}"/>
    <hyperlink ref="B142" location="Trimestre!C25:F26" display="HIPOTECA" xr:uid="{7E22F324-1BE3-466B-B922-3D588F6848B9}"/>
    <hyperlink ref="B142:G143" location="AÑO!AA27:AD27" display="AÑO!AA27:AD27" xr:uid="{769E85C0-9040-4603-BD78-84C74359543F}"/>
    <hyperlink ref="B162" location="Trimestre!C25:F26" display="HIPOTECA" xr:uid="{37B1F8F7-2D82-41BA-B0EF-E3734125120A}"/>
    <hyperlink ref="B162:G163" location="AÑO!AA28:AD28" display="AÑO!AA28:AD28" xr:uid="{147F4B0D-12C1-4F4F-9A26-05C0AFC3AEA5}"/>
    <hyperlink ref="B182" location="Trimestre!C25:F26" display="HIPOTECA" xr:uid="{D714F192-37CA-4D30-BFFC-79B48A641FAA}"/>
    <hyperlink ref="B182:G183" location="AÑO!AA29:AD29" display="AÑO!AA29:AD29" xr:uid="{4884802A-7329-45FE-810B-B71454971149}"/>
    <hyperlink ref="B202" location="Trimestre!C25:F26" display="HIPOTECA" xr:uid="{A734EE1A-A101-476D-9A8D-E78EAA30AC68}"/>
    <hyperlink ref="B202:G203" location="AÑO!AA30:AD30" display="AÑO!AA30:AD30" xr:uid="{7FE8C2B1-4063-4376-8057-A66A57C28AFA}"/>
    <hyperlink ref="B222" location="Trimestre!C25:F26" display="HIPOTECA" xr:uid="{3B486C95-047E-4C78-A1AC-A4E50D35B6C3}"/>
    <hyperlink ref="B222:G223" location="AÑO!AA31:AD31" display="AÑO!AA31:AD31" xr:uid="{6F5B9531-413A-452F-90D3-A70853B231F3}"/>
    <hyperlink ref="B242" location="Trimestre!C25:F26" display="HIPOTECA" xr:uid="{E752454C-0908-4D43-AE11-D2EF3EE6DA21}"/>
    <hyperlink ref="B242:G243" location="AÑO!AA32:AD32" display="AÑO!AA32:AD32" xr:uid="{D9376917-4F8C-4CE3-8751-DA7849DBEC48}"/>
    <hyperlink ref="B262" location="Trimestre!C25:F26" display="HIPOTECA" xr:uid="{54D2B679-F9E8-4745-852E-E11E53E3E669}"/>
    <hyperlink ref="B262:G263" location="AÑO!AA33:AD33" display="AÑO!AA33:AD33" xr:uid="{B1A6D1BA-DE06-4DD4-BE25-C712128A2142}"/>
    <hyperlink ref="B282" location="Trimestre!C25:F26" display="HIPOTECA" xr:uid="{CC7A1AEF-D269-4F56-B068-352A9385CC42}"/>
    <hyperlink ref="B282:G283" location="AÑO!AA34:AD34" display="AÑO!AA34:AD34" xr:uid="{E67AB6C9-4E93-4E6F-86A0-E3D360F16D61}"/>
    <hyperlink ref="B302" location="Trimestre!C25:F26" display="HIPOTECA" xr:uid="{4D170730-B86F-4F62-BC6F-94E90EE8C4F0}"/>
    <hyperlink ref="B302:G303" location="AÑO!AA35:AD35" display="AÑO!AA35:AD35" xr:uid="{B0ECA6DA-65BF-4E9F-8785-3B0CAB87C87C}"/>
    <hyperlink ref="B322" location="Trimestre!C25:F26" display="HIPOTECA" xr:uid="{2B73894B-6A3C-4D87-98FD-F7C7AEEE1DC6}"/>
    <hyperlink ref="B322:G323" location="AÑO!AA36:AD36" display="AÑO!AA36:AD36" xr:uid="{A225E443-6F80-4045-BD5E-03F60FF4E7F2}"/>
    <hyperlink ref="B342" location="Trimestre!C25:F26" display="HIPOTECA" xr:uid="{2CCC7AC3-F369-45A1-926C-091B0143B9BB}"/>
    <hyperlink ref="B342:G343" location="AÑO!AA37:AD37" display="AÑO!AA37:AD37" xr:uid="{D73735A3-28DD-4A17-8CEC-59D911D8A2B8}"/>
    <hyperlink ref="B362" location="Trimestre!C25:F26" display="HIPOTECA" xr:uid="{6671C6FE-1210-4F7C-9E65-8192B58FAD6A}"/>
    <hyperlink ref="B362:G363" location="AÑO!AA38:AD38" display="AÑO!AA38:AD38" xr:uid="{1BA747A1-BFBA-4380-98E5-E0A4F2B4CC35}"/>
    <hyperlink ref="B382" location="Trimestre!C25:F26" display="HIPOTECA" xr:uid="{FE0C6214-B231-4343-A94E-7395839DC9BD}"/>
    <hyperlink ref="B382:G383" location="AÑO!AA39:AD39" display="AÑO!AA39:AD39" xr:uid="{8487126F-4FD9-421B-A0D9-FFEA319717C0}"/>
    <hyperlink ref="B402" location="Trimestre!C25:F26" display="HIPOTECA" xr:uid="{12B2989E-3438-48D1-AEAF-AEE7AB222B5B}"/>
    <hyperlink ref="B402:G403" location="AÑO!AA40:AD40" display="AÑO!AA40:AD40" xr:uid="{45272D3F-C298-4A58-8F48-F874A1208FE9}"/>
    <hyperlink ref="B422" location="Trimestre!C25:F26" display="HIPOTECA" xr:uid="{01D790D5-D5F0-4D4B-8391-106B061AAAC5}"/>
    <hyperlink ref="B422:G423" location="AÑO!AA41:AD41" display="AÑO!AA41:AD41" xr:uid="{F6054C58-6F49-4F42-871D-98B7E6E2025A}"/>
    <hyperlink ref="B442" location="Trimestre!C25:F26" display="HIPOTECA" xr:uid="{C75DD882-590C-461A-94F9-671B87BF5A09}"/>
    <hyperlink ref="B442:G443" location="AÑO!AA42:AD42" display="AÑO!AA42:AD42" xr:uid="{9C8693AF-6886-48F0-99CD-2955C9C94B2C}"/>
    <hyperlink ref="B462" location="Trimestre!C25:F26" display="HIPOTECA" xr:uid="{FBEC4B66-1D0A-4784-B5DF-96445A686479}"/>
    <hyperlink ref="B462:G463" location="AÑO!AA43:AD43" display="AÑO!AA43:AD43" xr:uid="{A4904F71-124A-431F-9A06-4C9BE74343E2}"/>
    <hyperlink ref="B482" location="Trimestre!C25:F26" display="HIPOTECA" xr:uid="{3BEC8488-6503-483F-951E-CFA3B1E0DA4A}"/>
    <hyperlink ref="B482:G483" location="AÑO!AA44:AD44" display="AÑO!AA44:AD44" xr:uid="{20D44EFB-9743-4522-A3B7-24E89A8B1DCF}"/>
    <hyperlink ref="B502" location="Trimestre!C25:F26" display="HIPOTECA" xr:uid="{78170763-CBD6-4EA0-AEE1-1C25583440DF}"/>
    <hyperlink ref="B502:G503" location="AÑO!AA45:AD45" display="AÑO!AA45:AD45" xr:uid="{E850677F-3040-4139-AA39-528FA694E0DE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97" workbookViewId="0">
      <selection activeCell="B182" sqref="B182:G18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v>3508.76</v>
      </c>
      <c r="L5" s="425"/>
      <c r="M5" s="1">
        <f>571.43-192.98-30</f>
        <v>348.44999999999993</v>
      </c>
      <c r="N5" s="1"/>
      <c r="R5" s="3"/>
    </row>
    <row r="6" spans="1:22" ht="15.75">
      <c r="A6" s="112">
        <f>'07'!A6+(B6-SUM(D6:F6))</f>
        <v>6</v>
      </c>
      <c r="B6" s="133">
        <v>403.08</v>
      </c>
      <c r="C6" s="19" t="s">
        <v>741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6">
        <v>620.12</v>
      </c>
      <c r="L6" s="427"/>
      <c r="M6" s="1" t="s">
        <v>165</v>
      </c>
      <c r="N6" s="1"/>
      <c r="R6" s="3"/>
    </row>
    <row r="7" spans="1:22" ht="15.75">
      <c r="A7" s="112">
        <f>'07'!A7+(B7-SUM(D7:F7))</f>
        <v>237.20999999999998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6">
        <v>7490.36</v>
      </c>
      <c r="L7" s="427"/>
      <c r="M7" s="1"/>
      <c r="N7" s="1"/>
      <c r="R7" s="3"/>
    </row>
    <row r="8" spans="1:22" ht="15.75">
      <c r="A8" s="112">
        <f>'07'!A8+(B8-SUM(D8:F8))</f>
        <v>-103.66999999999999</v>
      </c>
      <c r="B8" s="134">
        <v>0</v>
      </c>
      <c r="C8" s="16" t="s">
        <v>35</v>
      </c>
      <c r="D8" s="137"/>
      <c r="E8" s="113">
        <v>103.76</v>
      </c>
      <c r="F8" s="138"/>
      <c r="G8" s="16" t="s">
        <v>35</v>
      </c>
      <c r="H8" s="1"/>
      <c r="I8" s="108" t="s">
        <v>63</v>
      </c>
      <c r="J8" s="107" t="s">
        <v>65</v>
      </c>
      <c r="K8" s="426">
        <v>6305.62</v>
      </c>
      <c r="L8" s="427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6">
        <v>163.63</v>
      </c>
      <c r="L9" s="427"/>
      <c r="M9" s="1"/>
      <c r="N9" s="1"/>
      <c r="R9" s="3"/>
    </row>
    <row r="10" spans="1:22" ht="15.75">
      <c r="A10" s="112">
        <f>'07'!A10+(B10-SUM(D10:F10))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'07'!A11+(B11-SUM(D11:F11))</f>
        <v>-1.9999999999996021E-2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6">
        <f>20+120</f>
        <v>140</v>
      </c>
      <c r="L11" s="427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'07'!A13+(B13-SUM(D13:F13))</f>
        <v>37.5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29166.850000000002</v>
      </c>
      <c r="L19" s="442"/>
      <c r="M19" s="1"/>
      <c r="N19" s="1"/>
      <c r="R19" s="3"/>
    </row>
    <row r="20" spans="1:18" ht="16.5" thickBot="1">
      <c r="A20" s="112">
        <f>SUM(A6:A15)</f>
        <v>427.06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 t="s">
        <v>401</v>
      </c>
      <c r="K25" s="407"/>
      <c r="L25" s="231">
        <v>2571.5500000000002</v>
      </c>
      <c r="M25" s="1"/>
      <c r="R25" s="3"/>
    </row>
    <row r="26" spans="1:18" ht="15.75">
      <c r="A26" s="112">
        <f>'07'!A26+(B26-SUM(D26:F26))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4"/>
      <c r="J26" s="408"/>
      <c r="K26" s="409"/>
      <c r="L26" s="229"/>
      <c r="M26" s="1"/>
      <c r="R26" s="3"/>
    </row>
    <row r="27" spans="1:18" ht="15.75">
      <c r="A27" s="112">
        <f>'07'!A27+(B27-SUM(D27:F27))</f>
        <v>38.049999999999955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4"/>
      <c r="J27" s="408"/>
      <c r="K27" s="409"/>
      <c r="L27" s="229"/>
      <c r="M27" s="1"/>
      <c r="R27" s="3"/>
    </row>
    <row r="28" spans="1:18" ht="15.75">
      <c r="A28" s="112">
        <f>'07'!A28+(B28-SUM(D28:F28))</f>
        <v>94.110000000000014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04"/>
      <c r="J28" s="408"/>
      <c r="K28" s="409"/>
      <c r="L28" s="229"/>
      <c r="M28" s="1"/>
      <c r="R28" s="3"/>
    </row>
    <row r="29" spans="1:18" ht="15.75">
      <c r="A29" s="112">
        <f>'07'!A29+(B29-SUM(D29:F29))</f>
        <v>1.5800000000000054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2"/>
      <c r="J29" s="413"/>
      <c r="K29" s="414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 t="s">
        <v>328</v>
      </c>
      <c r="K30" s="407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/>
      <c r="K31" s="409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/>
      <c r="K32" s="409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 t="s">
        <v>397</v>
      </c>
      <c r="K35" s="407"/>
      <c r="L35" s="231">
        <v>164.91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30"/>
      <c r="M39" s="1"/>
      <c r="R39" s="3"/>
    </row>
    <row r="40" spans="1:18" ht="16.5" thickBot="1">
      <c r="A40" s="112">
        <f>SUM(A26:A35)</f>
        <v>320.02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/>
      <c r="K40" s="407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22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2"/>
      <c r="J44" s="413"/>
      <c r="K44" s="4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 t="s">
        <v>780</v>
      </c>
      <c r="K45" s="407"/>
      <c r="L45" s="231">
        <v>192.98</v>
      </c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748</v>
      </c>
      <c r="H46" s="1"/>
      <c r="I46" s="404"/>
      <c r="J46" s="408" t="s">
        <v>781</v>
      </c>
      <c r="K46" s="409"/>
      <c r="L46" s="229">
        <v>30</v>
      </c>
      <c r="M46" s="1"/>
      <c r="R46" s="3"/>
    </row>
    <row r="47" spans="1:18" ht="15.75">
      <c r="A47" s="1"/>
      <c r="B47" s="134"/>
      <c r="C47" s="16" t="s">
        <v>78</v>
      </c>
      <c r="D47" s="137">
        <v>83.95</v>
      </c>
      <c r="E47" s="138"/>
      <c r="F47" s="138"/>
      <c r="G47" s="16" t="s">
        <v>745</v>
      </c>
      <c r="H47" s="1"/>
      <c r="I47" s="404"/>
      <c r="J47" s="408"/>
      <c r="K47" s="409"/>
      <c r="L47" s="229"/>
      <c r="M47" s="1"/>
      <c r="R47" s="3"/>
    </row>
    <row r="48" spans="1:18" ht="15.75">
      <c r="A48" s="1"/>
      <c r="B48" s="134"/>
      <c r="C48" s="16" t="s">
        <v>725</v>
      </c>
      <c r="D48" s="137">
        <v>22.34</v>
      </c>
      <c r="E48" s="138"/>
      <c r="F48" s="138"/>
      <c r="G48" s="16" t="s">
        <v>749</v>
      </c>
      <c r="H48" s="1">
        <f>22*8</f>
        <v>176</v>
      </c>
      <c r="I48" s="404"/>
      <c r="J48" s="408"/>
      <c r="K48" s="409"/>
      <c r="L48" s="229"/>
      <c r="M48" s="1"/>
      <c r="R48" s="3"/>
    </row>
    <row r="49" spans="1:18" ht="15.75">
      <c r="A49" s="1"/>
      <c r="B49" s="134">
        <v>23.87</v>
      </c>
      <c r="C49" s="16" t="s">
        <v>733</v>
      </c>
      <c r="D49" s="137">
        <v>49.31</v>
      </c>
      <c r="E49" s="138"/>
      <c r="F49" s="138"/>
      <c r="G49" s="16" t="s">
        <v>755</v>
      </c>
      <c r="H49" s="1"/>
      <c r="I49" s="412"/>
      <c r="J49" s="413"/>
      <c r="K49" s="414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762</v>
      </c>
      <c r="H50" s="1"/>
      <c r="I50" s="403" t="str">
        <f>AÑO!A13</f>
        <v>Gubernamental</v>
      </c>
      <c r="J50" s="406" t="s">
        <v>639</v>
      </c>
      <c r="K50" s="407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763</v>
      </c>
      <c r="H51" s="1"/>
      <c r="I51" s="404"/>
      <c r="J51" s="408"/>
      <c r="K51" s="409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4"/>
      <c r="J52" s="408"/>
      <c r="K52" s="409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4"/>
      <c r="J53" s="408"/>
      <c r="K53" s="409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2"/>
      <c r="J54" s="413"/>
      <c r="K54" s="414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3" t="str">
        <f>AÑO!A14</f>
        <v>Mutualite/DKV</v>
      </c>
      <c r="J55" s="443">
        <v>43692</v>
      </c>
      <c r="K55" s="407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44">
        <v>43696</v>
      </c>
      <c r="K56" s="409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53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 t="s">
        <v>39</v>
      </c>
      <c r="K60" s="407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2"/>
      <c r="J64" s="413"/>
      <c r="K64" s="414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231"/>
      <c r="M65" s="1"/>
      <c r="R65" s="3"/>
    </row>
    <row r="66" spans="1:18" ht="15.75">
      <c r="A66" s="112">
        <f>'07'!A66+(SUM(B66:B78)-SUM(D66:F78))</f>
        <v>2.830000000000048</v>
      </c>
      <c r="B66" s="133">
        <v>160</v>
      </c>
      <c r="C66" s="19" t="s">
        <v>33</v>
      </c>
      <c r="D66" s="137">
        <v>36.9</v>
      </c>
      <c r="E66" s="138"/>
      <c r="F66" s="138"/>
      <c r="G66" s="19" t="s">
        <v>754</v>
      </c>
      <c r="H66" s="1"/>
      <c r="I66" s="404"/>
      <c r="J66" s="408"/>
      <c r="K66" s="409"/>
      <c r="L66" s="229"/>
      <c r="M66" s="1"/>
      <c r="R66" s="3"/>
    </row>
    <row r="67" spans="1:18" ht="15.75">
      <c r="A67" s="1"/>
      <c r="B67" s="134">
        <v>30</v>
      </c>
      <c r="C67" s="16" t="s">
        <v>160</v>
      </c>
      <c r="D67" s="137">
        <f>23+8.15</f>
        <v>31.15</v>
      </c>
      <c r="E67" s="138"/>
      <c r="F67" s="138">
        <v>30</v>
      </c>
      <c r="G67" s="31" t="s">
        <v>753</v>
      </c>
      <c r="H67" s="1"/>
      <c r="I67" s="404"/>
      <c r="J67" s="408"/>
      <c r="K67" s="409"/>
      <c r="L67" s="229"/>
      <c r="M67" s="1"/>
      <c r="R67" s="3"/>
    </row>
    <row r="68" spans="1:18" ht="15.75">
      <c r="A68" s="1"/>
      <c r="B68" s="134">
        <v>10</v>
      </c>
      <c r="C68" s="16" t="s">
        <v>733</v>
      </c>
      <c r="D68" s="137">
        <v>19.5</v>
      </c>
      <c r="E68" s="138"/>
      <c r="F68" s="138">
        <v>5.5</v>
      </c>
      <c r="G68" s="16" t="s">
        <v>759</v>
      </c>
      <c r="H68" s="1"/>
      <c r="I68" s="404"/>
      <c r="J68" s="408"/>
      <c r="K68" s="409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760</v>
      </c>
      <c r="H69" s="1"/>
      <c r="I69" s="405"/>
      <c r="J69" s="410"/>
      <c r="K69" s="411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772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782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100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102.83000000000004</v>
      </c>
      <c r="B80" s="233">
        <f>SUM(B66:B79)</f>
        <v>210</v>
      </c>
      <c r="C80" s="17" t="s">
        <v>53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56.61</v>
      </c>
      <c r="E86" s="138"/>
      <c r="F86" s="138"/>
      <c r="G86" s="16" t="s">
        <v>751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752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765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777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2.1100000000000421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3222.650000000001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747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535.20999999999992</v>
      </c>
      <c r="B120" s="135">
        <f>SUM(B106:B119)</f>
        <v>995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'07'!A126+(B126-SUM(D126:F126))</f>
        <v>12.5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'07'!A127+(B127-SUM(D127:F128))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37.29</v>
      </c>
      <c r="E146" s="138"/>
      <c r="F146" s="138"/>
      <c r="G146" s="16" t="s">
        <v>786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 t="s">
        <v>695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50.2</v>
      </c>
      <c r="E186" s="138"/>
      <c r="F186" s="138"/>
      <c r="G186" s="16" t="s">
        <v>769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696</v>
      </c>
    </row>
    <row r="207" spans="2:12">
      <c r="B207" s="134"/>
      <c r="C207" s="16"/>
      <c r="D207" s="137">
        <v>23</v>
      </c>
      <c r="E207" s="138"/>
      <c r="F207" s="138"/>
      <c r="G207" s="16" t="s">
        <v>766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402</v>
      </c>
      <c r="D246" s="137">
        <f>55.4-D327</f>
        <v>45.4</v>
      </c>
      <c r="E246" s="138"/>
      <c r="F246" s="138"/>
      <c r="G246" s="16" t="s">
        <v>746</v>
      </c>
    </row>
    <row r="247" spans="1:7" ht="15" customHeight="1">
      <c r="A247" s="112"/>
      <c r="B247" s="134">
        <v>12.12</v>
      </c>
      <c r="C247" s="16" t="s">
        <v>733</v>
      </c>
      <c r="D247" s="137">
        <v>16.52</v>
      </c>
      <c r="E247" s="138"/>
      <c r="F247" s="138"/>
      <c r="G247" s="16" t="s">
        <v>761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767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'07'!A257+(B257-SUM(D257:F257))</f>
        <v>606.12000000000012</v>
      </c>
      <c r="B257" s="134">
        <v>50</v>
      </c>
      <c r="C257" s="16" t="s">
        <v>713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641.12000000000012</v>
      </c>
      <c r="B260" s="135">
        <f>SUM(B246:B259)</f>
        <v>112.12</v>
      </c>
      <c r="C260" s="17" t="s">
        <v>53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742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53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29" t="s">
        <v>9</v>
      </c>
      <c r="E284" s="431"/>
      <c r="F284" s="431"/>
      <c r="G284" s="430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AÑO!AD34+(SUM(B286:B298)-SUM(D286:F298))</f>
        <v>45.359999999999808</v>
      </c>
      <c r="B286" s="133">
        <v>70</v>
      </c>
      <c r="C286" s="19" t="s">
        <v>33</v>
      </c>
      <c r="D286" s="137"/>
      <c r="E286" s="138"/>
      <c r="F286" s="138"/>
      <c r="G286" s="16" t="s">
        <v>695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773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770</v>
      </c>
      <c r="D299" s="135"/>
      <c r="E299" s="139"/>
      <c r="F299" s="139"/>
      <c r="G299" s="17"/>
    </row>
    <row r="300" spans="1:8" ht="16.5" thickBot="1">
      <c r="A300" s="112">
        <f>SUM(A286:A299)</f>
        <v>65.359999999999815</v>
      </c>
      <c r="B300" s="135">
        <f>SUM(B286:B299)</f>
        <v>90</v>
      </c>
      <c r="C300" s="17" t="s">
        <v>53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726</v>
      </c>
      <c r="D306" s="137">
        <v>35.96</v>
      </c>
      <c r="E306" s="138"/>
      <c r="F306" s="138"/>
      <c r="G306" s="16" t="s">
        <v>756</v>
      </c>
    </row>
    <row r="307" spans="2:7">
      <c r="B307" s="134">
        <v>13.15</v>
      </c>
      <c r="C307" s="27" t="s">
        <v>764</v>
      </c>
      <c r="D307" s="137"/>
      <c r="E307" s="138"/>
      <c r="F307" s="138">
        <v>70</v>
      </c>
      <c r="G307" s="16" t="s">
        <v>758</v>
      </c>
    </row>
    <row r="308" spans="2:7">
      <c r="B308" s="134">
        <v>14.27</v>
      </c>
      <c r="C308" s="27" t="s">
        <v>776</v>
      </c>
      <c r="D308" s="137">
        <v>8.68</v>
      </c>
      <c r="E308" s="138"/>
      <c r="F308" s="138"/>
      <c r="G308" s="16" t="s">
        <v>771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53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744</v>
      </c>
    </row>
    <row r="327" spans="2:7">
      <c r="B327" s="134">
        <v>192.98</v>
      </c>
      <c r="C327" s="16" t="s">
        <v>783</v>
      </c>
      <c r="D327" s="137">
        <v>10</v>
      </c>
      <c r="E327" s="138"/>
      <c r="F327" s="138"/>
      <c r="G327" s="16" t="s">
        <v>746</v>
      </c>
    </row>
    <row r="328" spans="2:7">
      <c r="B328" s="134"/>
      <c r="C328" s="16"/>
      <c r="D328" s="137">
        <v>187.13</v>
      </c>
      <c r="E328" s="138"/>
      <c r="F328" s="138"/>
      <c r="G328" s="16" t="s">
        <v>750</v>
      </c>
    </row>
    <row r="329" spans="2:7">
      <c r="B329" s="134"/>
      <c r="C329" s="16"/>
      <c r="D329" s="137">
        <v>32.14</v>
      </c>
      <c r="E329" s="138"/>
      <c r="F329" s="138"/>
      <c r="G329" s="16" t="s">
        <v>774</v>
      </c>
    </row>
    <row r="330" spans="2:7">
      <c r="B330" s="134"/>
      <c r="C330" s="16"/>
      <c r="D330" s="137">
        <v>7.49</v>
      </c>
      <c r="E330" s="138"/>
      <c r="F330" s="138"/>
      <c r="G330" s="16" t="s">
        <v>775</v>
      </c>
    </row>
    <row r="331" spans="2:7">
      <c r="B331" s="134"/>
      <c r="C331" s="16"/>
      <c r="D331" s="137"/>
      <c r="E331" s="138">
        <v>192.98</v>
      </c>
      <c r="F331" s="138"/>
      <c r="G331" s="16" t="s">
        <v>778</v>
      </c>
    </row>
    <row r="332" spans="2:7">
      <c r="B332" s="134"/>
      <c r="C332" s="16"/>
      <c r="D332" s="137"/>
      <c r="E332" s="138">
        <v>96.65</v>
      </c>
      <c r="F332" s="138"/>
      <c r="G332" s="16" t="s">
        <v>779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53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'07'!A346+(B346-SUM(D346:F357))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737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736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>
        <f>5+4.5+4+4+4+4.5+3.8+3.5+3.5+4.5</f>
        <v>41.3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743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AÑO!AE17</f>
        <v>3945.4900000000002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-300.89999999999918</v>
      </c>
      <c r="C426" s="19" t="s">
        <v>234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-300.89999999999918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'07'!A467+(B467-SUM(D467:F467))+B476</f>
        <v>-24.769999999999982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'07'!A468+(B468-SUM(D468:F468))</f>
        <v>183.4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734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158.63000000000002</v>
      </c>
      <c r="B480" s="135">
        <f>SUM(B466:B479)</f>
        <v>-485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>
        <v>20</v>
      </c>
      <c r="C506" s="19" t="s">
        <v>733</v>
      </c>
      <c r="D506" s="137">
        <v>23.43</v>
      </c>
      <c r="E506" s="138"/>
      <c r="F506" s="138"/>
      <c r="G506" s="16" t="s">
        <v>757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53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F8A0D7D2-67C9-4F5C-A694-FA41CDCC024E}"/>
    <hyperlink ref="I2:L3" location="AÑO!AE4:AH5" display="SALDO REAL" xr:uid="{D06507F8-F5BC-49C5-BD40-684A3F3EBFAB}"/>
    <hyperlink ref="I22" location="Trimestre!C39:F40" display="TELÉFONO" xr:uid="{48D75FAF-009D-4718-8A65-00BBF81456E5}"/>
    <hyperlink ref="I22:L23" location="AÑO!AE7:AH17" display="INGRESOS" xr:uid="{8CF46B9E-FF85-475E-887B-7815FD645C67}"/>
    <hyperlink ref="B2" location="Trimestre!C25:F26" display="HIPOTECA" xr:uid="{0D3F6DAC-494C-48CC-8617-FFCD7E208AA0}"/>
    <hyperlink ref="B2:G3" location="AÑO!AE20:AH20" display="AÑO!AE20:AH20" xr:uid="{D2A3883D-7443-42C6-9C2D-ADC1D0607761}"/>
    <hyperlink ref="B22" location="Trimestre!C25:F26" display="HIPOTECA" xr:uid="{73986B72-FB1E-4FE5-9DE2-895BDC1EAA17}"/>
    <hyperlink ref="B22:G23" location="AÑO!AE21:AH21" display="AÑO!AE21:AH21" xr:uid="{23887E4D-C5A1-4BA5-8279-3C04DB54A113}"/>
    <hyperlink ref="B42" location="Trimestre!C25:F26" display="HIPOTECA" xr:uid="{CF8CDB12-24E3-46CF-829D-5D16215615C3}"/>
    <hyperlink ref="B42:G43" location="AÑO!AE22:AH22" display="AÑO!AE22:AH22" xr:uid="{EB2F77AF-7C3A-4364-9507-ACC51DCF2B57}"/>
    <hyperlink ref="B62" location="Trimestre!C25:F26" display="HIPOTECA" xr:uid="{91648149-7544-422C-9B1A-5B0BE59AAF2B}"/>
    <hyperlink ref="B62:G63" location="AÑO!AE23:AH23" display="AÑO!AE23:AH23" xr:uid="{B6DFA8D8-8579-4F56-8092-0F49B15D7A05}"/>
    <hyperlink ref="B82" location="Trimestre!C25:F26" display="HIPOTECA" xr:uid="{0851ECF5-FF71-4E7F-8298-411B1670F9B6}"/>
    <hyperlink ref="B82:G83" location="AÑO!AE24:AH24" display="AÑO!AE24:AH24" xr:uid="{C480D7B0-C21B-4EA7-ABD5-D0692A92E052}"/>
    <hyperlink ref="B102" location="Trimestre!C25:F26" display="HIPOTECA" xr:uid="{F8812EAD-03A1-4397-AF5F-38D2E8C0B57C}"/>
    <hyperlink ref="B102:G103" location="AÑO!AE25:AH25" display="AÑO!AE25:AH25" xr:uid="{65497E89-749C-4602-95D9-8F716A72DF6E}"/>
    <hyperlink ref="B122" location="Trimestre!C25:F26" display="HIPOTECA" xr:uid="{F9EAFA77-E240-4615-8290-ACBB27A72C52}"/>
    <hyperlink ref="B122:G123" location="AÑO!AE26:AH26" display="AÑO!AE26:AH26" xr:uid="{643E0580-B644-41F3-A043-DB16397B7A73}"/>
    <hyperlink ref="B142" location="Trimestre!C25:F26" display="HIPOTECA" xr:uid="{651811A0-17CA-4233-A455-6C4BD6EF1F7E}"/>
    <hyperlink ref="B142:G143" location="AÑO!AE27:AH27" display="AÑO!AE27:AH27" xr:uid="{B0995BF4-42BC-4276-BFD8-8C9B7D5499BE}"/>
    <hyperlink ref="B162" location="Trimestre!C25:F26" display="HIPOTECA" xr:uid="{A329CBCD-6E7B-4CD2-93C3-8D1EA7FC67C4}"/>
    <hyperlink ref="B162:G163" location="AÑO!AE28:AH28" display="AÑO!AE28:AH28" xr:uid="{FEE67257-A452-4791-AF3E-0867F8D8E6A2}"/>
    <hyperlink ref="B182" location="Trimestre!C25:F26" display="HIPOTECA" xr:uid="{0048AE46-8B1C-4E58-9CE3-87D388766360}"/>
    <hyperlink ref="B182:G183" location="AÑO!AE29:AH29" display="AÑO!AE29:AH29" xr:uid="{34E4C4F2-C5BE-4549-A224-E9AE303F8023}"/>
    <hyperlink ref="B202" location="Trimestre!C25:F26" display="HIPOTECA" xr:uid="{053CC7BD-938E-42F5-83EC-E4CBD34A45A8}"/>
    <hyperlink ref="B202:G203" location="AÑO!AE30:AH30" display="AÑO!AE30:AH30" xr:uid="{8C9F7837-C04F-4BA0-94D2-2006B7856F05}"/>
    <hyperlink ref="B222" location="Trimestre!C25:F26" display="HIPOTECA" xr:uid="{C67B716D-D87E-4225-A0DF-FA1FAEA6665B}"/>
    <hyperlink ref="B222:G223" location="AÑO!AE31:AH31" display="AÑO!AE31:AH31" xr:uid="{50E91530-1497-4AA8-8091-64311C0F1EA2}"/>
    <hyperlink ref="B242" location="Trimestre!C25:F26" display="HIPOTECA" xr:uid="{8597E469-7EE1-4ACE-BCFF-7F3234BB0FED}"/>
    <hyperlink ref="B242:G243" location="AÑO!AE32:AH32" display="AÑO!AE32:AH32" xr:uid="{143A92D9-7A37-4FFC-B531-F578ABD1F804}"/>
    <hyperlink ref="B262" location="Trimestre!C25:F26" display="HIPOTECA" xr:uid="{00569E18-A111-4540-A31C-0995625496BC}"/>
    <hyperlink ref="B262:G263" location="AÑO!AE33:AH33" display="AÑO!AE33:AH33" xr:uid="{9464E9A9-7460-4182-B6E5-50DCCFA7D971}"/>
    <hyperlink ref="B282" location="Trimestre!C25:F26" display="HIPOTECA" xr:uid="{0A227465-7216-4622-8BCA-73A1E7D848B3}"/>
    <hyperlink ref="B282:G283" location="AÑO!AE34:AH34" display="AÑO!AE34:AH34" xr:uid="{76436B7E-4B40-4476-9CE6-51FAF7CE7F09}"/>
    <hyperlink ref="B302" location="Trimestre!C25:F26" display="HIPOTECA" xr:uid="{4E1F72DF-F0BF-48D1-BBCF-6903E9142E3F}"/>
    <hyperlink ref="B302:G303" location="AÑO!AE35:AH35" display="AÑO!AE35:AH35" xr:uid="{BFBCBDE2-FB6C-4EC9-9702-505BB4D94450}"/>
    <hyperlink ref="B322" location="Trimestre!C25:F26" display="HIPOTECA" xr:uid="{882A6476-D682-47ED-B1AC-DB33B57BAB7E}"/>
    <hyperlink ref="B322:G323" location="AÑO!AE36:AH36" display="AÑO!AE36:AH36" xr:uid="{5A51FB34-A735-4684-828B-A1C5A9F553E5}"/>
    <hyperlink ref="B342" location="Trimestre!C25:F26" display="HIPOTECA" xr:uid="{59F9533F-4BAC-408C-A56E-C02AB3A1E843}"/>
    <hyperlink ref="B342:G343" location="AÑO!AE37:AH37" display="AÑO!AE37:AH37" xr:uid="{378D1EE7-703E-4F1E-97A9-6E6E13AFC46D}"/>
    <hyperlink ref="B362" location="Trimestre!C25:F26" display="HIPOTECA" xr:uid="{D75E4C53-9159-476A-A0D0-37DAF29B14E8}"/>
    <hyperlink ref="B362:G363" location="AÑO!AE38:AH38" display="AÑO!AE38:AH38" xr:uid="{75ACA36B-2C89-4EAA-9411-E2261A935683}"/>
    <hyperlink ref="B382" location="Trimestre!C25:F26" display="HIPOTECA" xr:uid="{95D69DC8-ABA0-4B4A-8EAF-06D1E8727EA0}"/>
    <hyperlink ref="B382:G383" location="AÑO!AE39:AH39" display="AÑO!AE39:AH39" xr:uid="{F91A68B0-FB80-4AA3-A612-D0073137E017}"/>
    <hyperlink ref="B402" location="Trimestre!C25:F26" display="HIPOTECA" xr:uid="{25A8193D-4925-4466-ACCE-737AB2562BE3}"/>
    <hyperlink ref="B402:G403" location="AÑO!AE40:AH40" display="AÑO!AE40:AH40" xr:uid="{AF17FBF1-B98C-4DFA-8654-1ACB895D8994}"/>
    <hyperlink ref="B422" location="Trimestre!C25:F26" display="HIPOTECA" xr:uid="{C2F1147F-1D3B-4F57-8455-A7961B449592}"/>
    <hyperlink ref="B422:G423" location="AÑO!AE41:AH41" display="AÑO!AE41:AH41" xr:uid="{5BFFA817-4742-4653-90B7-088D36C48735}"/>
    <hyperlink ref="B442" location="Trimestre!C25:F26" display="HIPOTECA" xr:uid="{DFC42081-7932-4D54-880A-4DFBD9E0EC21}"/>
    <hyperlink ref="B442:G443" location="AÑO!AE42:AH42" display="AÑO!AE42:AH42" xr:uid="{FF8CC689-70B3-4BCE-A192-E2F983A30D0C}"/>
    <hyperlink ref="B462" location="Trimestre!C25:F26" display="HIPOTECA" xr:uid="{4AC228CF-13D1-4949-8D5B-10C3F21FB47A}"/>
    <hyperlink ref="B462:G463" location="AÑO!AE43:AH43" display="AÑO!AE43:AH43" xr:uid="{C508228D-3DF9-48FE-B791-5D292ECDF883}"/>
    <hyperlink ref="B482" location="Trimestre!C25:F26" display="HIPOTECA" xr:uid="{615C788D-2BCB-4DA4-AC73-450C45236667}"/>
    <hyperlink ref="B482:G483" location="AÑO!AE44:AH44" display="AÑO!AE44:AH44" xr:uid="{B26533B9-21C8-41F3-8667-1C647DEAB0CA}"/>
    <hyperlink ref="B502" location="Trimestre!C25:F26" display="HIPOTECA" xr:uid="{284A8D82-789A-4D77-9F69-CD253B7A72B9}"/>
    <hyperlink ref="B502:G503" location="AÑO!AE45:AH45" display="AÑO!AE45:AH45" xr:uid="{FCC6DF57-30D7-41DA-94AC-A5689D1E4141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2019-09-04T14:21:02Z</dcterms:modified>
</cp:coreProperties>
</file>