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4DCD76EE-9420-45D0-B0EE-020BEF368ADF}" xr6:coauthVersionLast="36" xr6:coauthVersionMax="36" xr10:uidLastSave="{00000000-0000-0000-0000-000000000000}"/>
  <bookViews>
    <workbookView xWindow="0" yWindow="0" windowWidth="27330" windowHeight="5790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7" l="1"/>
  <c r="A258" i="8"/>
  <c r="A257" i="8"/>
  <c r="A256" i="8"/>
  <c r="A246" i="8"/>
  <c r="A260" i="8" l="1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<sst xmlns="http://schemas.openxmlformats.org/spreadsheetml/2006/main" count="5422" uniqueCount="670">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</sst>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7" zoomScaleNormal="100" workbookViewId="0">
      <pane xSplit="1" topLeftCell="P1" activePane="topRight" state="frozen"/>
      <selection pane="topRight" activeCell="AA20" sqref="AA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29615.1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17306.77</v>
      </c>
      <c r="BA8" s="112">
        <f t="shared" ref="BA8:BA16" ca="1" si="0">AZ8/BC$17</f>
        <v>2884.4616666666666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3631.67</v>
      </c>
      <c r="BA9" s="112">
        <f t="shared" ca="1" si="0"/>
        <v>605.27833333333331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1359.45</v>
      </c>
      <c r="BA12" s="112">
        <f t="shared" ca="1" si="0"/>
        <v>226.57500000000002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4038.2300000000005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31557.100000000006</v>
      </c>
      <c r="BA17" s="112">
        <f ca="1">AZ17/BC$17</f>
        <v>5259.5166666666673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63114.200000000012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157.99</v>
      </c>
      <c r="Z20" s="145">
        <f t="shared" ref="Z20:Z45" si="7">V20+X20-Y20</f>
        <v>625.42999999999984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1169.4299999999998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1713.4299999999998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2257.4299999999998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2801.43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3345.43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3889.43</v>
      </c>
      <c r="AZ20" s="123">
        <f t="shared" ref="AZ20:AZ27" si="14">E20+I20+M20+Q20+U20+Y20+AC20+AG20+AK20+AO20+AS20+AW20</f>
        <v>3287.2700000000004</v>
      </c>
      <c r="BA20" s="21">
        <f t="shared" ref="BA20:BA45" si="15">AZ20/AZ$46</f>
        <v>0.11772274791817595</v>
      </c>
      <c r="BB20" s="22">
        <f>_xlfn.RANK.EQ(BA20,$BA$20:$BA$45,)</f>
        <v>3</v>
      </c>
      <c r="BC20" s="22">
        <f t="shared" ref="BC20:BC45" ca="1" si="16">AZ20/BC$17</f>
        <v>547.87833333333344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0.10976674028982382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176.6500000000002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2612.0899999999992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3740.0899999999992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4868.0899999999992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5996.0899999999992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7124.0899999999992</v>
      </c>
      <c r="AZ21" s="152">
        <f t="shared" si="14"/>
        <v>7229.77</v>
      </c>
      <c r="BA21" s="21">
        <f t="shared" si="15"/>
        <v>0.25891040018507483</v>
      </c>
      <c r="BB21" s="22">
        <f t="shared" ref="BB21:BB45" si="20">_xlfn.RANK.EQ(BA21,$BA$20:$BA$45,)</f>
        <v>1</v>
      </c>
      <c r="BC21" s="22">
        <f t="shared" ca="1" si="16"/>
        <v>1204.9616666666668</v>
      </c>
      <c r="BE21" s="224">
        <f t="shared" ca="1" si="17"/>
        <v>6913</v>
      </c>
      <c r="BF21" s="21">
        <f t="shared" ca="1" si="18"/>
        <v>0.21906322190568839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-316.77000000000021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273.23</v>
      </c>
      <c r="Z22" s="156">
        <f t="shared" si="7"/>
        <v>569.67000000000019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869.67000000000019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1359.67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1849.67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2339.67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2829.67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3319.67</v>
      </c>
      <c r="AZ22" s="157">
        <f t="shared" si="14"/>
        <v>1890.4</v>
      </c>
      <c r="BA22" s="21">
        <f t="shared" si="15"/>
        <v>6.7698449675420574E-2</v>
      </c>
      <c r="BB22" s="22">
        <f t="shared" si="20"/>
        <v>6</v>
      </c>
      <c r="BC22" s="22">
        <f t="shared" ca="1" si="16"/>
        <v>315.06666666666666</v>
      </c>
      <c r="BE22" s="225">
        <f t="shared" ca="1" si="17"/>
        <v>2214</v>
      </c>
      <c r="BF22" s="21">
        <f t="shared" ca="1" si="18"/>
        <v>7.0158538015216848E-2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323.60000000000002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142.65</v>
      </c>
      <c r="Z23" s="151">
        <f t="shared" si="7"/>
        <v>91.680000000000064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261.68000000000006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411.68000000000006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561.68000000000006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711.68000000000006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861.68000000000006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1011.6800000000001</v>
      </c>
      <c r="AZ23" s="152">
        <f t="shared" si="14"/>
        <v>1005.4499999999999</v>
      </c>
      <c r="BA23" s="21">
        <f t="shared" si="15"/>
        <v>3.6006880145023075E-2</v>
      </c>
      <c r="BB23" s="22">
        <f t="shared" si="20"/>
        <v>7</v>
      </c>
      <c r="BC23" s="22">
        <f t="shared" ca="1" si="16"/>
        <v>167.57499999999999</v>
      </c>
      <c r="BE23" s="224">
        <f t="shared" ca="1" si="17"/>
        <v>1055</v>
      </c>
      <c r="BF23" s="21">
        <f t="shared" ca="1" si="18"/>
        <v>3.3431462333357621E-2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49.55000000000004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161.96</v>
      </c>
      <c r="Z24" s="156">
        <f t="shared" si="7"/>
        <v>120.91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280.90999999999997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440.90999999999997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600.91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760.91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920.91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1080.9099999999999</v>
      </c>
      <c r="AZ24" s="157">
        <f t="shared" si="14"/>
        <v>849.09</v>
      </c>
      <c r="BA24" s="21">
        <f t="shared" si="15"/>
        <v>3.0407361740850011E-2</v>
      </c>
      <c r="BB24" s="22">
        <f t="shared" si="20"/>
        <v>9</v>
      </c>
      <c r="BC24" s="22">
        <f t="shared" ca="1" si="16"/>
        <v>141.51500000000001</v>
      </c>
      <c r="BE24" s="225">
        <f t="shared" ca="1" si="17"/>
        <v>970</v>
      </c>
      <c r="BF24" s="21">
        <f t="shared" ca="1" si="18"/>
        <v>3.0737932192755349E-2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120.91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3822.6199999999976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4227.6199999999972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4632.6199999999972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5037.6199999999972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5442.6199999999972</v>
      </c>
      <c r="AZ25" s="152">
        <f t="shared" si="14"/>
        <v>2028.2800000000002</v>
      </c>
      <c r="BA25" s="21">
        <f t="shared" si="15"/>
        <v>7.2636167746329916E-2</v>
      </c>
      <c r="BB25" s="22">
        <f t="shared" si="20"/>
        <v>4</v>
      </c>
      <c r="BC25" s="22">
        <f t="shared" ca="1" si="16"/>
        <v>338.04666666666668</v>
      </c>
      <c r="BE25" s="224">
        <f t="shared" ca="1" si="17"/>
        <v>1838.35</v>
      </c>
      <c r="BF25" s="21">
        <f t="shared" ca="1" si="18"/>
        <v>5.825471922324927E-2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-189.93000000000075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27.990000000000002</v>
      </c>
      <c r="Z26" s="156">
        <f t="shared" si="7"/>
        <v>47.529999999999994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100.53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148.53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196.53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244.53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292.52999999999997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340.53</v>
      </c>
      <c r="AZ26" s="157">
        <f t="shared" si="14"/>
        <v>285.46000000000004</v>
      </c>
      <c r="BA26" s="21">
        <f t="shared" si="15"/>
        <v>1.0222809693369425E-2</v>
      </c>
      <c r="BB26" s="22">
        <f t="shared" si="20"/>
        <v>16</v>
      </c>
      <c r="BC26" s="22">
        <f t="shared" ca="1" si="16"/>
        <v>47.576666666666675</v>
      </c>
      <c r="BE26" s="225">
        <f t="shared" ca="1" si="17"/>
        <v>313.45</v>
      </c>
      <c r="BF26" s="21">
        <f t="shared" ca="1" si="18"/>
        <v>9.9327885008444992E-3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27.990000000000045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1.0072042409655119E-2</v>
      </c>
      <c r="BB27" s="22">
        <f t="shared" si="20"/>
        <v>18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7.6052615734652409E-3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7.1365926522257123E-2</v>
      </c>
      <c r="BB28" s="22">
        <f t="shared" si="20"/>
        <v>5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9.1264406425178468E-2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110.8</v>
      </c>
      <c r="Z29" s="160">
        <f t="shared" si="7"/>
        <v>62.000000000000071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132.00000000000006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202.00000000000006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272.00000000000006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342.00000000000006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412.00000000000006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482.00000000000006</v>
      </c>
      <c r="AZ29" s="152">
        <f t="shared" si="23"/>
        <v>285.33</v>
      </c>
      <c r="BA29" s="21">
        <f t="shared" si="15"/>
        <v>1.0218154171544515E-2</v>
      </c>
      <c r="BB29" s="22">
        <f t="shared" si="20"/>
        <v>17</v>
      </c>
      <c r="BC29" s="22">
        <f t="shared" ca="1" si="16"/>
        <v>47.555</v>
      </c>
      <c r="BE29" s="224">
        <f t="shared" ca="1" si="17"/>
        <v>394</v>
      </c>
      <c r="BF29" s="21">
        <f t="shared" ca="1" si="18"/>
        <v>1.248530441643877E-2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108.67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4.6941984677603306E-3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7.9221474723596263E-3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4.132670912263825E-3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3.8026307867326204E-3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34.07</v>
      </c>
      <c r="Z32" s="161">
        <f t="shared" si="7"/>
        <v>984.53999999999985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1084.54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1134.54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1184.54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1234.54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1284.54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1334.54</v>
      </c>
      <c r="AZ32" s="157">
        <f t="shared" si="23"/>
        <v>324.33999999999997</v>
      </c>
      <c r="BA32" s="21">
        <f t="shared" si="15"/>
        <v>1.1615168836080146E-2</v>
      </c>
      <c r="BB32" s="22">
        <f t="shared" si="20"/>
        <v>15</v>
      </c>
      <c r="BC32" s="22">
        <f t="shared" ca="1" si="16"/>
        <v>54.056666666666665</v>
      </c>
      <c r="BE32" s="225">
        <f t="shared" ca="1" si="17"/>
        <v>1323.13</v>
      </c>
      <c r="BF32" s="21">
        <f t="shared" ca="1" si="18"/>
        <v>4.1928123940412773E-2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998.78999999999985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180.5</v>
      </c>
      <c r="Z33" s="160">
        <f t="shared" si="7"/>
        <v>357.09000000000026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407.09000000000026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457.09000000000026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507.09000000000026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557.09000000000026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607.09000000000026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657.09000000000026</v>
      </c>
      <c r="AZ33" s="152">
        <f t="shared" si="23"/>
        <v>4384.8500000000004</v>
      </c>
      <c r="BA33" s="21">
        <f t="shared" si="15"/>
        <v>0.15702896056880444</v>
      </c>
      <c r="BB33" s="22">
        <f t="shared" si="20"/>
        <v>2</v>
      </c>
      <c r="BC33" s="22">
        <f t="shared" ca="1" si="16"/>
        <v>730.80833333333339</v>
      </c>
      <c r="BE33" s="224">
        <f t="shared" ca="1" si="17"/>
        <v>4321.9400000000005</v>
      </c>
      <c r="BF33" s="21">
        <f t="shared" ca="1" si="18"/>
        <v>0.13695618418675987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-62.909999999999741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332.40999999999997</v>
      </c>
      <c r="Y34" s="155">
        <f>SUM('06'!D300:F300)</f>
        <v>242.41000000000003</v>
      </c>
      <c r="Z34" s="161">
        <f t="shared" si="7"/>
        <v>72.909999999999798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162.9099999999998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252.9099999999998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342.9099999999998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432.9099999999998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522.90999999999985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612.90999999999985</v>
      </c>
      <c r="AZ34" s="152">
        <f t="shared" si="23"/>
        <v>983.10000000000014</v>
      </c>
      <c r="BA34" s="21">
        <f t="shared" si="15"/>
        <v>3.5206488508202488E-2</v>
      </c>
      <c r="BB34" s="22">
        <f t="shared" si="20"/>
        <v>8</v>
      </c>
      <c r="BC34" s="22">
        <f t="shared" ca="1" si="16"/>
        <v>163.85000000000002</v>
      </c>
      <c r="BE34" s="225">
        <f t="shared" ca="1" si="17"/>
        <v>954.41</v>
      </c>
      <c r="BF34" s="21">
        <f t="shared" ca="1" si="18"/>
        <v>3.0243907076379001E-2</v>
      </c>
      <c r="BG34" s="22">
        <f t="shared" ca="1" si="21"/>
        <v>12</v>
      </c>
      <c r="BH34" s="22">
        <f t="shared" ca="1" si="19"/>
        <v>159.06833333333333</v>
      </c>
      <c r="BJ34" s="225">
        <f t="shared" ca="1" si="22"/>
        <v>-28.690000000000111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2.9190121842168491E-2</v>
      </c>
      <c r="BB35" s="22">
        <f t="shared" si="20"/>
        <v>10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3.3462517151449274E-2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1.9019239122999951E-2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2.0598217199932815E-2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1.3166173837901172E-2</v>
      </c>
      <c r="BB37" s="22">
        <f t="shared" si="20"/>
        <v>14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1.0140348764620321E-2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35</v>
      </c>
      <c r="Z38" s="156">
        <f t="shared" si="7"/>
        <v>75.730000000000047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145.73000000000005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215.73000000000005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285.73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355.73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425.73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495.73</v>
      </c>
      <c r="AZ38" s="157">
        <f t="shared" si="23"/>
        <v>413.47</v>
      </c>
      <c r="BA38" s="21">
        <f t="shared" si="15"/>
        <v>1.4807066222649254E-2</v>
      </c>
      <c r="BB38" s="22">
        <f t="shared" si="20"/>
        <v>13</v>
      </c>
      <c r="BC38" s="22">
        <f t="shared" ca="1" si="16"/>
        <v>68.911666666666676</v>
      </c>
      <c r="BE38" s="225">
        <f t="shared" ca="1" si="17"/>
        <v>450</v>
      </c>
      <c r="BF38" s="21">
        <f t="shared" ca="1" si="18"/>
        <v>1.4259865450247327E-2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36.530000000000015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-3.656039369904078E-2</v>
      </c>
      <c r="BG39" s="22">
        <f t="shared" ca="1" si="21"/>
        <v>26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5.6603983049603136E-3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-1.7855569745001916E-2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-65.919999999999163</v>
      </c>
      <c r="Y41" s="165">
        <f>SUM('06'!D440:F440)</f>
        <v>0</v>
      </c>
      <c r="Z41" s="151">
        <f t="shared" si="7"/>
        <v>7935.2000000000007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4035.2000000000007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135.20000000000073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-3764.7999999999993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-7664.7999999999993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-11564.8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-15464.8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-614.79999999999734</v>
      </c>
      <c r="BF41" s="21">
        <f t="shared" ca="1" si="18"/>
        <v>-1.9482145064026707E-2</v>
      </c>
      <c r="BG41" s="22">
        <f t="shared" ca="1" si="21"/>
        <v>25</v>
      </c>
      <c r="BH41" s="22">
        <f t="shared" ca="1" si="19"/>
        <v>-102.46666666666623</v>
      </c>
      <c r="BJ41" s="224">
        <f t="shared" ca="1" si="22"/>
        <v>-614.79999999999745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0.12821963995424165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1.7905853172720212E-2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3.6641516489157758E-3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2.3127199957885427E-3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4038.2300000000005</v>
      </c>
      <c r="Y46" s="219">
        <f>SUM(Y20:Y45)</f>
        <v>3035.5</v>
      </c>
      <c r="Z46" s="220">
        <f>SUM(Z20:Z45)</f>
        <v>30016.810000000005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30016.809999999998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30016.809999999994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30016.809999999994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30016.809999999994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30016.809999999994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30016.81</v>
      </c>
      <c r="AZ46" s="227">
        <f>SUM(AZ20:AZ45)</f>
        <v>27923.830000000009</v>
      </c>
      <c r="BA46" s="1"/>
      <c r="BB46" s="1"/>
      <c r="BC46" s="124">
        <f ca="1">SUM(BC20:BC45)</f>
        <v>4653.9716666666673</v>
      </c>
      <c r="BE46" s="227">
        <f ca="1">SUM(BE20:BE45)</f>
        <v>31557.100000000006</v>
      </c>
      <c r="BF46" s="1"/>
      <c r="BG46" s="1"/>
      <c r="BH46" s="124">
        <f ca="1">SUM(BH20:BH45)</f>
        <v>5259.5166666666664</v>
      </c>
      <c r="BJ46" s="227">
        <f ca="1">SUM(BJ20:BJ45)</f>
        <v>3633.2700000000032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1002.7300000000005</v>
      </c>
      <c r="Z47" s="125"/>
      <c r="AA47" s="125">
        <f>AA5-Z46</f>
        <v>-401.7100000000064</v>
      </c>
      <c r="AB47" s="125">
        <f>AA17-AB46</f>
        <v>0</v>
      </c>
      <c r="AC47" s="125">
        <f>AA17-AC46</f>
        <v>0</v>
      </c>
      <c r="AD47" s="125"/>
      <c r="AE47" s="125">
        <f>AE5-AD46</f>
        <v>-14914.919999999996</v>
      </c>
      <c r="AF47" s="125">
        <f>AE17-AF46</f>
        <v>0</v>
      </c>
      <c r="AG47" s="125">
        <f>AE17-AG46</f>
        <v>0</v>
      </c>
      <c r="AH47" s="125"/>
      <c r="AI47" s="125">
        <f>AI5-AH46</f>
        <v>-14914.919999999993</v>
      </c>
      <c r="AJ47" s="125">
        <f>AI17-AJ46</f>
        <v>0</v>
      </c>
      <c r="AK47" s="125">
        <f>AI17-AK46</f>
        <v>0</v>
      </c>
      <c r="AL47" s="125"/>
      <c r="AM47" s="125">
        <f>AM5-AL46</f>
        <v>-14914.919999999993</v>
      </c>
      <c r="AN47" s="125">
        <f>AM17-AN46</f>
        <v>0</v>
      </c>
      <c r="AO47" s="125">
        <f>AM17-AO46</f>
        <v>0</v>
      </c>
      <c r="AP47" s="125"/>
      <c r="AQ47" s="125">
        <f>AQ5-AP46</f>
        <v>-14914.919999999993</v>
      </c>
      <c r="AR47" s="125">
        <f>AQ17-AR46</f>
        <v>0</v>
      </c>
      <c r="AS47" s="125">
        <f>AQ17-AS46</f>
        <v>0</v>
      </c>
      <c r="AT47" s="140"/>
      <c r="AU47" s="125">
        <f>AU5-AT46</f>
        <v>-14914.919999999993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55847.66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280.03000000000003</v>
      </c>
      <c r="Z50" s="119" t="s">
        <v>654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567</v>
      </c>
      <c r="U70" s="378"/>
      <c r="V70" s="100">
        <v>3742.92</v>
      </c>
      <c r="W70" s="96"/>
      <c r="X70" s="377" t="s">
        <v>565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568</v>
      </c>
      <c r="U71" s="393"/>
      <c r="V71" s="101">
        <v>1872.17</v>
      </c>
      <c r="W71" s="97"/>
      <c r="X71" s="392" t="s">
        <v>566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74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23</v>
      </c>
      <c r="D75">
        <f>C75*D74</f>
        <v>76.666666666666671</v>
      </c>
      <c r="Z75" s="111"/>
    </row>
    <row r="76" spans="1:50">
      <c r="D76">
        <f>D75-D73</f>
        <v>2.6666666666666714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2269.4300000000003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560.03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3740.09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212.93000000000004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1571.44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2813.43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730.03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4868.0899999999992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1950.91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3357.43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900.03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5996.0899999999992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354.93000000000006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2330.38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3901.43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1070.03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7124.0899999999992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425.93000000000006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2709.8500000000004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I25" sqref="I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-0.21199999999999999</v>
      </c>
      <c r="C6" s="44" t="s">
        <v>95</v>
      </c>
      <c r="D6" s="43" t="s">
        <v>96</v>
      </c>
      <c r="E6" s="42"/>
      <c r="J6" t="s">
        <v>97</v>
      </c>
      <c r="K6" s="49">
        <f>B4-B15</f>
        <v>129682.81238562995</v>
      </c>
      <c r="L6" s="39">
        <f>B4*(E8/100)</f>
        <v>31.211721600000004</v>
      </c>
      <c r="M6" s="49">
        <f>B13-L6</f>
        <v>366.0276143700421</v>
      </c>
    </row>
    <row r="7" spans="1:13" ht="12.75" customHeight="1">
      <c r="E7" s="42"/>
      <c r="J7" t="s">
        <v>98</v>
      </c>
      <c r="K7" s="49">
        <f>K6-(B13-L7)</f>
        <v>129316.69692463246</v>
      </c>
      <c r="L7" s="39">
        <f>(K6*(E8/100))</f>
        <v>31.123874972551192</v>
      </c>
      <c r="M7" s="49">
        <f>B13-L7</f>
        <v>366.11546099749091</v>
      </c>
    </row>
    <row r="8" spans="1:13" ht="12.75" customHeight="1">
      <c r="B8" s="42"/>
      <c r="D8" t="s">
        <v>183</v>
      </c>
      <c r="E8" s="50">
        <f>(B6+0.5)/12</f>
        <v>2.4000000000000004E-2</v>
      </c>
      <c r="J8" t="s">
        <v>99</v>
      </c>
      <c r="K8" s="49">
        <f>K7-(B13-L8)</f>
        <v>128950.49359592433</v>
      </c>
      <c r="L8" s="39">
        <f>(K7*(E8/100))</f>
        <v>31.036007261911795</v>
      </c>
      <c r="M8" s="49">
        <f>B13-L8</f>
        <v>366.2033287081303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1.00024</v>
      </c>
      <c r="J9" t="s">
        <v>101</v>
      </c>
      <c r="K9" s="49">
        <f>K8-(B13-L9)</f>
        <v>128584.20237841731</v>
      </c>
      <c r="L9" s="39">
        <f>(K8*(E8/100))</f>
        <v>30.948118463021842</v>
      </c>
      <c r="M9" s="49">
        <f>B13-L9</f>
        <v>366.29121750702024</v>
      </c>
    </row>
    <row r="10" spans="1:13" ht="12.75" customHeight="1">
      <c r="B10" s="42"/>
      <c r="D10" t="s">
        <v>102</v>
      </c>
      <c r="E10" s="50">
        <f>E9^-B5</f>
        <v>0.92142842167485184</v>
      </c>
      <c r="J10" t="s">
        <v>103</v>
      </c>
      <c r="K10" s="49">
        <f>K9-(B13-L10)</f>
        <v>128217.82325101808</v>
      </c>
      <c r="L10" s="39">
        <f>(K9*(E8/100))</f>
        <v>30.860208570820159</v>
      </c>
      <c r="M10" s="49">
        <f>B13-L10</f>
        <v>366.37912739922194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7.8571578325148161</v>
      </c>
      <c r="J11" t="s">
        <v>106</v>
      </c>
      <c r="K11" s="51">
        <f>K10-(B13-L11)</f>
        <v>127851.35619262829</v>
      </c>
      <c r="L11" s="39">
        <f>(K10*(E8/100))</f>
        <v>30.772277580244346</v>
      </c>
      <c r="M11" s="49">
        <f>B13-L11</f>
        <v>366.46705838979773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397.23933597004208</v>
      </c>
      <c r="E13" s="42"/>
      <c r="F13" s="44"/>
      <c r="G13" s="53"/>
      <c r="L13" s="54">
        <f>SUM(L6:L11)</f>
        <v>185.95220844854933</v>
      </c>
      <c r="M13" s="54">
        <f>SUM(M6:M11)</f>
        <v>2197.4838073717033</v>
      </c>
    </row>
    <row r="14" spans="1:13" ht="12.75" customHeight="1">
      <c r="A14" t="s">
        <v>108</v>
      </c>
      <c r="B14" s="55">
        <f>B4*(E8/100)</f>
        <v>31.211721600000004</v>
      </c>
      <c r="E14" s="42"/>
    </row>
    <row r="15" spans="1:13" ht="12.75" customHeight="1">
      <c r="A15" t="s">
        <v>109</v>
      </c>
      <c r="B15" s="55">
        <f>B13-B14</f>
        <v>366.0276143700421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397.24089597004206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-0.21199999999999999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-0.21199999999999999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2197.4838073717033</v>
      </c>
      <c r="C22" s="58">
        <f>B22/170000</f>
        <v>1.2926375337480608E-2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127851.35619262829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-0.21199999999999999</v>
      </c>
      <c r="F40">
        <v>28</v>
      </c>
      <c r="G40" s="57">
        <f t="shared" ref="G22: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-2.1199999999999999E-3</v>
      </c>
      <c r="D25" s="73">
        <f>Hipoteca!B$13</f>
        <v>397.23933597004208</v>
      </c>
      <c r="E25" s="72">
        <f t="shared" ref="E25" si="10">D25-D24</f>
        <v>-5.8406640299579067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8.4244047619047597E-3</v>
      </c>
      <c r="D83" s="85">
        <f>AVERAGE(D2:D82)</f>
        <v>492.57271577367345</v>
      </c>
      <c r="E83" s="86">
        <f>AVERAGE(E3:E82)</f>
        <v>-19.600463653476432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workbookViewId="0">
      <selection activeCell="L5" sqref="L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1431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43640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35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43640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486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43640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3.9591315453384422E-2</v>
      </c>
      <c r="X13" s="119">
        <f ca="1">W13*E13</f>
        <v>159.12814489144318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3.5121328224776503E-2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8.9399744572158362E-3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0.55491698595146866</v>
      </c>
      <c r="X19" s="119">
        <f t="shared" ca="1" si="2"/>
        <v>2454.619751264368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0.40357598978288634</v>
      </c>
      <c r="X20" s="119">
        <f t="shared" ca="1" si="2"/>
        <v>242.38773946360155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0.18390804597701149</v>
      </c>
      <c r="X25" s="119">
        <f t="shared" ca="1" si="2"/>
        <v>111.80932891954022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486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43640</v>
      </c>
      <c r="L28" s="302">
        <v>25</v>
      </c>
      <c r="M28" s="264">
        <f>(H28*L28)</f>
        <v>4900</v>
      </c>
      <c r="N28" s="264">
        <f>-(IF((M28*0.0075)&lt;30,30,(M28*0.0075)) + (M28*0.0035))</f>
        <v>-53.900000000000006</v>
      </c>
      <c r="O28" s="272">
        <f>J28+N28</f>
        <v>-109.91288</v>
      </c>
      <c r="P28" s="273">
        <f ca="1">IF(K28=0,0,M28-E28+N28)</f>
        <v>-301.99288000000013</v>
      </c>
      <c r="Q28" s="274">
        <f ca="1">P28/E28</f>
        <v>-5.8661117240759675E-2</v>
      </c>
      <c r="R28" s="275" t="s">
        <v>519</v>
      </c>
      <c r="S28" s="59">
        <f ca="1">Q28+Q29+Q30+Q34</f>
        <v>-3.4255963151931343E-2</v>
      </c>
      <c r="W28" s="39">
        <f t="shared" ca="1" si="1"/>
        <v>0.31034482758620691</v>
      </c>
      <c r="X28" s="119">
        <f t="shared" ca="1" si="2"/>
        <v>1597.6839972413793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1.40485312899106E-2</v>
      </c>
      <c r="X33" s="119">
        <f t="shared" ca="1" si="2"/>
        <v>58.008158620689649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35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43640</v>
      </c>
      <c r="L35" s="302">
        <v>64</v>
      </c>
      <c r="M35" s="264">
        <f>(H35*L35)</f>
        <v>3968</v>
      </c>
      <c r="N35" s="264">
        <f>-(IF((M35*0.0075)&lt;30,30,(M35*0.0075)) + (M35*0.0035))</f>
        <v>-43.887999999999998</v>
      </c>
      <c r="O35" s="272">
        <f>J35+N35</f>
        <v>-88.374859999999998</v>
      </c>
      <c r="P35" s="273">
        <f ca="1">IF(K35=0,0,M35-E35+N35)</f>
        <v>-164.6348600000002</v>
      </c>
      <c r="Q35" s="274">
        <f ca="1">P35/E35</f>
        <v>-4.0265358956460363E-2</v>
      </c>
      <c r="R35" s="275" t="s">
        <v>413</v>
      </c>
      <c r="W35" s="39">
        <f t="shared" ca="1" si="1"/>
        <v>2.2349936143039591E-2</v>
      </c>
      <c r="X35" s="119">
        <f t="shared" ca="1" si="2"/>
        <v>91.383231226053638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2463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-368.369259</v>
      </c>
      <c r="O42" s="315">
        <f>SUM(O13:O41)</f>
        <v>-554.56739699999991</v>
      </c>
      <c r="P42" s="315">
        <f ca="1">SUM(P13:P41)</f>
        <v>3191.2509829999999</v>
      </c>
      <c r="Q42" s="326">
        <f ca="1">SUM(Q13:Q41)</f>
        <v>3.8244392299638501</v>
      </c>
      <c r="R42" s="317"/>
      <c r="W42" s="327">
        <f ca="1">SUM(W13:W41)</f>
        <v>1.5727969348659001</v>
      </c>
      <c r="X42" s="328">
        <f ca="1">SUM(X13:X41)</f>
        <v>4715.0203516270758</v>
      </c>
      <c r="Y42" s="329">
        <f ca="1">P42/X42</f>
        <v>0.67682655535065761</v>
      </c>
      <c r="Z42" s="329">
        <f ca="1">Y42/(D$43/365)</f>
        <v>0.1577533159022925</v>
      </c>
    </row>
    <row r="43" spans="1:26">
      <c r="C43" s="119" t="s">
        <v>570</v>
      </c>
      <c r="D43" s="46">
        <f ca="1">_xlfn.DAYS(TODAY(),F13)</f>
        <v>1566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-44.545440180304979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-54.956175171724929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-22.389552847739786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-42.743691800230508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-164.6348600000002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57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1614.1099999999997</v>
      </c>
      <c r="L5" s="433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637.43000000000006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157.99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628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>
        <v>27.2</v>
      </c>
      <c r="E48" s="138"/>
      <c r="F48" s="138"/>
      <c r="G48" s="16" t="s">
        <v>645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650</v>
      </c>
      <c r="H50" s="1"/>
      <c r="I50" s="421" t="str">
        <f>AÑO!A13</f>
        <v>Gubernamental</v>
      </c>
      <c r="J50" s="424" t="s">
        <v>641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660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666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243.23000000000002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629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</f>
        <v>-8.3199999999999861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630</v>
      </c>
      <c r="D67" s="137">
        <v>36.049999999999997</v>
      </c>
      <c r="E67" s="138"/>
      <c r="F67" s="138"/>
      <c r="G67" s="31" t="s">
        <v>653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22.1</v>
      </c>
      <c r="E68" s="138"/>
      <c r="F68" s="138">
        <v>6</v>
      </c>
      <c r="G68" s="16" t="s">
        <v>655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657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71.680000000000007</v>
      </c>
      <c r="B80" s="233">
        <f>SUM(B66:B79)</f>
        <v>135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668</v>
      </c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161.96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42.5</v>
      </c>
      <c r="B140" s="135">
        <f>SUM(B126:B139)</f>
        <v>53</v>
      </c>
      <c r="C140" s="17" t="s">
        <v>53</v>
      </c>
      <c r="D140" s="135">
        <f>SUM(D126:D139)</f>
        <v>20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23.88</v>
      </c>
      <c r="E187" s="138"/>
      <c r="F187" s="138"/>
      <c r="G187" s="16" t="s">
        <v>651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75.8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87.080000000000013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649</v>
      </c>
    </row>
    <row r="247" spans="1:7" ht="15" customHeight="1">
      <c r="A247" s="112"/>
      <c r="B247" s="134"/>
      <c r="C247" s="16"/>
      <c r="D247" s="137">
        <v>12.99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984.54000000000008</v>
      </c>
      <c r="B260" s="135">
        <f>SUM(B246:B259)</f>
        <v>100</v>
      </c>
      <c r="C260" s="17" t="s">
        <v>53</v>
      </c>
      <c r="D260" s="135">
        <f>SUM(D246:D259)</f>
        <v>12.99</v>
      </c>
      <c r="E260" s="135">
        <f>SUM(E246:E259)</f>
        <v>21.08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664</v>
      </c>
      <c r="H267" s="89" t="s">
        <v>663</v>
      </c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0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637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648</v>
      </c>
      <c r="H287" s="92"/>
    </row>
    <row r="288" spans="2:9">
      <c r="B288" s="134"/>
      <c r="C288" s="16"/>
      <c r="D288" s="137"/>
      <c r="E288" s="138"/>
      <c r="F288" s="138"/>
      <c r="G288" s="16"/>
      <c r="H288" s="113">
        <v>242.41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332.40999999999997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639</v>
      </c>
    </row>
    <row r="308" spans="2:7">
      <c r="B308" s="134"/>
      <c r="C308" s="27"/>
      <c r="D308" s="137"/>
      <c r="E308" s="138"/>
      <c r="F308" s="138">
        <v>50</v>
      </c>
      <c r="G308" s="16" t="s">
        <v>640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631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</f>
        <v>12.5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22.5</v>
      </c>
      <c r="E380" s="135">
        <f>SUM(E366:E379)</f>
        <v>0</v>
      </c>
      <c r="F380" s="135">
        <f>SUM(F366:F379)</f>
        <v>12.5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4038.2300000000005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-65.919999999999163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-65.919999999999163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625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workbookViewId="0">
      <selection activeCell="B22" sqref="B22:G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55" t="str">
        <f>AÑO!A20</f>
        <v>Cártama Gastos</v>
      </c>
      <c r="C2" s="450"/>
      <c r="D2" s="450"/>
      <c r="E2" s="450"/>
      <c r="F2" s="450"/>
      <c r="G2" s="451"/>
      <c r="H2" s="222"/>
      <c r="I2" s="449" t="s">
        <v>4</v>
      </c>
      <c r="J2" s="450"/>
      <c r="K2" s="450"/>
      <c r="L2" s="451"/>
      <c r="M2" s="1"/>
      <c r="N2" s="1"/>
      <c r="R2" s="3"/>
    </row>
    <row r="3" spans="1:22" ht="16.5" thickBot="1">
      <c r="A3" s="1"/>
      <c r="B3" s="452"/>
      <c r="C3" s="453"/>
      <c r="D3" s="453"/>
      <c r="E3" s="453"/>
      <c r="F3" s="453"/>
      <c r="G3" s="454"/>
      <c r="H3" s="1"/>
      <c r="I3" s="452"/>
      <c r="J3" s="453"/>
      <c r="K3" s="453"/>
      <c r="L3" s="454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2156.9299999999998</v>
      </c>
      <c r="L5" s="433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9234.42</v>
      </c>
      <c r="L7" s="417"/>
      <c r="M7" s="1"/>
      <c r="N7" s="1"/>
      <c r="R7" s="3"/>
    </row>
    <row r="8" spans="1:22" ht="15.75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29615.1</v>
      </c>
      <c r="L19" s="442"/>
      <c r="M19" s="1"/>
      <c r="N19" s="1"/>
      <c r="R19" s="3"/>
    </row>
    <row r="20" spans="1:18" ht="16.5" thickBot="1">
      <c r="A20" s="112">
        <f>SUM(A6:A15)</f>
        <v>1181.43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55" t="str">
        <f>AÑO!A21</f>
        <v>Waterloo</v>
      </c>
      <c r="C22" s="450"/>
      <c r="D22" s="450"/>
      <c r="E22" s="450"/>
      <c r="F22" s="450"/>
      <c r="G22" s="451"/>
      <c r="H22" s="1"/>
      <c r="I22" s="449" t="s">
        <v>6</v>
      </c>
      <c r="J22" s="450"/>
      <c r="K22" s="450"/>
      <c r="L22" s="451"/>
      <c r="M22" s="1"/>
      <c r="R22" s="3"/>
    </row>
    <row r="23" spans="1:18" ht="16.149999999999999" customHeight="1" thickBot="1">
      <c r="A23" s="1"/>
      <c r="B23" s="452"/>
      <c r="C23" s="453"/>
      <c r="D23" s="453"/>
      <c r="E23" s="453"/>
      <c r="F23" s="453"/>
      <c r="G23" s="454"/>
      <c r="H23" s="1"/>
      <c r="I23" s="452"/>
      <c r="J23" s="453"/>
      <c r="K23" s="453"/>
      <c r="L23" s="454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132.08000000000001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'06'!A257+(B257-SUM(D257:F257))</f>
        <v>757.46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'06'!A258+(B258-SUM(D258:F258))</f>
        <v>165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1084.54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1725.43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390.03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2612.09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141.93000000000004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1191.97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2019-06-24T15:56:13Z</dcterms:modified>
</cp:coreProperties>
</file>