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A7F289C8-29C6-4BA6-9E2B-D6DD25B32902}" xr6:coauthVersionLast="31" xr6:coauthVersionMax="31" xr10:uidLastSave="{00000000-0000-0000-0000-000000000000}"/>
  <bookViews>
    <workbookView xWindow="240" yWindow="105" windowWidth="14805" windowHeight="7785" activeTab="11" xr2:uid="{00000000-000D-0000-FFFF-FFFF00000000}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F50" i="12" l="1"/>
  <c r="F366" i="12"/>
  <c r="D49" i="12" l="1"/>
  <c r="A426" i="12" l="1"/>
  <c r="AQ9" i="1"/>
  <c r="F206" i="12" l="1"/>
  <c r="AQ11" i="1" l="1"/>
  <c r="K25" i="12"/>
  <c r="K11" i="12" l="1"/>
  <c r="F366" i="11"/>
  <c r="D58" i="11" l="1"/>
  <c r="D59" i="11"/>
  <c r="AM9" i="1"/>
  <c r="D57" i="11" l="1"/>
  <c r="D188" i="11" l="1"/>
  <c r="D56" i="11"/>
  <c r="D55" i="11" l="1"/>
  <c r="AM11" i="1"/>
  <c r="F70" i="11" l="1"/>
  <c r="D54" i="11"/>
  <c r="G15" i="17" l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D306" i="11"/>
  <c r="B4" i="14" l="1"/>
  <c r="AM15" i="1" l="1"/>
  <c r="D100" i="11" l="1"/>
  <c r="BB17" i="1"/>
  <c r="D46" i="11" l="1"/>
  <c r="B422" i="11" l="1"/>
  <c r="K7" i="11"/>
  <c r="AI10" i="1"/>
  <c r="O5" i="11"/>
  <c r="F366" i="10" l="1"/>
  <c r="A8" i="11"/>
  <c r="A11" i="11"/>
  <c r="A11" i="10"/>
  <c r="A7" i="10"/>
  <c r="A7" i="11" s="1"/>
  <c r="A10" i="10"/>
  <c r="A10" i="11" s="1"/>
  <c r="A7" i="2"/>
  <c r="A14" i="2"/>
  <c r="A15" i="2"/>
  <c r="A16" i="2"/>
  <c r="A9" i="2"/>
  <c r="A10" i="2"/>
  <c r="A11" i="2"/>
  <c r="A12" i="2"/>
  <c r="A6" i="2"/>
  <c r="A13" i="2"/>
  <c r="E6" i="10"/>
  <c r="D226" i="10"/>
  <c r="D54" i="10" l="1"/>
  <c r="F520" i="13" l="1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K19" i="13"/>
  <c r="L20" i="13" s="1"/>
  <c r="B2" i="13"/>
  <c r="D51" i="10" l="1"/>
  <c r="A109" i="11" l="1"/>
  <c r="A109" i="12" s="1"/>
  <c r="A109" i="13" s="1"/>
  <c r="H63" i="17" s="1"/>
  <c r="A108" i="10"/>
  <c r="A120" i="10" s="1"/>
  <c r="A467" i="11" l="1"/>
  <c r="A468" i="11"/>
  <c r="D108" i="10"/>
  <c r="A108" i="11" l="1"/>
  <c r="A107" i="11"/>
  <c r="A107" i="12" s="1"/>
  <c r="A107" i="13" s="1"/>
  <c r="A106" i="11"/>
  <c r="A466" i="11"/>
  <c r="A480" i="11" s="1"/>
  <c r="A480" i="10"/>
  <c r="A30" i="10"/>
  <c r="A30" i="11" s="1"/>
  <c r="A30" i="12" s="1"/>
  <c r="A30" i="13" s="1"/>
  <c r="A28" i="10"/>
  <c r="A28" i="11" s="1"/>
  <c r="A28" i="12" s="1"/>
  <c r="A28" i="13" s="1"/>
  <c r="A26" i="11"/>
  <c r="A26" i="12" s="1"/>
  <c r="A26" i="13" s="1"/>
  <c r="A29" i="10"/>
  <c r="A29" i="11" s="1"/>
  <c r="A29" i="12" s="1"/>
  <c r="A29" i="13" s="1"/>
  <c r="A27" i="10"/>
  <c r="A27" i="11" s="1"/>
  <c r="A27" i="12" s="1"/>
  <c r="A27" i="13" s="1"/>
  <c r="A8" i="12"/>
  <c r="A8" i="13" s="1"/>
  <c r="A108" i="12" l="1"/>
  <c r="A108" i="13" s="1"/>
  <c r="A40" i="13"/>
  <c r="A466" i="12"/>
  <c r="A466" i="13" s="1"/>
  <c r="A106" i="12"/>
  <c r="A106" i="13" s="1"/>
  <c r="A120" i="11"/>
  <c r="A40" i="11"/>
  <c r="A40" i="12"/>
  <c r="A40" i="10"/>
  <c r="A468" i="12"/>
  <c r="A468" i="13" s="1"/>
  <c r="A467" i="12"/>
  <c r="A467" i="13" s="1"/>
  <c r="A120" i="13" l="1"/>
  <c r="A120" i="12"/>
  <c r="A480" i="13"/>
  <c r="D67" i="10"/>
  <c r="D47" i="10" l="1"/>
  <c r="D46" i="10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F20" i="12"/>
  <c r="E20" i="12"/>
  <c r="D20" i="12"/>
  <c r="B20" i="12"/>
  <c r="K19" i="12"/>
  <c r="L20" i="12" s="1"/>
  <c r="B2" i="12"/>
  <c r="M27" i="10" l="1"/>
  <c r="F166" i="10" l="1"/>
  <c r="D58" i="9" l="1"/>
  <c r="F366" i="9"/>
  <c r="K11" i="10" l="1"/>
  <c r="D57" i="9" l="1"/>
  <c r="D71" i="9" l="1"/>
  <c r="D56" i="9"/>
  <c r="D55" i="9"/>
  <c r="E166" i="9" l="1"/>
  <c r="D53" i="9" l="1"/>
  <c r="D51" i="9" l="1"/>
  <c r="D247" i="9"/>
  <c r="F520" i="11" l="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K19" i="11"/>
  <c r="L20" i="11" s="1"/>
  <c r="B2" i="11"/>
  <c r="D48" i="9" l="1"/>
  <c r="D47" i="9"/>
  <c r="D67" i="9"/>
  <c r="D46" i="9" l="1"/>
  <c r="AE9" i="1" l="1"/>
  <c r="K5" i="9" l="1"/>
  <c r="K11" i="9"/>
  <c r="G41" i="14"/>
  <c r="G42" i="14"/>
  <c r="G43" i="14"/>
  <c r="D86" i="8" l="1"/>
  <c r="D289" i="8" l="1"/>
  <c r="D248" i="8" s="1"/>
  <c r="D290" i="8" l="1"/>
  <c r="D190" i="8" s="1"/>
  <c r="AA12" i="1"/>
  <c r="D51" i="8" l="1"/>
  <c r="F366" i="8" s="1"/>
  <c r="D206" i="8" l="1"/>
  <c r="E368" i="8"/>
  <c r="F520" i="10" l="1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F20" i="10"/>
  <c r="E20" i="10"/>
  <c r="D20" i="10"/>
  <c r="B20" i="10"/>
  <c r="K19" i="10"/>
  <c r="L20" i="10" s="1"/>
  <c r="B2" i="10"/>
  <c r="F70" i="8" l="1"/>
  <c r="D247" i="8" l="1"/>
  <c r="AA9" i="1" l="1"/>
  <c r="AD71" i="1" l="1"/>
  <c r="AA11" i="1" l="1"/>
  <c r="D68" i="8" l="1"/>
  <c r="F68" i="8"/>
  <c r="D47" i="8"/>
  <c r="D46" i="8"/>
  <c r="F366" i="7" l="1"/>
  <c r="AD59" i="1" l="1"/>
  <c r="D67" i="8" l="1"/>
  <c r="B16" i="8"/>
  <c r="B12" i="8"/>
  <c r="D48" i="8"/>
  <c r="D307" i="8"/>
  <c r="D306" i="8"/>
  <c r="AA13" i="1" l="1"/>
  <c r="D286" i="8" l="1"/>
  <c r="D49" i="7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K19" i="9"/>
  <c r="L20" i="9" s="1"/>
  <c r="B20" i="9"/>
  <c r="B2" i="9"/>
  <c r="Z60" i="1" l="1"/>
  <c r="D56" i="7" l="1"/>
  <c r="D246" i="7" l="1"/>
  <c r="D368" i="7"/>
  <c r="D72" i="7" l="1"/>
  <c r="D288" i="7"/>
  <c r="Z70" i="1" l="1"/>
  <c r="Z71" i="1" s="1"/>
  <c r="Z72" i="1" s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H80" i="8" l="1"/>
  <c r="O10" i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l="1"/>
  <c r="D47" i="6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167" i="4" l="1"/>
  <c r="D247" i="4" s="1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AU5" i="1" l="1"/>
  <c r="AQ5" i="1"/>
  <c r="AM5" i="1"/>
  <c r="AI5" i="1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AZ17" i="1" l="1"/>
  <c r="AZ18" i="1" s="1"/>
  <c r="AZ10" i="1"/>
  <c r="AZ11" i="1"/>
  <c r="AZ12" i="1"/>
  <c r="AZ13" i="1"/>
  <c r="AZ14" i="1"/>
  <c r="AZ15" i="1"/>
  <c r="AZ8" i="1"/>
  <c r="AZ16" i="1"/>
  <c r="AZ9" i="1"/>
  <c r="AY18" i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C30" i="14"/>
  <c r="F6" i="16"/>
  <c r="E16" i="15"/>
  <c r="G16" i="15"/>
  <c r="G45" i="14"/>
  <c r="E19" i="14" s="1"/>
  <c r="B6" i="14" s="1"/>
  <c r="C24" i="15" s="1"/>
  <c r="F15" i="16"/>
  <c r="G6" i="16"/>
  <c r="I16" i="15"/>
  <c r="A17" i="15"/>
  <c r="E3" i="15"/>
  <c r="E11" i="15"/>
  <c r="E14" i="15"/>
  <c r="E15" i="15"/>
  <c r="E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K19" i="2"/>
  <c r="D63" i="17" l="1"/>
  <c r="I63" i="17"/>
  <c r="C5" i="1"/>
  <c r="L20" i="2"/>
  <c r="B14" i="14"/>
  <c r="L6" i="14"/>
  <c r="E9" i="14"/>
  <c r="I18" i="15"/>
  <c r="A19" i="15"/>
  <c r="G23" i="15" l="1"/>
  <c r="E23" i="15"/>
  <c r="G22" i="15"/>
  <c r="A20" i="15"/>
  <c r="I19" i="15"/>
  <c r="G85" i="15" l="1"/>
  <c r="E22" i="15"/>
  <c r="I20" i="15"/>
  <c r="A21" i="15"/>
  <c r="I21" i="15" l="1"/>
  <c r="A22" i="15"/>
  <c r="A23" i="15" l="1"/>
  <c r="I22" i="15"/>
  <c r="A24" i="15" l="1"/>
  <c r="I23" i="15"/>
  <c r="A25" i="15" l="1"/>
  <c r="I24" i="15"/>
  <c r="B3" i="14" s="1"/>
  <c r="A26" i="15" l="1"/>
  <c r="I25" i="15"/>
  <c r="A27" i="15" l="1"/>
  <c r="I26" i="15"/>
  <c r="A28" i="15" l="1"/>
  <c r="I27" i="15"/>
  <c r="AV22" i="1"/>
  <c r="A29" i="15" l="1"/>
  <c r="I28" i="15"/>
  <c r="A30" i="15" l="1"/>
  <c r="I29" i="15"/>
  <c r="A31" i="15" l="1"/>
  <c r="I30" i="15"/>
  <c r="A32" i="15" l="1"/>
  <c r="I31" i="15"/>
  <c r="A33" i="15" l="1"/>
  <c r="I32" i="15"/>
  <c r="A34" i="15" l="1"/>
  <c r="I33" i="15"/>
  <c r="A35" i="15" l="1"/>
  <c r="I34" i="15"/>
  <c r="A36" i="15" l="1"/>
  <c r="I35" i="15"/>
  <c r="A37" i="15" l="1"/>
  <c r="I36" i="15"/>
  <c r="A38" i="15" l="1"/>
  <c r="I37" i="15"/>
  <c r="A39" i="15" l="1"/>
  <c r="I38" i="15"/>
  <c r="A40" i="15" l="1"/>
  <c r="I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B426" i="13" s="1"/>
  <c r="A41" i="15" l="1"/>
  <c r="I40" i="15"/>
  <c r="AW21" i="1"/>
  <c r="AW40" i="1"/>
  <c r="AW26" i="1"/>
  <c r="AW34" i="1"/>
  <c r="AW43" i="1"/>
  <c r="AW22" i="1"/>
  <c r="AW50" i="1" s="1"/>
  <c r="AW23" i="1"/>
  <c r="AW46" i="1" l="1"/>
  <c r="A42" i="15"/>
  <c r="I41" i="15"/>
  <c r="AW47" i="1"/>
  <c r="A43" i="15" l="1"/>
  <c r="I42" i="15"/>
  <c r="A44" i="15" l="1"/>
  <c r="I43" i="15"/>
  <c r="A45" i="15" l="1"/>
  <c r="I44" i="15"/>
  <c r="A46" i="15" l="1"/>
  <c r="I45" i="15"/>
  <c r="A47" i="15" l="1"/>
  <c r="I46" i="15"/>
  <c r="A48" i="15" l="1"/>
  <c r="I47" i="15"/>
  <c r="A49" i="15" l="1"/>
  <c r="I48" i="15"/>
  <c r="A50" i="15" l="1"/>
  <c r="I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I50" i="15"/>
  <c r="AS24" i="1"/>
  <c r="AS22" i="1"/>
  <c r="AS50" i="1" s="1"/>
  <c r="AS31" i="1"/>
  <c r="AS34" i="1"/>
  <c r="AS23" i="1"/>
  <c r="AS21" i="1"/>
  <c r="AS46" i="1" l="1"/>
  <c r="A52" i="15"/>
  <c r="I51" i="15"/>
  <c r="A53" i="15" l="1"/>
  <c r="I52" i="15"/>
  <c r="A54" i="15" l="1"/>
  <c r="I53" i="15"/>
  <c r="A55" i="15" l="1"/>
  <c r="I54" i="15"/>
  <c r="A56" i="15" l="1"/>
  <c r="I55" i="15"/>
  <c r="A57" i="15" l="1"/>
  <c r="I56" i="15"/>
  <c r="A58" i="15" l="1"/>
  <c r="I57" i="15"/>
  <c r="A59" i="15" l="1"/>
  <c r="I58" i="15"/>
  <c r="A60" i="15" l="1"/>
  <c r="I59" i="15"/>
  <c r="A61" i="15" l="1"/>
  <c r="I60" i="15"/>
  <c r="A62" i="15" l="1"/>
  <c r="I61" i="15"/>
  <c r="I62" i="15" l="1"/>
  <c r="A63" i="15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64" i="15" l="1"/>
  <c r="I63" i="15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B426" i="7" s="1"/>
  <c r="AA17" i="1"/>
  <c r="B426" i="8" s="1"/>
  <c r="AE17" i="1"/>
  <c r="AI17" i="1"/>
  <c r="B426" i="10" s="1"/>
  <c r="AM17" i="1"/>
  <c r="B426" i="11" s="1"/>
  <c r="AQ17" i="1"/>
  <c r="B426" i="12" s="1"/>
  <c r="B440" i="12" s="1"/>
  <c r="O17" i="1"/>
  <c r="K17" i="1"/>
  <c r="G17" i="1"/>
  <c r="C17" i="1"/>
  <c r="A65" i="15" l="1"/>
  <c r="I64" i="15"/>
  <c r="B426" i="9"/>
  <c r="B440" i="9" s="1"/>
  <c r="AF41" i="1" s="1"/>
  <c r="B440" i="10"/>
  <c r="B440" i="8"/>
  <c r="B440" i="7"/>
  <c r="AO21" i="1"/>
  <c r="AO22" i="1"/>
  <c r="AO50" i="1" s="1"/>
  <c r="AO42" i="1"/>
  <c r="AO23" i="1"/>
  <c r="AO46" i="1" l="1"/>
  <c r="A66" i="15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67" i="15" l="1"/>
  <c r="I66" i="15"/>
  <c r="AK31" i="1"/>
  <c r="AK34" i="1"/>
  <c r="AK42" i="1"/>
  <c r="AK43" i="1"/>
  <c r="AK27" i="1"/>
  <c r="AK21" i="1"/>
  <c r="I67" i="15" l="1"/>
  <c r="A68" i="15"/>
  <c r="AK46" i="1"/>
  <c r="AK47" i="1" s="1"/>
  <c r="I68" i="15" l="1"/>
  <c r="A69" i="15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70" i="15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71" i="15"/>
  <c r="AG28" i="1"/>
  <c r="AG22" i="1"/>
  <c r="AG50" i="1" s="1"/>
  <c r="AG43" i="1"/>
  <c r="AG31" i="1"/>
  <c r="AG34" i="1"/>
  <c r="AG32" i="1"/>
  <c r="AG21" i="1"/>
  <c r="I71" i="15" l="1"/>
  <c r="A72" i="15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73" i="15"/>
  <c r="AC31" i="1"/>
  <c r="AC23" i="1"/>
  <c r="AC24" i="1"/>
  <c r="AC20" i="1"/>
  <c r="AC32" i="1"/>
  <c r="AC34" i="1"/>
  <c r="A74" i="15" l="1"/>
  <c r="I73" i="15"/>
  <c r="AC46" i="1"/>
  <c r="AC47" i="1" s="1"/>
  <c r="AS47" i="1"/>
  <c r="AO47" i="1"/>
  <c r="AF46" i="1"/>
  <c r="AF47" i="1" s="1"/>
  <c r="AB46" i="1"/>
  <c r="AB47" i="1" s="1"/>
  <c r="A75" i="15" l="1"/>
  <c r="I74" i="15"/>
  <c r="AJ46" i="1"/>
  <c r="AJ47" i="1" s="1"/>
  <c r="A76" i="15" l="1"/>
  <c r="I75" i="15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A77" i="15" l="1"/>
  <c r="I76" i="15"/>
  <c r="AY36" i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A78" i="15" l="1"/>
  <c r="I77" i="15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A79" i="15"/>
  <c r="Y46" i="1"/>
  <c r="Y47" i="1" s="1"/>
  <c r="M46" i="1"/>
  <c r="M47" i="1" s="1"/>
  <c r="Q46" i="1"/>
  <c r="Q47" i="1" s="1"/>
  <c r="I46" i="1"/>
  <c r="I47" i="1" s="1"/>
  <c r="A80" i="15" l="1"/>
  <c r="I79" i="15"/>
  <c r="D45" i="1"/>
  <c r="BI45" i="1" s="1"/>
  <c r="BL45" i="1" s="1"/>
  <c r="E45" i="1"/>
  <c r="A81" i="15" l="1"/>
  <c r="I80" i="15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I81" i="15" l="1"/>
  <c r="A82" i="15"/>
  <c r="I82" i="15" s="1"/>
  <c r="B5" i="14" s="1"/>
  <c r="E10" i="14" s="1"/>
  <c r="E11" i="14" s="1"/>
  <c r="B13" i="14" s="1"/>
  <c r="D44" i="1"/>
  <c r="BI44" i="1" s="1"/>
  <c r="BL44" i="1" s="1"/>
  <c r="D43" i="1"/>
  <c r="BI43" i="1" s="1"/>
  <c r="BL43" i="1" s="1"/>
  <c r="D42" i="1"/>
  <c r="BI42" i="1" s="1"/>
  <c r="BL42" i="1" s="1"/>
  <c r="D41" i="1"/>
  <c r="D38" i="1"/>
  <c r="BI38" i="1" s="1"/>
  <c r="BL38" i="1" s="1"/>
  <c r="D37" i="1"/>
  <c r="BI37" i="1" s="1"/>
  <c r="BL37" i="1" s="1"/>
  <c r="D36" i="1"/>
  <c r="BI36" i="1" s="1"/>
  <c r="BL36" i="1" s="1"/>
  <c r="D33" i="1"/>
  <c r="BI33" i="1" s="1"/>
  <c r="BL33" i="1" s="1"/>
  <c r="D31" i="1"/>
  <c r="BI31" i="1" s="1"/>
  <c r="BL31" i="1" s="1"/>
  <c r="D29" i="1"/>
  <c r="BI29" i="1" s="1"/>
  <c r="BL29" i="1" s="1"/>
  <c r="D28" i="1"/>
  <c r="BI28" i="1" s="1"/>
  <c r="BL28" i="1" s="1"/>
  <c r="D25" i="1"/>
  <c r="BI25" i="1" s="1"/>
  <c r="BL25" i="1" s="1"/>
  <c r="D24" i="1"/>
  <c r="BI24" i="1" s="1"/>
  <c r="BL24" i="1" s="1"/>
  <c r="E21" i="1"/>
  <c r="D24" i="15" l="1"/>
  <c r="M6" i="14"/>
  <c r="B15" i="14"/>
  <c r="K6" i="14" s="1"/>
  <c r="L7" i="14" s="1"/>
  <c r="M7" i="14" s="1"/>
  <c r="E17" i="14"/>
  <c r="D39" i="1"/>
  <c r="BI39" i="1" s="1"/>
  <c r="BL39" i="1" s="1"/>
  <c r="D34" i="1"/>
  <c r="BI34" i="1" s="1"/>
  <c r="BL34" i="1" s="1"/>
  <c r="D32" i="1"/>
  <c r="BI32" i="1" s="1"/>
  <c r="BL32" i="1" s="1"/>
  <c r="D30" i="1"/>
  <c r="BI30" i="1" s="1"/>
  <c r="BL30" i="1" s="1"/>
  <c r="D27" i="1"/>
  <c r="BI27" i="1" s="1"/>
  <c r="BL27" i="1" s="1"/>
  <c r="D23" i="1"/>
  <c r="BI23" i="1" s="1"/>
  <c r="BL23" i="1" s="1"/>
  <c r="D22" i="1"/>
  <c r="BI22" i="1" s="1"/>
  <c r="BL22" i="1" s="1"/>
  <c r="D21" i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K7" i="14" l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F21" i="1"/>
  <c r="J21" i="1" s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BI21" i="1"/>
  <c r="BL21" i="1" s="1"/>
  <c r="E24" i="15"/>
  <c r="E83" i="15" s="1"/>
  <c r="D83" i="15"/>
  <c r="AX43" i="1"/>
  <c r="A480" i="12"/>
  <c r="AY34" i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L8" i="14" l="1"/>
  <c r="K8" i="14"/>
  <c r="AL24" i="1"/>
  <c r="B46" i="1"/>
  <c r="C47" i="1" s="1"/>
  <c r="L9" i="14" l="1"/>
  <c r="M9" i="14" s="1"/>
  <c r="K9" i="14"/>
  <c r="M8" i="14"/>
  <c r="AP24" i="1"/>
  <c r="D40" i="1"/>
  <c r="BI40" i="1" s="1"/>
  <c r="BL40" i="1" s="1"/>
  <c r="E20" i="1"/>
  <c r="D26" i="1"/>
  <c r="BI26" i="1" s="1"/>
  <c r="BL26" i="1" s="1"/>
  <c r="D20" i="1"/>
  <c r="BI20" i="1" s="1"/>
  <c r="BL20" i="1" s="1"/>
  <c r="L10" i="14" l="1"/>
  <c r="K10" i="14"/>
  <c r="L11" i="14" s="1"/>
  <c r="E46" i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D46" i="1" l="1"/>
  <c r="D47" i="1" s="1"/>
  <c r="BI35" i="1"/>
  <c r="BL35" i="1" s="1"/>
  <c r="K11" i="14"/>
  <c r="M11" i="14"/>
  <c r="M10" i="14"/>
  <c r="L13" i="14"/>
  <c r="B22" i="14"/>
  <c r="C22" i="14" s="1"/>
  <c r="N40" i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M13" i="14" l="1"/>
  <c r="B23" i="14"/>
  <c r="C34" i="14"/>
  <c r="C35" i="14" s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BB48" i="1" l="1"/>
  <c r="AL35" i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7" i="12" l="1"/>
  <c r="A7" i="13" s="1"/>
  <c r="A10" i="12"/>
  <c r="A10" i="13" s="1"/>
  <c r="A11" i="12"/>
  <c r="A11" i="13" s="1"/>
  <c r="A13" i="3" l="1"/>
  <c r="A13" i="4" s="1"/>
  <c r="A6" i="3"/>
  <c r="A13" i="5" l="1"/>
  <c r="A13" i="6" s="1"/>
  <c r="A13" i="7" s="1"/>
  <c r="A13" i="8" s="1"/>
  <c r="A13" i="9" s="1"/>
  <c r="A6" i="4"/>
  <c r="A6" i="5" l="1"/>
  <c r="A6" i="6" l="1"/>
  <c r="A6" i="7" l="1"/>
  <c r="A6" i="8" l="1"/>
  <c r="A6" i="9" s="1"/>
  <c r="A8" i="3"/>
  <c r="A8" i="4" s="1"/>
  <c r="A8" i="5" s="1"/>
  <c r="A8" i="6" s="1"/>
  <c r="A8" i="7" s="1"/>
  <c r="A8" i="8" s="1"/>
  <c r="A8" i="9" s="1"/>
  <c r="A11" i="3"/>
  <c r="A11" i="4"/>
  <c r="A11" i="5" s="1"/>
  <c r="A11" i="6" s="1"/>
  <c r="A11" i="7" s="1"/>
  <c r="A11" i="8" s="1"/>
  <c r="A11" i="9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2" i="3"/>
  <c r="A12" i="4"/>
  <c r="A12" i="5"/>
  <c r="A12" i="6" s="1"/>
  <c r="A12" i="7" s="1"/>
  <c r="A12" i="8" s="1"/>
  <c r="A12" i="9" s="1"/>
  <c r="A10" i="3"/>
  <c r="A10" i="4"/>
  <c r="A10" i="5"/>
  <c r="A10" i="6"/>
  <c r="A10" i="7" s="1"/>
  <c r="A10" i="8" s="1"/>
  <c r="A10" i="9" s="1"/>
  <c r="A7" i="3"/>
  <c r="A7" i="4" s="1"/>
  <c r="A6" i="10" l="1"/>
  <c r="A7" i="5"/>
  <c r="A6" i="11" l="1"/>
  <c r="A7" i="6"/>
  <c r="A6" i="12" l="1"/>
  <c r="A7" i="7"/>
  <c r="A6" i="13" l="1"/>
  <c r="A7" i="8"/>
  <c r="A7" i="9" s="1"/>
  <c r="A16" i="3"/>
  <c r="A16" i="4" s="1"/>
  <c r="A16" i="5" s="1"/>
  <c r="A16" i="6" s="1"/>
  <c r="A16" i="7" s="1"/>
  <c r="A16" i="8" s="1"/>
  <c r="A16" i="9" s="1"/>
  <c r="A15" i="3"/>
  <c r="A15" i="4" s="1"/>
  <c r="A15" i="5" s="1"/>
  <c r="A15" i="6" s="1"/>
  <c r="A15" i="7" s="1"/>
  <c r="A15" i="8" s="1"/>
  <c r="A15" i="9" s="1"/>
  <c r="A13" i="10" s="1"/>
  <c r="A13" i="11" s="1"/>
  <c r="A13" i="12" s="1"/>
  <c r="A13" i="13" s="1"/>
  <c r="A20" i="2"/>
  <c r="A14" i="3"/>
  <c r="A20" i="3" s="1"/>
  <c r="A14" i="4" l="1"/>
  <c r="A20" i="4" l="1"/>
  <c r="A14" i="5"/>
  <c r="A14" i="6" l="1"/>
  <c r="A20" i="5"/>
  <c r="A14" i="7" l="1"/>
  <c r="A20" i="6"/>
  <c r="A20" i="7" l="1"/>
  <c r="A14" i="8"/>
  <c r="B440" i="11"/>
  <c r="AN41" i="1" s="1"/>
  <c r="A20" i="8" l="1"/>
  <c r="A14" i="9"/>
  <c r="AP41" i="1"/>
  <c r="AR41" i="1"/>
  <c r="AR46" i="1" s="1"/>
  <c r="AR47" i="1" s="1"/>
  <c r="AP46" i="1"/>
  <c r="AQ47" i="1" s="1"/>
  <c r="AN46" i="1"/>
  <c r="AN47" i="1" s="1"/>
  <c r="A12" i="10" l="1"/>
  <c r="A20" i="9"/>
  <c r="BI41" i="1"/>
  <c r="BL41" i="1" s="1"/>
  <c r="BL46" i="1" s="1"/>
  <c r="AT41" i="1"/>
  <c r="B440" i="13" s="1"/>
  <c r="AV41" i="1" s="1"/>
  <c r="AV46" i="1" s="1"/>
  <c r="AV47" i="1" s="1"/>
  <c r="AT46" i="1" l="1"/>
  <c r="AU47" i="1" s="1"/>
  <c r="A12" i="11"/>
  <c r="A20" i="10"/>
  <c r="A22" i="10" s="1"/>
  <c r="BI46" i="1"/>
  <c r="BJ37" i="1" s="1"/>
  <c r="AX41" i="1"/>
  <c r="AX46" i="1" s="1"/>
  <c r="BJ21" i="1" l="1"/>
  <c r="BJ42" i="1"/>
  <c r="BJ33" i="1"/>
  <c r="BJ31" i="1"/>
  <c r="BJ26" i="1"/>
  <c r="BJ27" i="1"/>
  <c r="BJ25" i="1"/>
  <c r="BJ22" i="1"/>
  <c r="BJ35" i="1"/>
  <c r="BJ28" i="1"/>
  <c r="BJ41" i="1"/>
  <c r="BJ38" i="1"/>
  <c r="BJ29" i="1"/>
  <c r="BJ32" i="1"/>
  <c r="BJ36" i="1"/>
  <c r="BJ43" i="1"/>
  <c r="BJ30" i="1"/>
  <c r="BJ39" i="1"/>
  <c r="BJ20" i="1"/>
  <c r="A12" i="12"/>
  <c r="A20" i="11"/>
  <c r="BJ34" i="1"/>
  <c r="BJ24" i="1"/>
  <c r="BJ45" i="1"/>
  <c r="BJ40" i="1"/>
  <c r="BJ23" i="1"/>
  <c r="BJ44" i="1"/>
  <c r="BK33" i="1" l="1"/>
  <c r="BK43" i="1"/>
  <c r="BK27" i="1"/>
  <c r="BK41" i="1"/>
  <c r="A12" i="13"/>
  <c r="A20" i="13" s="1"/>
  <c r="A20" i="12"/>
  <c r="BK40" i="1"/>
  <c r="BK21" i="1"/>
  <c r="BK42" i="1"/>
  <c r="BK35" i="1"/>
  <c r="BK45" i="1"/>
  <c r="BK26" i="1"/>
  <c r="BK28" i="1"/>
  <c r="BK34" i="1"/>
  <c r="BK23" i="1"/>
  <c r="BK44" i="1"/>
  <c r="BK31" i="1"/>
  <c r="BK30" i="1"/>
  <c r="BK20" i="1"/>
  <c r="BK24" i="1"/>
  <c r="BK37" i="1"/>
  <c r="BK25" i="1"/>
  <c r="BK39" i="1"/>
  <c r="BK36" i="1"/>
  <c r="BK38" i="1"/>
  <c r="BK32" i="1"/>
  <c r="BK29" i="1"/>
  <c r="BK22" i="1"/>
</calcChain>
</file>

<file path=xl/sharedStrings.xml><?xml version="1.0" encoding="utf-8"?>
<sst xmlns="http://schemas.openxmlformats.org/spreadsheetml/2006/main" count="5383" uniqueCount="730">
  <si>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</si>
  <si>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</si>
  <si>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</si>
  <si>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</si>
  <si>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</si>
  <si>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</si>
  <si>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</si>
  <si>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</si>
  <si>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</si>
  <si>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</si>
  <si>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</si>
  <si>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</si>
  <si>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</si>
  <si>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</si>
  <si>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</si>
  <si>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</si>
  <si>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</si>
  <si>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</si>
  <si>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</si>
  <si>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</si>
  <si>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</si>
  <si>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</si>
  <si>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</si>
  <si>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</si>
  <si>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</si>
  <si>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</si>
  <si>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</si>
  <si>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</si>
  <si>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</si>
  <si>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</si>
  <si>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</si>
  <si>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</si>
  <si>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</si>
  <si>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</si>
  <si>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</si>
  <si>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</si>
  <si>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</si>
  <si>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</si>
  <si>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</si>
  <si>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</si>
  <si>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</si>
  <si>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</si>
  <si>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</si>
  <si>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</si>
  <si>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</si>
  <si>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</si>
  <si>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</si>
  <si>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</si>
  <si>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</si>
  <si>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</si>
  <si>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</si>
  <si>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</si>
  <si>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</si>
  <si>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</si>
  <si>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</si>
  <si>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</si>
  <si>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</si>
  <si>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</si>
  <si>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</si>
  <si>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</si>
  <si>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</si>
  <si>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</si>
  <si>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</si>
  <si>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</si>
  <si>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</si>
  <si>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</si>
  <si>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</si>
  <si>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</si>
  <si>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</si>
  <si>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</si>
  <si>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</si>
  <si>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</si>
  <si>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</si>
  <si>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</si>
  <si>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</si>
  <si>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</si>
  <si>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</si>
  <si>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</si>
  <si>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</si>
  <si>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</si>
  <si>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</si>
  <si>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</si>
  <si>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</si>
  <si>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</si>
  <si>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</si>
  <si>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</si>
  <si>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</si>
  <si>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</si>
  <si>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</si>
  <si>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</si>
  <si>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</si>
  <si>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</si>
  <si>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</si>
  <si>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</si>
  <si>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</si>
  <si>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</si>
  <si>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</si>
  <si>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</si>
  <si>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</si>
  <si>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</si>
  <si>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</si>
  <si>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</si>
  <si>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</si>
  <si>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</si>
  <si>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</si>
  <si>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</si>
  <si>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</si>
  <si>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</si>
  <si>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</si>
  <si>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</si>
  <si>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</si>
  <si>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</si>
  <si>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</si>
  <si>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</si>
  <si>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</si>
  <si>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</si>
  <si>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</si>
  <si>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Meses:</t>
  </si>
  <si>
    <t>DICIEMBRE</t>
  </si>
  <si>
    <t>Fija al més (30€)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</si>
  <si>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</si>
  <si>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</si>
  <si>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</si>
  <si>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</si>
  <si>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</si>
  <si>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</si>
  <si>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</si>
  <si>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</si>
  <si>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</si>
  <si>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</si>
  <si>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</si>
  <si>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</si>
  <si>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</si>
  <si>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</si>
  <si>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</si>
  <si>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</si>
  <si>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</si>
  <si>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</si>
  <si>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</si>
  <si>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</si>
  <si>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</si>
  <si>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</si>
  <si>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</si>
  <si>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</si>
  <si>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</si>
  <si>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</si>
  <si>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</si>
  <si>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</si>
  <si>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</si>
  <si>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</si>
  <si>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</si>
  <si>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</si>
  <si>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</si>
  <si>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</si>
  <si>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</si>
  <si>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</si>
  <si>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</si>
  <si>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</si>
  <si>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</si>
  <si>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</si>
  <si>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</si>
  <si>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</si>
  <si>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</si>
  <si>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</si>
  <si>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</si>
  <si>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</si>
  <si>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</si>
  <si>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</si>
  <si>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</si>
  <si>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</si>
  <si>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</si>
  <si>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</si>
  <si>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</si>
  <si>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</si>
  <si>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</si>
  <si>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</si>
  <si>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</si>
  <si>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</si>
  <si>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</si>
  <si>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</si>
  <si>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</si>
  <si>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</si>
  <si>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</si>
  <si>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</si>
  <si>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</si>
  <si>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</si>
  <si>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</si>
  <si>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</si>
  <si>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</si>
  <si>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</si>
  <si>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</si>
  <si>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</si>
  <si>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</si>
  <si>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</si>
  <si>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</si>
  <si>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</si>
  <si>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</si>
  <si>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</si>
  <si>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</si>
  <si>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</si>
  <si>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Vacaciones 17-tarde,18,19,22</t>
  </si>
  <si>
    <t>Horas Vacaciones= 26</t>
  </si>
  <si>
    <t>Restantes = 126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</si>
  <si>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</si>
  <si>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</si>
  <si>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</si>
  <si>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</si>
  <si>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</si>
  <si>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</si>
  <si>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</si>
  <si>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</si>
  <si>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</si>
  <si>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</si>
  <si>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</si>
  <si>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</si>
  <si>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</si>
  <si>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</si>
  <si>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</si>
  <si>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</si>
  <si>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</si>
  <si>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</si>
  <si>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</si>
  <si>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</si>
  <si>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</si>
  <si>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</si>
  <si>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</si>
  <si>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</si>
  <si>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</si>
  <si>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</si>
  <si>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</si>
  <si>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</si>
  <si>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</si>
  <si>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</si>
  <si>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</si>
  <si>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</si>
  <si>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</si>
  <si>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</si>
  <si>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</si>
  <si>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</si>
  <si>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</si>
  <si>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</si>
  <si>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</si>
  <si>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</si>
  <si>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</si>
  <si>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</si>
  <si>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</si>
  <si>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</si>
  <si>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</si>
  <si>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</si>
  <si>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</si>
  <si>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</si>
  <si>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</si>
  <si>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</si>
  <si>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</si>
  <si>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</si>
  <si>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</si>
  <si>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</si>
  <si>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</si>
  <si>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</si>
  <si>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</si>
  <si>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</si>
  <si>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</si>
  <si>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</si>
  <si>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</si>
  <si>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</si>
  <si>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</si>
  <si>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</si>
  <si>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</si>
  <si>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</si>
  <si>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</si>
  <si>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</si>
  <si>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</si>
  <si>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</si>
  <si>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</si>
  <si>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</si>
  <si>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</si>
  <si>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</si>
  <si>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</si>
  <si>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</si>
  <si>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</si>
  <si>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</si>
  <si>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</si>
  <si>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</si>
  <si>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</si>
  <si>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</si>
  <si>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</si>
  <si>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</si>
  <si>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</si>
  <si>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</si>
  <si>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</si>
  <si>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</si>
  <si>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</si>
  <si>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</si>
  <si>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</si>
  <si>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</si>
  <si>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</si>
  <si>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</si>
  <si>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</si>
  <si>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</si>
  <si>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</si>
  <si>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</si>
  <si>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</si>
  <si>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</si>
  <si>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</si>
  <si>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</si>
  <si>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</si>
  <si>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</si>
  <si>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</si>
  <si>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</si>
  <si>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</si>
  <si>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</si>
  <si>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</si>
  <si>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</si>
  <si>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</si>
  <si>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</si>
  <si>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</si>
  <si>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</si>
  <si>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</si>
  <si>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</si>
  <si>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</si>
  <si>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</si>
  <si>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</si>
  <si>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</si>
  <si>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</si>
  <si>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</si>
  <si>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</si>
  <si>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</si>
  <si>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</si>
  <si>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</si>
  <si>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</si>
  <si>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</si>
  <si>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</si>
  <si>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</si>
  <si>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</si>
  <si>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</si>
  <si>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</si>
  <si>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</si>
  <si>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</si>
  <si>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</si>
  <si>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</si>
  <si>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</si>
  <si>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</si>
  <si>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</si>
  <si>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</si>
  <si>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</si>
  <si>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</si>
  <si>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</si>
  <si>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</si>
  <si>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</si>
  <si>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</si>
  <si>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</si>
  <si>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</si>
  <si>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</si>
  <si>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</si>
  <si>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</si>
  <si>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</si>
  <si>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</si>
  <si>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</si>
  <si>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</si>
  <si>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</si>
  <si>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</si>
  <si>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</si>
  <si>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</si>
  <si>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</si>
  <si>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</si>
  <si>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</si>
  <si>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</si>
  <si>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</si>
  <si>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</si>
  <si>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</si>
  <si>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</si>
  <si>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</si>
  <si>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</si>
  <si>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</si>
  <si>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</si>
  <si>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</si>
  <si>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</si>
  <si>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</si>
  <si>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</si>
  <si>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</si>
  <si>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</si>
  <si>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</si>
  <si>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</si>
  <si>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</si>
  <si>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</si>
  <si>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</si>
  <si>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</si>
  <si>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</si>
  <si>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</si>
  <si>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</si>
  <si>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</si>
  <si>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</si>
  <si>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</si>
  <si>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</si>
  <si>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</si>
  <si>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</si>
  <si>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</si>
  <si>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</si>
  <si>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</si>
  <si>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</si>
  <si>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</si>
  <si>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</si>
  <si>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</si>
  <si>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</si>
  <si>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</si>
  <si>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</si>
  <si>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</si>
  <si>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</si>
  <si>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</si>
  <si>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</si>
  <si>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</si>
  <si>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</si>
  <si>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</si>
  <si>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</si>
  <si>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</si>
  <si>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</si>
  <si>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</si>
  <si>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</si>
  <si>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</si>
  <si>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</si>
  <si>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</si>
  <si>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</si>
  <si>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</si>
  <si>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</si>
  <si>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</si>
  <si>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</si>
  <si>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</si>
  <si>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</si>
  <si>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</si>
  <si>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</si>
  <si>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</si>
  <si>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</si>
  <si>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</si>
  <si>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</si>
  <si>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</si>
  <si>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</si>
  <si>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</si>
  <si>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</si>
  <si>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</si>
  <si>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</si>
  <si>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Vacaciones 19,20,21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</si>
  <si>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</si>
  <si>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</si>
  <si>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</si>
  <si>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</si>
  <si>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</si>
  <si>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</si>
  <si>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</si>
  <si>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</si>
  <si>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</si>
  <si>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</si>
  <si>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</si>
  <si>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</si>
  <si>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</si>
  <si>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</si>
  <si>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</si>
  <si>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</si>
  <si>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</si>
  <si>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</si>
  <si>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</si>
  <si>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</si>
  <si>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</si>
  <si>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</si>
  <si>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</si>
  <si>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</si>
  <si>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</si>
  <si>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</si>
  <si>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</si>
  <si>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</si>
  <si>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</si>
  <si>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</si>
  <si>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</si>
  <si>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</si>
  <si>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</si>
  <si>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</si>
  <si>
    <t>Multa (66€ restantes)</t>
  </si>
  <si>
    <t>Multa Uccle</t>
  </si>
  <si>
    <t>Prevision de ingresos Total Anual =</t>
  </si>
  <si>
    <t>Lidl 19</t>
  </si>
  <si>
    <t>Action 19</t>
  </si>
  <si>
    <t>Oscar's 20</t>
  </si>
  <si>
    <t>Delhaize Proxy 21</t>
  </si>
  <si>
    <t>Chirec 22</t>
  </si>
  <si>
    <t xml:space="preserve"> </t>
  </si>
  <si>
    <t>Waterloo fest</t>
  </si>
  <si>
    <t>Añadir a Fianza (hasta 550€)</t>
  </si>
  <si>
    <t>Total -Papa</t>
  </si>
  <si>
    <t>Papa Julio</t>
  </si>
  <si>
    <t>Mensual (50€)</t>
  </si>
  <si>
    <t>Amazon carro</t>
  </si>
  <si>
    <t>Comer Waterloo 24</t>
  </si>
  <si>
    <t>Amazon tinta 24</t>
  </si>
  <si>
    <t>bPost Edu/Monica</t>
  </si>
  <si>
    <t>Amazon Claudia 24</t>
  </si>
  <si>
    <t>Amazon Cuerdas 24</t>
  </si>
  <si>
    <t>Di Viviana 24</t>
  </si>
  <si>
    <t>Di 24</t>
  </si>
  <si>
    <t>Cártama Gastos</t>
  </si>
  <si>
    <t>Lidl 25</t>
  </si>
  <si>
    <t>Mango 24</t>
  </si>
  <si>
    <t>Hema 24</t>
  </si>
  <si>
    <t>Delhaize 26</t>
  </si>
  <si>
    <t>Orchestra 28</t>
  </si>
  <si>
    <t>Action 28</t>
  </si>
  <si>
    <t>Action Eva 28</t>
  </si>
  <si>
    <t>Orchestra Eva 28</t>
  </si>
  <si>
    <t>Van den Borre TV 28</t>
  </si>
  <si>
    <t>Mensual (70€)</t>
  </si>
  <si>
    <t>Proximus</t>
  </si>
  <si>
    <t>Gasofa 8, 17, 27</t>
  </si>
  <si>
    <t>IKEA 29</t>
  </si>
  <si>
    <t>Aldi 30</t>
  </si>
  <si>
    <t>Amazon tinta Devolucion</t>
  </si>
  <si>
    <t>Action 31</t>
  </si>
  <si>
    <t>Ajustes Julio</t>
  </si>
  <si>
    <t>Fijo</t>
  </si>
  <si>
    <t>Cuenta ahorro Ibercaja</t>
  </si>
  <si>
    <t>AmazonFr Prime</t>
  </si>
  <si>
    <t>CAPAC 13 dias</t>
  </si>
  <si>
    <t>02 - Genval</t>
  </si>
  <si>
    <t>04 - Aldi</t>
  </si>
  <si>
    <t>04 - Delhaize</t>
  </si>
  <si>
    <t>04 - Di</t>
  </si>
  <si>
    <t>04 - Casa</t>
  </si>
  <si>
    <t>04 - Boulangerie</t>
  </si>
  <si>
    <t>06 - Sequoia</t>
  </si>
  <si>
    <t>06 - Esso</t>
  </si>
  <si>
    <t>Amazon Prime Devolucion</t>
  </si>
  <si>
    <t>Deficit Agosto</t>
  </si>
  <si>
    <t>07 - Dominos</t>
  </si>
  <si>
    <t>05 - Bruxelles</t>
  </si>
  <si>
    <t>Capital =</t>
  </si>
  <si>
    <t>Proxima Fecha</t>
  </si>
  <si>
    <t>01 - Delhaize</t>
  </si>
  <si>
    <t>08 - Tom&amp;Co</t>
  </si>
  <si>
    <t>11 - Action</t>
  </si>
  <si>
    <t>11 - Delhaize</t>
  </si>
  <si>
    <t>11 - Action, Eva.</t>
  </si>
  <si>
    <t>11 - Lidl</t>
  </si>
  <si>
    <t>14 - PayPal</t>
  </si>
  <si>
    <t>13 - Media Markt</t>
  </si>
  <si>
    <t>15 - Pain quotidien</t>
  </si>
  <si>
    <t>16 - AliExpress</t>
  </si>
  <si>
    <t>17 - Colruyt</t>
  </si>
  <si>
    <t>17 - Car Hire Europcar</t>
  </si>
  <si>
    <t>17 - Action</t>
  </si>
  <si>
    <t>18 - Aldi</t>
  </si>
  <si>
    <t>18 - Delhaize</t>
  </si>
  <si>
    <t>17,19 - Genk</t>
  </si>
  <si>
    <t>18 - Decathlon</t>
  </si>
  <si>
    <t>18 - Shell</t>
  </si>
  <si>
    <t>18 - Nyx Bruselas</t>
  </si>
  <si>
    <t>18 - Primark</t>
  </si>
  <si>
    <t>18 - Ellis</t>
  </si>
  <si>
    <t>21 - Erasme</t>
  </si>
  <si>
    <t>21 - Parking Erasme</t>
  </si>
  <si>
    <t>18 - Parking Bruselas</t>
  </si>
  <si>
    <t>23 - Exky Waterloo</t>
  </si>
  <si>
    <t>23 - Veritas</t>
  </si>
  <si>
    <t>Multa (36€ restantes)</t>
  </si>
  <si>
    <t>Deficit Septiembre</t>
  </si>
  <si>
    <t>Multa (06€ restantes)</t>
  </si>
  <si>
    <t>23 - Shell</t>
  </si>
  <si>
    <t>27 - DKV</t>
  </si>
  <si>
    <t>Empieza el dia 28 de Agosto</t>
  </si>
  <si>
    <t>28 - Lidl</t>
  </si>
  <si>
    <t>21;25 - Delhaize</t>
  </si>
  <si>
    <t>21;25 - Aldi</t>
  </si>
  <si>
    <t>25 - Delhaize</t>
  </si>
  <si>
    <t>27 - Sequoia</t>
  </si>
  <si>
    <t>Efectivo en Rodas</t>
  </si>
  <si>
    <t>Parking</t>
  </si>
  <si>
    <t>28/08 - Farmacia</t>
  </si>
  <si>
    <t>28/08 - Sushi</t>
  </si>
  <si>
    <t>28/08 - Zara</t>
  </si>
  <si>
    <t>29/08</t>
  </si>
  <si>
    <t>Alter-nos</t>
  </si>
  <si>
    <t>30/08</t>
  </si>
  <si>
    <t>01/09</t>
  </si>
  <si>
    <t>03/09</t>
  </si>
  <si>
    <t>04/09</t>
  </si>
  <si>
    <t>Cartama: Alquiler+Luz+Agua-Fontanero</t>
  </si>
  <si>
    <t>Fontanero*</t>
  </si>
  <si>
    <t>* Realmente no ha salido dinero, sino que no ha llegado a entrar</t>
  </si>
  <si>
    <t>Hipoteca Reseva Mensual (399,59€)</t>
  </si>
  <si>
    <t>06/09 - Pediatra</t>
  </si>
  <si>
    <t>06/09 - Action</t>
  </si>
  <si>
    <t>CAPITAL RESTANTE</t>
  </si>
  <si>
    <t>Multa (0€ restantes)</t>
  </si>
  <si>
    <t>07/09; 08/09 - Delhaize</t>
  </si>
  <si>
    <t>08/09 - Aldi</t>
  </si>
  <si>
    <t>07/09 - Shell</t>
  </si>
  <si>
    <t>08/09/2018 - Hema</t>
  </si>
  <si>
    <t>10/09 - Basura Waterloo</t>
  </si>
  <si>
    <t>05/09 - Chrysa studios</t>
  </si>
  <si>
    <t>A vacaciones</t>
  </si>
  <si>
    <t>de Regalos</t>
  </si>
  <si>
    <t>11/09 - Papeterie</t>
  </si>
  <si>
    <t>Interés: (Euribor+0,5) mensual =</t>
  </si>
  <si>
    <t>13/09 - Sequoia</t>
  </si>
  <si>
    <t>14/09 - L'Oreal</t>
  </si>
  <si>
    <t>13/09 Parking Erasme</t>
  </si>
  <si>
    <t>16/09 Parking Erasme</t>
  </si>
  <si>
    <t>15/09 - Action</t>
  </si>
  <si>
    <t>15/09 - Delhaize</t>
  </si>
  <si>
    <t>15/09 - Aldi</t>
  </si>
  <si>
    <t>15/09 - Sushi</t>
  </si>
  <si>
    <t>Kids &amp; Us - Trimestre 1</t>
  </si>
  <si>
    <t>15/09 - Farmacia</t>
  </si>
  <si>
    <t>Acumulado</t>
  </si>
  <si>
    <t>Amortizar ultima cuota (hasta 398€)</t>
  </si>
  <si>
    <t>Reinversion casa (hasta 300€)</t>
  </si>
  <si>
    <t>17/09 Esso</t>
  </si>
  <si>
    <t>Inflar Ruedas</t>
  </si>
  <si>
    <t>18/09 - Farmacia</t>
  </si>
  <si>
    <t>17/09 Parking Erasme</t>
  </si>
  <si>
    <t>Ultima cuota (hasta 9.486,92)</t>
  </si>
  <si>
    <t>Mantenimiento</t>
  </si>
  <si>
    <t>19/09 Delhaize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</si>
  <si>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</si>
  <si>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</si>
  <si>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</si>
  <si>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</si>
  <si>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</si>
  <si>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</si>
  <si>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</si>
  <si>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</si>
  <si>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</si>
  <si>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22/09 Delhaize</t>
  </si>
  <si>
    <t>23/09 Hamburgueza</t>
  </si>
  <si>
    <t>23/09 Parking Erasme</t>
  </si>
  <si>
    <t>25/09 Lidl</t>
  </si>
  <si>
    <t>25/09 Neuhaus</t>
  </si>
  <si>
    <t>25/09 Amazon</t>
  </si>
  <si>
    <t>AU-AX</t>
  </si>
  <si>
    <t>26/09 Aldi</t>
  </si>
  <si>
    <t>Deficit Noviembre</t>
  </si>
  <si>
    <t>Deficit Octubre</t>
  </si>
  <si>
    <t>27/09 Libro google</t>
  </si>
  <si>
    <t>27/09 Delhaize</t>
  </si>
  <si>
    <t>27/09 Esso</t>
  </si>
  <si>
    <t>28/09 Multa Charleroi</t>
  </si>
  <si>
    <t>SURF10</t>
  </si>
  <si>
    <t>Fija al més (45€)</t>
  </si>
  <si>
    <t>30/09 Salida Bruxelles</t>
  </si>
  <si>
    <t>tablet Rocio y salida 30/09</t>
  </si>
  <si>
    <t>Salida 30/09</t>
  </si>
  <si>
    <t>Cumple Rocio</t>
  </si>
  <si>
    <t>28/09 Action</t>
  </si>
  <si>
    <t>01/10 Delhaize</t>
  </si>
  <si>
    <t>01/10 Colruyt</t>
  </si>
  <si>
    <t>01/10 Van den Borre</t>
  </si>
  <si>
    <t>Deficit Agosto (-AJ47)</t>
  </si>
  <si>
    <t>Seguro (Hasta 720€)</t>
  </si>
  <si>
    <t>Impuesto Basura (Hasta 83€)</t>
  </si>
  <si>
    <t>01/10 comocomo</t>
  </si>
  <si>
    <t>Kids &amp; Us</t>
  </si>
  <si>
    <t>02/10 Delhaize</t>
  </si>
  <si>
    <t>02/10 Shushi</t>
  </si>
  <si>
    <t>Mensual (160€)</t>
  </si>
  <si>
    <t>Vacaciones 02</t>
  </si>
  <si>
    <t>Restantes = 13</t>
  </si>
  <si>
    <t>deltoya_23</t>
  </si>
  <si>
    <t>pp</t>
  </si>
  <si>
    <t>02/10 Parking Erasme</t>
  </si>
  <si>
    <t>05/10 Rituals (Yasmina)</t>
  </si>
  <si>
    <t>05/10 Aldi</t>
  </si>
  <si>
    <t>Cambiar filtro Brita</t>
  </si>
  <si>
    <t>06/10 Zara-LaVane</t>
  </si>
  <si>
    <t>06/10 L'amesoir</t>
  </si>
  <si>
    <t>Mutuallite</t>
  </si>
  <si>
    <t>05/10 Colruyt</t>
  </si>
  <si>
    <t>05/10 PayPal-Martina</t>
  </si>
  <si>
    <t>Ultima (hasta 9.486,92€)(137€/mes)</t>
  </si>
  <si>
    <t>08/10 Shell</t>
  </si>
  <si>
    <t>06/10 IKEA</t>
  </si>
  <si>
    <t>09/10 Parking centro</t>
  </si>
  <si>
    <t>09/10 Amazon Brita</t>
  </si>
  <si>
    <t>09/10 Amazon Funda tablet</t>
  </si>
  <si>
    <t>09/10 Delhaize</t>
  </si>
  <si>
    <t>10/10 Medi Market</t>
  </si>
  <si>
    <t>10/10 Nespresso</t>
  </si>
  <si>
    <t>10/10 Erasme</t>
  </si>
  <si>
    <t>12/10 Aldi</t>
  </si>
  <si>
    <t>12/10 Lidl</t>
  </si>
  <si>
    <t>12/10 Tom&amp;Co</t>
  </si>
  <si>
    <t>13/10 Oscar</t>
  </si>
  <si>
    <t>Seguro de Alquiler</t>
  </si>
  <si>
    <t>Tarjetas IberCaja</t>
  </si>
  <si>
    <t>Cuenta ahorros Ibercaja</t>
  </si>
  <si>
    <t>Cuenta ahorros IberCaja</t>
  </si>
  <si>
    <t>Seguro Alquiler (Hasta 270 €)</t>
  </si>
  <si>
    <t>Toyota</t>
  </si>
  <si>
    <t>lolo2001</t>
  </si>
  <si>
    <t>CAPAC Septiembre</t>
  </si>
  <si>
    <t>17/10 Colruyt</t>
  </si>
  <si>
    <t>18/10 Shell</t>
  </si>
  <si>
    <t>18/10 Sushi</t>
  </si>
  <si>
    <t>19/10 Auto 5</t>
  </si>
  <si>
    <t>20/10 Carrefour</t>
  </si>
  <si>
    <t>Auto5</t>
  </si>
  <si>
    <t>24/10 Colruyt</t>
  </si>
  <si>
    <t>AM</t>
  </si>
  <si>
    <t>AQ</t>
  </si>
  <si>
    <t>AU</t>
  </si>
  <si>
    <t>Alter-Nos</t>
  </si>
  <si>
    <t>26/10 Aldi</t>
  </si>
  <si>
    <t>25/10 Internet</t>
  </si>
  <si>
    <t>29/10 Delhaize</t>
  </si>
  <si>
    <t>29/10 TEC</t>
  </si>
  <si>
    <t>26/10 Shell</t>
  </si>
  <si>
    <t>29/10 Farmacia</t>
  </si>
  <si>
    <t>29/10 Hema</t>
  </si>
  <si>
    <t>31/10 Sushi</t>
  </si>
  <si>
    <t>31/10 Multa parking</t>
  </si>
  <si>
    <t>Papeles Mutua</t>
  </si>
  <si>
    <t>02/11 Aldi</t>
  </si>
  <si>
    <t>02/11 Bus</t>
  </si>
  <si>
    <t>05/11 DATS 24</t>
  </si>
  <si>
    <t>02/11 Parking</t>
  </si>
  <si>
    <t>03/11 Brujas</t>
  </si>
  <si>
    <t>07/11 Toyota Garage</t>
  </si>
  <si>
    <t>07/11 Delhaize</t>
  </si>
  <si>
    <t>08/11 Medi Market</t>
  </si>
  <si>
    <t>08/11 Exki W</t>
  </si>
  <si>
    <t>08/11 Colruyt</t>
  </si>
  <si>
    <t>08/11 Panaderia</t>
  </si>
  <si>
    <t>12/11 Mafi</t>
  </si>
  <si>
    <t>12/11 Sequoia</t>
  </si>
  <si>
    <t>12/11 Tintoreria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</si>
</sst>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2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92D05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</fills>
  <borders count="11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9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49" fontId="12" fillId="0" borderId="14" xfId="0" applyNumberFormat="1" applyFont="1" applyBorder="1"/>
    <xf numFmtId="49" fontId="13" fillId="0" borderId="1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7" fontId="1" fillId="0" borderId="66" xfId="0" applyNumberFormat="1" applyFont="1" applyBorder="1" applyAlignment="1"/>
    <xf numFmtId="0" fontId="3" fillId="9" borderId="1" xfId="0" applyFont="1" applyFill="1" applyBorder="1" applyAlignment="1"/>
    <xf numFmtId="0" fontId="3" fillId="10" borderId="9" xfId="0" applyFont="1" applyFill="1" applyBorder="1"/>
    <xf numFmtId="8" fontId="2" fillId="10" borderId="17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2" xfId="0" applyBorder="1" applyAlignment="1"/>
    <xf numFmtId="0" fontId="0" fillId="0" borderId="93" xfId="0" applyBorder="1" applyAlignment="1"/>
    <xf numFmtId="14" fontId="0" fillId="0" borderId="99" xfId="0" applyNumberFormat="1" applyBorder="1"/>
    <xf numFmtId="14" fontId="0" fillId="0" borderId="100" xfId="0" applyNumberFormat="1" applyBorder="1"/>
    <xf numFmtId="14" fontId="0" fillId="0" borderId="101" xfId="0" applyNumberFormat="1" applyBorder="1"/>
    <xf numFmtId="164" fontId="0" fillId="0" borderId="91" xfId="0" applyNumberFormat="1" applyBorder="1"/>
    <xf numFmtId="164" fontId="0" fillId="0" borderId="93" xfId="0" applyNumberFormat="1" applyBorder="1"/>
    <xf numFmtId="166" fontId="0" fillId="0" borderId="91" xfId="0" applyNumberFormat="1" applyBorder="1"/>
    <xf numFmtId="166" fontId="0" fillId="0" borderId="93" xfId="0" applyNumberFormat="1" applyBorder="1"/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1" xfId="0" applyNumberFormat="1" applyFont="1" applyBorder="1"/>
    <xf numFmtId="165" fontId="0" fillId="0" borderId="91" xfId="0" applyNumberFormat="1" applyFont="1" applyBorder="1"/>
    <xf numFmtId="166" fontId="0" fillId="0" borderId="91" xfId="0" applyNumberFormat="1" applyFont="1" applyBorder="1"/>
    <xf numFmtId="0" fontId="2" fillId="0" borderId="108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9" xfId="0" applyFont="1" applyBorder="1" applyAlignment="1">
      <alignment horizontal="center"/>
    </xf>
    <xf numFmtId="8" fontId="0" fillId="0" borderId="110" xfId="0" applyNumberFormat="1" applyBorder="1" applyAlignment="1">
      <alignment horizontal="center"/>
    </xf>
    <xf numFmtId="8" fontId="15" fillId="0" borderId="110" xfId="0" applyNumberFormat="1" applyFont="1" applyBorder="1" applyAlignment="1">
      <alignment horizontal="center"/>
    </xf>
    <xf numFmtId="8" fontId="0" fillId="0" borderId="111" xfId="0" applyNumberFormat="1" applyBorder="1" applyAlignment="1">
      <alignment horizontal="center"/>
    </xf>
    <xf numFmtId="8" fontId="0" fillId="0" borderId="0" xfId="0" applyNumberFormat="1"/>
    <xf numFmtId="14" fontId="0" fillId="0" borderId="80" xfId="0" applyNumberFormat="1" applyBorder="1" applyAlignment="1">
      <alignment horizontal="center"/>
    </xf>
    <xf numFmtId="14" fontId="15" fillId="0" borderId="80" xfId="0" applyNumberFormat="1" applyFont="1" applyBorder="1" applyAlignment="1">
      <alignment horizontal="center"/>
    </xf>
    <xf numFmtId="14" fontId="0" fillId="0" borderId="87" xfId="0" applyNumberFormat="1" applyBorder="1" applyAlignment="1">
      <alignment horizontal="center"/>
    </xf>
    <xf numFmtId="16" fontId="2" fillId="0" borderId="43" xfId="0" applyNumberFormat="1" applyFont="1" applyBorder="1"/>
    <xf numFmtId="167" fontId="1" fillId="8" borderId="22" xfId="0" applyNumberFormat="1" applyFont="1" applyFill="1" applyBorder="1" applyAlignment="1"/>
    <xf numFmtId="6" fontId="1" fillId="0" borderId="0" xfId="0" applyNumberFormat="1" applyFont="1"/>
    <xf numFmtId="8" fontId="2" fillId="4" borderId="20" xfId="0" applyNumberFormat="1" applyFont="1" applyFill="1" applyBorder="1" applyAlignment="1"/>
    <xf numFmtId="8" fontId="2" fillId="4" borderId="21" xfId="0" applyNumberFormat="1" applyFont="1" applyFill="1" applyBorder="1" applyAlignment="1"/>
    <xf numFmtId="8" fontId="2" fillId="0" borderId="55" xfId="0" applyNumberFormat="1" applyFont="1" applyBorder="1" applyAlignment="1"/>
    <xf numFmtId="8" fontId="2" fillId="0" borderId="26" xfId="0" applyNumberFormat="1" applyFont="1" applyBorder="1" applyAlignment="1"/>
    <xf numFmtId="8" fontId="2" fillId="0" borderId="25" xfId="0" applyNumberFormat="1" applyFont="1" applyBorder="1" applyAlignment="1"/>
    <xf numFmtId="8" fontId="2" fillId="4" borderId="14" xfId="0" applyNumberFormat="1" applyFont="1" applyFill="1" applyBorder="1" applyAlignment="1"/>
    <xf numFmtId="8" fontId="2" fillId="4" borderId="27" xfId="0" applyNumberFormat="1" applyFont="1" applyFill="1" applyBorder="1" applyAlignment="1"/>
    <xf numFmtId="8" fontId="2" fillId="0" borderId="57" xfId="0" applyNumberFormat="1" applyFont="1" applyBorder="1" applyAlignment="1"/>
    <xf numFmtId="8" fontId="2" fillId="4" borderId="56" xfId="0" applyNumberFormat="1" applyFont="1" applyFill="1" applyBorder="1" applyAlignment="1"/>
    <xf numFmtId="8" fontId="2" fillId="0" borderId="29" xfId="0" applyNumberFormat="1" applyFont="1" applyBorder="1" applyAlignment="1"/>
    <xf numFmtId="8" fontId="2" fillId="4" borderId="29" xfId="0" applyNumberFormat="1" applyFont="1" applyFill="1" applyBorder="1" applyAlignment="1"/>
    <xf numFmtId="8" fontId="2" fillId="4" borderId="12" xfId="0" applyNumberFormat="1" applyFont="1" applyFill="1" applyBorder="1" applyAlignment="1"/>
    <xf numFmtId="8" fontId="2" fillId="0" borderId="30" xfId="0" applyNumberFormat="1" applyFont="1" applyBorder="1" applyAlignment="1"/>
    <xf numFmtId="8" fontId="2" fillId="4" borderId="30" xfId="0" applyNumberFormat="1" applyFont="1" applyFill="1" applyBorder="1" applyAlignment="1"/>
    <xf numFmtId="8" fontId="2" fillId="4" borderId="26" xfId="0" applyNumberFormat="1" applyFont="1" applyFill="1" applyBorder="1" applyAlignment="1"/>
    <xf numFmtId="8" fontId="2" fillId="4" borderId="57" xfId="0" applyNumberFormat="1" applyFont="1" applyFill="1" applyBorder="1" applyAlignment="1"/>
    <xf numFmtId="8" fontId="2" fillId="0" borderId="70" xfId="0" applyNumberFormat="1" applyFont="1" applyBorder="1" applyAlignment="1"/>
    <xf numFmtId="8" fontId="2" fillId="0" borderId="71" xfId="0" applyNumberFormat="1" applyFont="1" applyBorder="1" applyAlignment="1"/>
    <xf numFmtId="8" fontId="2" fillId="0" borderId="72" xfId="0" applyNumberFormat="1" applyFont="1" applyBorder="1" applyAlignment="1"/>
    <xf numFmtId="8" fontId="2" fillId="10" borderId="10" xfId="0" applyNumberFormat="1" applyFont="1" applyFill="1" applyBorder="1"/>
    <xf numFmtId="8" fontId="2" fillId="10" borderId="18" xfId="0" applyNumberFormat="1" applyFont="1" applyFill="1" applyBorder="1"/>
    <xf numFmtId="8" fontId="10" fillId="0" borderId="0" xfId="0" applyNumberFormat="1" applyFont="1"/>
    <xf numFmtId="8" fontId="1" fillId="3" borderId="12" xfId="0" applyNumberFormat="1" applyFont="1" applyFill="1" applyBorder="1"/>
    <xf numFmtId="8" fontId="1" fillId="0" borderId="2" xfId="0" applyNumberFormat="1" applyFont="1" applyBorder="1"/>
    <xf numFmtId="8" fontId="1" fillId="3" borderId="2" xfId="0" applyNumberFormat="1" applyFont="1" applyFill="1" applyBorder="1"/>
    <xf numFmtId="8" fontId="1" fillId="0" borderId="2" xfId="0" applyNumberFormat="1" applyFont="1" applyBorder="1" applyAlignment="1">
      <alignment horizontal="right"/>
    </xf>
    <xf numFmtId="8" fontId="1" fillId="3" borderId="16" xfId="0" applyNumberFormat="1" applyFont="1" applyFill="1" applyBorder="1"/>
    <xf numFmtId="8" fontId="1" fillId="0" borderId="5" xfId="0" applyNumberFormat="1" applyFont="1" applyBorder="1" applyAlignment="1">
      <alignment horizontal="right"/>
    </xf>
    <xf numFmtId="8" fontId="2" fillId="4" borderId="3" xfId="0" applyNumberFormat="1" applyFont="1" applyFill="1" applyBorder="1" applyAlignment="1">
      <alignment horizontal="right"/>
    </xf>
    <xf numFmtId="8" fontId="2" fillId="0" borderId="47" xfId="0" applyNumberFormat="1" applyFont="1" applyBorder="1" applyAlignment="1">
      <alignment horizontal="right"/>
    </xf>
    <xf numFmtId="8" fontId="2" fillId="4" borderId="47" xfId="0" applyNumberFormat="1" applyFont="1" applyFill="1" applyBorder="1" applyAlignment="1">
      <alignment horizontal="right"/>
    </xf>
    <xf numFmtId="8" fontId="2" fillId="0" borderId="23" xfId="0" applyNumberFormat="1" applyFont="1" applyBorder="1" applyAlignment="1">
      <alignment horizontal="right"/>
    </xf>
    <xf numFmtId="8" fontId="2" fillId="4" borderId="67" xfId="0" applyNumberFormat="1" applyFont="1" applyFill="1" applyBorder="1" applyAlignment="1">
      <alignment horizontal="right"/>
    </xf>
    <xf numFmtId="8" fontId="2" fillId="0" borderId="68" xfId="0" applyNumberFormat="1" applyFont="1" applyBorder="1" applyAlignment="1">
      <alignment horizontal="right"/>
    </xf>
    <xf numFmtId="8" fontId="2" fillId="10" borderId="11" xfId="0" applyNumberFormat="1" applyFont="1" applyFill="1" applyBorder="1"/>
    <xf numFmtId="8" fontId="17" fillId="0" borderId="86" xfId="0" applyNumberFormat="1" applyFont="1" applyBorder="1"/>
    <xf numFmtId="8" fontId="0" fillId="0" borderId="85" xfId="0" applyNumberFormat="1" applyBorder="1"/>
    <xf numFmtId="8" fontId="0" fillId="0" borderId="86" xfId="0" applyNumberFormat="1" applyBorder="1"/>
    <xf numFmtId="8" fontId="0" fillId="0" borderId="90" xfId="0" applyNumberFormat="1" applyBorder="1"/>
    <xf numFmtId="8" fontId="0" fillId="0" borderId="89" xfId="0" applyNumberFormat="1" applyBorder="1"/>
    <xf numFmtId="8" fontId="1" fillId="0" borderId="0" xfId="0" applyNumberFormat="1" applyFont="1" applyAlignment="1">
      <alignment vertical="top"/>
    </xf>
    <xf numFmtId="8" fontId="2" fillId="0" borderId="59" xfId="0" applyNumberFormat="1" applyFont="1" applyBorder="1" applyAlignment="1">
      <alignment horizontal="center" vertical="center"/>
    </xf>
    <xf numFmtId="8" fontId="2" fillId="0" borderId="60" xfId="0" applyNumberFormat="1" applyFont="1" applyBorder="1"/>
    <xf numFmtId="8" fontId="2" fillId="0" borderId="61" xfId="0" applyNumberFormat="1" applyFont="1" applyBorder="1" applyAlignment="1">
      <alignment vertical="center"/>
    </xf>
    <xf numFmtId="8" fontId="2" fillId="0" borderId="62" xfId="0" applyNumberFormat="1" applyFont="1" applyBorder="1"/>
    <xf numFmtId="8" fontId="2" fillId="0" borderId="55" xfId="0" applyNumberFormat="1" applyFont="1" applyBorder="1" applyAlignment="1">
      <alignment horizontal="center" vertical="center"/>
    </xf>
    <xf numFmtId="8" fontId="2" fillId="0" borderId="61" xfId="0" applyNumberFormat="1" applyFont="1" applyBorder="1"/>
    <xf numFmtId="8" fontId="2" fillId="0" borderId="12" xfId="0" applyNumberFormat="1" applyFont="1" applyBorder="1"/>
    <xf numFmtId="8" fontId="2" fillId="0" borderId="63" xfId="0" applyNumberFormat="1" applyFont="1" applyBorder="1"/>
    <xf numFmtId="0" fontId="0" fillId="0" borderId="0" xfId="0" quotePrefix="1" applyFont="1"/>
    <xf numFmtId="2" fontId="10" fillId="0" borderId="0" xfId="0" applyNumberFormat="1" applyFont="1"/>
    <xf numFmtId="49" fontId="19" fillId="13" borderId="0" xfId="0" applyNumberFormat="1" applyFont="1" applyFill="1"/>
    <xf numFmtId="0" fontId="20" fillId="0" borderId="0" xfId="0" applyFont="1"/>
    <xf numFmtId="0" fontId="0" fillId="0" borderId="104" xfId="0" applyNumberFormat="1" applyBorder="1" applyAlignment="1"/>
    <xf numFmtId="0" fontId="0" fillId="0" borderId="105" xfId="0" applyNumberFormat="1" applyBorder="1" applyAlignment="1"/>
    <xf numFmtId="0" fontId="0" fillId="0" borderId="106" xfId="0" applyNumberFormat="1" applyBorder="1" applyAlignment="1"/>
    <xf numFmtId="0" fontId="0" fillId="0" borderId="107" xfId="0" applyNumberFormat="1" applyBorder="1" applyAlignment="1"/>
    <xf numFmtId="0" fontId="0" fillId="0" borderId="94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/>
    <xf numFmtId="0" fontId="0" fillId="0" borderId="98" xfId="0" applyBorder="1" applyAlignment="1"/>
    <xf numFmtId="0" fontId="0" fillId="0" borderId="102" xfId="0" applyNumberFormat="1" applyBorder="1" applyAlignment="1"/>
    <xf numFmtId="0" fontId="0" fillId="0" borderId="103" xfId="0" applyNumberFormat="1" applyBorder="1" applyAlignment="1"/>
    <xf numFmtId="0" fontId="0" fillId="0" borderId="104" xfId="0" applyNumberFormat="1" applyBorder="1" applyAlignment="1">
      <alignment horizontal="center"/>
    </xf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18" fillId="0" borderId="104" xfId="0" applyNumberFormat="1" applyFont="1" applyBorder="1" applyAlignment="1"/>
    <xf numFmtId="0" fontId="18" fillId="0" borderId="105" xfId="0" applyNumberFormat="1" applyFont="1" applyBorder="1" applyAlignment="1"/>
    <xf numFmtId="0" fontId="18" fillId="0" borderId="102" xfId="0" applyNumberFormat="1" applyFont="1" applyBorder="1" applyAlignment="1">
      <alignment horizontal="left"/>
    </xf>
    <xf numFmtId="0" fontId="18" fillId="0" borderId="103" xfId="0" applyNumberFormat="1" applyFont="1" applyBorder="1" applyAlignment="1">
      <alignment horizontal="left"/>
    </xf>
    <xf numFmtId="0" fontId="0" fillId="0" borderId="104" xfId="0" applyNumberFormat="1" applyBorder="1" applyAlignment="1">
      <alignment horizontal="left"/>
    </xf>
    <xf numFmtId="0" fontId="0" fillId="0" borderId="105" xfId="0" applyNumberFormat="1" applyBorder="1" applyAlignment="1">
      <alignment horizontal="left"/>
    </xf>
    <xf numFmtId="0" fontId="0" fillId="0" borderId="102" xfId="0" applyNumberFormat="1" applyBorder="1" applyAlignment="1">
      <alignment horizontal="center"/>
    </xf>
    <xf numFmtId="0" fontId="0" fillId="0" borderId="103" xfId="0" applyNumberFormat="1" applyBorder="1" applyAlignment="1">
      <alignment horizontal="center"/>
    </xf>
    <xf numFmtId="0" fontId="0" fillId="0" borderId="106" xfId="0" applyNumberFormat="1" applyBorder="1" applyAlignment="1">
      <alignment horizontal="left"/>
    </xf>
    <xf numFmtId="0" fontId="0" fillId="0" borderId="107" xfId="0" applyNumberFormat="1" applyBorder="1" applyAlignment="1">
      <alignment horizontal="left"/>
    </xf>
    <xf numFmtId="0" fontId="0" fillId="0" borderId="104" xfId="0" applyNumberFormat="1" applyFont="1" applyBorder="1" applyAlignment="1"/>
    <xf numFmtId="0" fontId="0" fillId="0" borderId="105" xfId="0" applyNumberFormat="1" applyFont="1" applyBorder="1" applyAlignment="1"/>
    <xf numFmtId="0" fontId="18" fillId="0" borderId="102" xfId="0" applyNumberFormat="1" applyFont="1" applyBorder="1" applyAlignment="1"/>
    <xf numFmtId="0" fontId="18" fillId="0" borderId="103" xfId="0" applyNumberFormat="1" applyFont="1" applyBorder="1" applyAlignment="1"/>
    <xf numFmtId="2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8" fontId="2" fillId="0" borderId="7" xfId="0" applyNumberFormat="1" applyFont="1" applyBorder="1" applyAlignment="1">
      <alignment horizontal="right"/>
    </xf>
    <xf numFmtId="8" fontId="2" fillId="0" borderId="6" xfId="0" applyNumberFormat="1" applyFont="1" applyBorder="1" applyAlignment="1">
      <alignment horizontal="right"/>
    </xf>
    <xf numFmtId="8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8" fontId="2" fillId="3" borderId="48" xfId="0" applyNumberFormat="1" applyFont="1" applyFill="1" applyBorder="1" applyAlignment="1">
      <alignment horizontal="right"/>
    </xf>
    <xf numFmtId="8" fontId="2" fillId="3" borderId="35" xfId="0" applyNumberFormat="1" applyFont="1" applyFill="1" applyBorder="1" applyAlignment="1">
      <alignment horizontal="right"/>
    </xf>
    <xf numFmtId="8" fontId="2" fillId="3" borderId="49" xfId="0" applyNumberFormat="1" applyFont="1" applyFill="1" applyBorder="1" applyAlignment="1">
      <alignment horizontal="right"/>
    </xf>
    <xf numFmtId="8" fontId="2" fillId="0" borderId="3" xfId="0" applyNumberFormat="1" applyFont="1" applyBorder="1" applyAlignment="1">
      <alignment horizontal="right"/>
    </xf>
    <xf numFmtId="8" fontId="2" fillId="0" borderId="0" xfId="0" applyNumberFormat="1" applyFont="1" applyBorder="1" applyAlignment="1">
      <alignment horizontal="right"/>
    </xf>
    <xf numFmtId="8" fontId="2" fillId="0" borderId="4" xfId="0" applyNumberFormat="1" applyFont="1" applyBorder="1" applyAlignment="1">
      <alignment horizontal="right"/>
    </xf>
    <xf numFmtId="8" fontId="2" fillId="3" borderId="3" xfId="0" applyNumberFormat="1" applyFont="1" applyFill="1" applyBorder="1" applyAlignment="1">
      <alignment horizontal="right"/>
    </xf>
    <xf numFmtId="8" fontId="2" fillId="3" borderId="0" xfId="0" applyNumberFormat="1" applyFont="1" applyFill="1" applyBorder="1" applyAlignment="1">
      <alignment horizontal="right"/>
    </xf>
    <xf numFmtId="8" fontId="2" fillId="3" borderId="4" xfId="0" applyNumberFormat="1" applyFont="1" applyFill="1" applyBorder="1" applyAlignment="1">
      <alignment horizontal="right"/>
    </xf>
    <xf numFmtId="8" fontId="2" fillId="0" borderId="3" xfId="0" quotePrefix="1" applyNumberFormat="1" applyFont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8" fontId="2" fillId="3" borderId="53" xfId="0" applyNumberFormat="1" applyFont="1" applyFill="1" applyBorder="1" applyAlignment="1">
      <alignment horizontal="right"/>
    </xf>
    <xf numFmtId="8" fontId="2" fillId="3" borderId="32" xfId="0" applyNumberFormat="1" applyFont="1" applyFill="1" applyBorder="1" applyAlignment="1">
      <alignment horizontal="right"/>
    </xf>
    <xf numFmtId="8" fontId="2" fillId="3" borderId="54" xfId="0" applyNumberFormat="1" applyFont="1" applyFill="1" applyBorder="1" applyAlignment="1">
      <alignment horizontal="right"/>
    </xf>
    <xf numFmtId="8" fontId="1" fillId="0" borderId="7" xfId="0" quotePrefix="1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1" fillId="0" borderId="8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1" xfId="1" quotePrefix="1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  <xf numFmtId="8" fontId="2" fillId="0" borderId="65" xfId="0" applyNumberFormat="1" applyFont="1" applyBorder="1" applyAlignment="1">
      <alignment horizontal="right"/>
    </xf>
    <xf numFmtId="8" fontId="2" fillId="0" borderId="36" xfId="0" applyNumberFormat="1" applyFont="1" applyBorder="1" applyAlignment="1">
      <alignment horizontal="right"/>
    </xf>
    <xf numFmtId="8" fontId="2" fillId="0" borderId="58" xfId="0" applyNumberFormat="1" applyFont="1" applyBorder="1" applyAlignment="1">
      <alignment horizontal="center" vertical="center"/>
    </xf>
    <xf numFmtId="8" fontId="2" fillId="0" borderId="39" xfId="0" applyNumberFormat="1" applyFont="1" applyBorder="1" applyAlignment="1">
      <alignment horizontal="center" vertical="center"/>
    </xf>
    <xf numFmtId="8" fontId="2" fillId="0" borderId="64" xfId="0" applyNumberFormat="1" applyFont="1" applyBorder="1" applyAlignment="1">
      <alignment horizontal="right"/>
    </xf>
    <xf numFmtId="8" fontId="2" fillId="0" borderId="45" xfId="0" applyNumberFormat="1" applyFont="1" applyBorder="1" applyAlignment="1">
      <alignment horizontal="right"/>
    </xf>
    <xf numFmtId="8" fontId="2" fillId="0" borderId="13" xfId="0" applyNumberFormat="1" applyFont="1" applyBorder="1" applyAlignment="1">
      <alignment horizontal="right"/>
    </xf>
    <xf numFmtId="8" fontId="2" fillId="0" borderId="43" xfId="0" applyNumberFormat="1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75"/>
  <sheetViews>
    <sheetView topLeftCell="A28" zoomScaleNormal="100" workbookViewId="0">
      <pane xSplit="1" topLeftCell="AM1" activePane="topRight" state="frozen"/>
      <selection pane="topRight" activeCell="AQ32" sqref="AQ32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57031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2" width="11.140625" customWidth="1"/>
    <col min="43" max="43" width="10.710937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4" max="54" width="24" customWidth="1"/>
    <col min="55" max="55" width="11.140625" customWidth="1"/>
    <col min="61" max="61" width="23.42578125" customWidth="1"/>
    <col min="62" max="62" width="17.28515625" customWidth="1"/>
    <col min="64" max="64" width="16" customWidth="1"/>
  </cols>
  <sheetData>
    <row r="1" spans="1:56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6" ht="15.75">
      <c r="A2" s="1"/>
      <c r="B2" s="1"/>
      <c r="C2" s="1"/>
      <c r="D2" s="1"/>
      <c r="E2" s="1"/>
      <c r="F2" s="4"/>
      <c r="G2" s="1"/>
      <c r="H2" s="1"/>
      <c r="I2" s="82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74"/>
      <c r="W2" s="1"/>
      <c r="X2" s="1"/>
      <c r="Y2" s="1"/>
      <c r="Z2" s="83"/>
      <c r="AA2" s="1"/>
      <c r="AB2" s="1"/>
      <c r="AC2" s="82"/>
      <c r="AD2" s="74"/>
      <c r="AE2" s="1"/>
      <c r="AF2" s="1"/>
      <c r="AG2" s="1"/>
      <c r="AH2" s="74"/>
      <c r="AI2" s="1"/>
      <c r="AJ2" s="1"/>
      <c r="AK2" s="1"/>
      <c r="AL2" s="74"/>
      <c r="AM2" s="1"/>
      <c r="AN2" s="1"/>
      <c r="AO2" s="1"/>
      <c r="AP2" s="74"/>
      <c r="AQ2" s="1"/>
      <c r="AR2" s="1"/>
      <c r="AS2" s="1"/>
      <c r="AT2" s="74"/>
      <c r="AU2" s="1"/>
      <c r="AV2" s="1"/>
      <c r="AW2" s="1"/>
      <c r="AX2" s="74"/>
      <c r="AY2" s="1"/>
      <c r="AZ2" s="1"/>
      <c r="BA2" s="1"/>
      <c r="BB2" s="1"/>
    </row>
    <row r="3" spans="1:56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564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6" ht="17.25" thickTop="1" thickBot="1">
      <c r="A4" s="79" t="s">
        <v>4</v>
      </c>
      <c r="B4" s="64">
        <v>2017</v>
      </c>
      <c r="C4" s="275" t="s">
        <v>0</v>
      </c>
      <c r="D4" s="276"/>
      <c r="E4" s="276"/>
      <c r="F4" s="277"/>
      <c r="G4" s="275" t="s">
        <v>1</v>
      </c>
      <c r="H4" s="276"/>
      <c r="I4" s="276"/>
      <c r="J4" s="277"/>
      <c r="K4" s="275" t="s">
        <v>2</v>
      </c>
      <c r="L4" s="276"/>
      <c r="M4" s="276"/>
      <c r="N4" s="277"/>
      <c r="O4" s="275" t="s">
        <v>3</v>
      </c>
      <c r="P4" s="276"/>
      <c r="Q4" s="276"/>
      <c r="R4" s="277"/>
      <c r="S4" s="275" t="s">
        <v>99</v>
      </c>
      <c r="T4" s="276"/>
      <c r="U4" s="276"/>
      <c r="V4" s="277"/>
      <c r="W4" s="275" t="s">
        <v>95</v>
      </c>
      <c r="X4" s="276"/>
      <c r="Y4" s="276"/>
      <c r="Z4" s="277"/>
      <c r="AA4" s="275" t="s">
        <v>103</v>
      </c>
      <c r="AB4" s="276"/>
      <c r="AC4" s="276"/>
      <c r="AD4" s="277"/>
      <c r="AE4" s="275" t="s">
        <v>104</v>
      </c>
      <c r="AF4" s="276"/>
      <c r="AG4" s="276"/>
      <c r="AH4" s="277"/>
      <c r="AI4" s="275" t="s">
        <v>107</v>
      </c>
      <c r="AJ4" s="276"/>
      <c r="AK4" s="276"/>
      <c r="AL4" s="277"/>
      <c r="AM4" s="275" t="s">
        <v>109</v>
      </c>
      <c r="AN4" s="276"/>
      <c r="AO4" s="276"/>
      <c r="AP4" s="277"/>
      <c r="AQ4" s="275" t="s">
        <v>113</v>
      </c>
      <c r="AR4" s="276"/>
      <c r="AS4" s="276"/>
      <c r="AT4" s="277"/>
      <c r="AU4" s="275" t="s">
        <v>118</v>
      </c>
      <c r="AV4" s="276"/>
      <c r="AW4" s="276"/>
      <c r="AX4" s="277"/>
      <c r="AY4" s="1"/>
      <c r="AZ4" s="1"/>
      <c r="BA4" s="1"/>
      <c r="BB4" s="1"/>
    </row>
    <row r="5" spans="1:56" ht="16.5" thickBot="1">
      <c r="A5" s="6" t="s">
        <v>5</v>
      </c>
      <c r="B5" s="65"/>
      <c r="C5" s="287">
        <f>'01'!K19</f>
        <v>17336.68</v>
      </c>
      <c r="D5" s="285"/>
      <c r="E5" s="285"/>
      <c r="F5" s="286"/>
      <c r="G5" s="287">
        <f>'02'!K19</f>
        <v>20217</v>
      </c>
      <c r="H5" s="285"/>
      <c r="I5" s="285"/>
      <c r="J5" s="286"/>
      <c r="K5" s="284">
        <f>'03'!K19</f>
        <v>21214.57</v>
      </c>
      <c r="L5" s="285"/>
      <c r="M5" s="285"/>
      <c r="N5" s="286"/>
      <c r="O5" s="284">
        <f>'04'!K19</f>
        <v>20719.909999999996</v>
      </c>
      <c r="P5" s="285"/>
      <c r="Q5" s="285"/>
      <c r="R5" s="286"/>
      <c r="S5" s="284">
        <f>'05'!K19</f>
        <v>22905.86</v>
      </c>
      <c r="T5" s="285"/>
      <c r="U5" s="285"/>
      <c r="V5" s="286"/>
      <c r="W5" s="284">
        <f>'06'!K19</f>
        <v>23622.14</v>
      </c>
      <c r="X5" s="285"/>
      <c r="Y5" s="285"/>
      <c r="Z5" s="286"/>
      <c r="AA5" s="284">
        <f>'07'!K19</f>
        <v>24911.559999999998</v>
      </c>
      <c r="AB5" s="285"/>
      <c r="AC5" s="285"/>
      <c r="AD5" s="286"/>
      <c r="AE5" s="284">
        <f>'08'!K19</f>
        <v>24488.75</v>
      </c>
      <c r="AF5" s="285"/>
      <c r="AG5" s="285"/>
      <c r="AH5" s="286"/>
      <c r="AI5" s="284">
        <f>'09'!K19</f>
        <v>24613.260000000002</v>
      </c>
      <c r="AJ5" s="285"/>
      <c r="AK5" s="285"/>
      <c r="AL5" s="286"/>
      <c r="AM5" s="284">
        <f>'10'!K19</f>
        <v>23755.86</v>
      </c>
      <c r="AN5" s="285"/>
      <c r="AO5" s="285"/>
      <c r="AP5" s="286"/>
      <c r="AQ5" s="284">
        <f>'11'!K19</f>
        <v>23313.940000000002</v>
      </c>
      <c r="AR5" s="285"/>
      <c r="AS5" s="285"/>
      <c r="AT5" s="286"/>
      <c r="AU5" s="284">
        <f>'12'!K19</f>
        <v>15101.890000000001</v>
      </c>
      <c r="AV5" s="285"/>
      <c r="AW5" s="285"/>
      <c r="AX5" s="286"/>
      <c r="AY5" s="7"/>
      <c r="AZ5" s="8"/>
      <c r="BA5" s="1"/>
      <c r="BB5" s="1"/>
    </row>
    <row r="6" spans="1:56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6" ht="17.25" thickTop="1" thickBot="1">
      <c r="A7" s="48" t="s">
        <v>6</v>
      </c>
      <c r="B7" s="47" t="s">
        <v>66</v>
      </c>
      <c r="C7" s="278" t="s">
        <v>7</v>
      </c>
      <c r="D7" s="279"/>
      <c r="E7" s="279"/>
      <c r="F7" s="280"/>
      <c r="G7" s="278" t="s">
        <v>7</v>
      </c>
      <c r="H7" s="279"/>
      <c r="I7" s="279"/>
      <c r="J7" s="280"/>
      <c r="K7" s="278" t="s">
        <v>7</v>
      </c>
      <c r="L7" s="279"/>
      <c r="M7" s="279"/>
      <c r="N7" s="280"/>
      <c r="O7" s="278" t="s">
        <v>7</v>
      </c>
      <c r="P7" s="279"/>
      <c r="Q7" s="279"/>
      <c r="R7" s="280"/>
      <c r="S7" s="278" t="s">
        <v>7</v>
      </c>
      <c r="T7" s="279"/>
      <c r="U7" s="279"/>
      <c r="V7" s="280"/>
      <c r="W7" s="278" t="s">
        <v>7</v>
      </c>
      <c r="X7" s="279"/>
      <c r="Y7" s="279"/>
      <c r="Z7" s="280"/>
      <c r="AA7" s="278" t="s">
        <v>7</v>
      </c>
      <c r="AB7" s="279"/>
      <c r="AC7" s="279"/>
      <c r="AD7" s="280"/>
      <c r="AE7" s="278" t="s">
        <v>7</v>
      </c>
      <c r="AF7" s="279"/>
      <c r="AG7" s="279"/>
      <c r="AH7" s="280"/>
      <c r="AI7" s="278" t="s">
        <v>7</v>
      </c>
      <c r="AJ7" s="279"/>
      <c r="AK7" s="279"/>
      <c r="AL7" s="280"/>
      <c r="AM7" s="278" t="s">
        <v>7</v>
      </c>
      <c r="AN7" s="279"/>
      <c r="AO7" s="279"/>
      <c r="AP7" s="280"/>
      <c r="AQ7" s="278" t="s">
        <v>7</v>
      </c>
      <c r="AR7" s="279"/>
      <c r="AS7" s="279"/>
      <c r="AT7" s="280"/>
      <c r="AU7" s="278" t="s">
        <v>7</v>
      </c>
      <c r="AV7" s="279"/>
      <c r="AW7" s="279"/>
      <c r="AX7" s="280"/>
      <c r="AY7" s="10" t="s">
        <v>8</v>
      </c>
      <c r="AZ7" s="25" t="s">
        <v>619</v>
      </c>
      <c r="BA7" s="1"/>
      <c r="BB7" s="1"/>
    </row>
    <row r="8" spans="1:56" ht="15.75">
      <c r="A8" s="11" t="s">
        <v>124</v>
      </c>
      <c r="B8" s="199">
        <v>28683.489999999998</v>
      </c>
      <c r="C8" s="281">
        <v>2317.46</v>
      </c>
      <c r="D8" s="282"/>
      <c r="E8" s="282"/>
      <c r="F8" s="283"/>
      <c r="G8" s="281">
        <f>2317.46+1638.24</f>
        <v>3955.7</v>
      </c>
      <c r="H8" s="282"/>
      <c r="I8" s="282"/>
      <c r="J8" s="283"/>
      <c r="K8" s="281">
        <v>2320.84</v>
      </c>
      <c r="L8" s="282"/>
      <c r="M8" s="282"/>
      <c r="N8" s="283"/>
      <c r="O8" s="281">
        <v>2325.9</v>
      </c>
      <c r="P8" s="282"/>
      <c r="Q8" s="282"/>
      <c r="R8" s="283"/>
      <c r="S8" s="281">
        <v>2321.1799999999998</v>
      </c>
      <c r="T8" s="282"/>
      <c r="U8" s="282"/>
      <c r="V8" s="283"/>
      <c r="W8" s="281">
        <v>3973.79</v>
      </c>
      <c r="X8" s="282"/>
      <c r="Y8" s="282"/>
      <c r="Z8" s="283"/>
      <c r="AA8" s="281">
        <v>2328.91</v>
      </c>
      <c r="AB8" s="282"/>
      <c r="AC8" s="282"/>
      <c r="AD8" s="283"/>
      <c r="AE8" s="281">
        <v>2318.6999999999998</v>
      </c>
      <c r="AF8" s="282"/>
      <c r="AG8" s="282"/>
      <c r="AH8" s="283"/>
      <c r="AI8" s="281">
        <v>2328.61</v>
      </c>
      <c r="AJ8" s="282"/>
      <c r="AK8" s="282"/>
      <c r="AL8" s="283"/>
      <c r="AM8" s="281">
        <v>2328.61</v>
      </c>
      <c r="AN8" s="282"/>
      <c r="AO8" s="282"/>
      <c r="AP8" s="283"/>
      <c r="AQ8" s="281"/>
      <c r="AR8" s="282"/>
      <c r="AS8" s="282"/>
      <c r="AT8" s="283"/>
      <c r="AU8" s="281"/>
      <c r="AV8" s="282"/>
      <c r="AW8" s="282"/>
      <c r="AX8" s="283"/>
      <c r="AY8" s="12">
        <f>SUM(C8:AU8)</f>
        <v>26519.7</v>
      </c>
      <c r="AZ8" s="163">
        <f t="shared" ref="AZ8:AZ16" ca="1" si="0">AY8/BB$17</f>
        <v>2410.8818181818183</v>
      </c>
      <c r="BA8" s="1"/>
      <c r="BB8" s="1"/>
    </row>
    <row r="9" spans="1:56" ht="15.75">
      <c r="A9" s="13" t="s">
        <v>125</v>
      </c>
      <c r="B9" s="200">
        <v>4981.99</v>
      </c>
      <c r="C9" s="268">
        <f>72.66+314.12</f>
        <v>386.78</v>
      </c>
      <c r="D9" s="269"/>
      <c r="E9" s="269"/>
      <c r="F9" s="270"/>
      <c r="G9" s="268">
        <f>176.46</f>
        <v>176.46</v>
      </c>
      <c r="H9" s="269"/>
      <c r="I9" s="269"/>
      <c r="J9" s="270"/>
      <c r="K9" s="268">
        <f>259.63+176.46</f>
        <v>436.09000000000003</v>
      </c>
      <c r="L9" s="269"/>
      <c r="M9" s="269"/>
      <c r="N9" s="270"/>
      <c r="O9" s="268">
        <f>249.22+197.22+325.64</f>
        <v>772.07999999999993</v>
      </c>
      <c r="P9" s="269"/>
      <c r="Q9" s="269"/>
      <c r="R9" s="270"/>
      <c r="S9" s="268">
        <f>155.7+267.29</f>
        <v>422.99</v>
      </c>
      <c r="T9" s="269"/>
      <c r="U9" s="269"/>
      <c r="V9" s="270"/>
      <c r="W9" s="268">
        <f>197.22</f>
        <v>197.22</v>
      </c>
      <c r="X9" s="269"/>
      <c r="Y9" s="269"/>
      <c r="Z9" s="270"/>
      <c r="AA9" s="268">
        <f>786.42+134.94+83.04</f>
        <v>1004.3999999999999</v>
      </c>
      <c r="AB9" s="269"/>
      <c r="AC9" s="269"/>
      <c r="AD9" s="270"/>
      <c r="AE9" s="268">
        <f>269.88</f>
        <v>269.88</v>
      </c>
      <c r="AF9" s="269"/>
      <c r="AG9" s="269"/>
      <c r="AH9" s="270"/>
      <c r="AI9" s="268">
        <v>280.26</v>
      </c>
      <c r="AJ9" s="269"/>
      <c r="AK9" s="269"/>
      <c r="AL9" s="270"/>
      <c r="AM9" s="268">
        <f>'10'!K25+'10'!K28+'10'!K29</f>
        <v>534.53</v>
      </c>
      <c r="AN9" s="269"/>
      <c r="AO9" s="269"/>
      <c r="AP9" s="270"/>
      <c r="AQ9" s="268">
        <f>'11'!K26+'11'!K27</f>
        <v>686.47</v>
      </c>
      <c r="AR9" s="269"/>
      <c r="AS9" s="269"/>
      <c r="AT9" s="270"/>
      <c r="AU9" s="268"/>
      <c r="AV9" s="269"/>
      <c r="AW9" s="269"/>
      <c r="AX9" s="270"/>
      <c r="AY9" s="14">
        <f t="shared" ref="AY9:AY15" si="1">SUM(C9:AX9)</f>
        <v>5167.16</v>
      </c>
      <c r="AZ9" s="163">
        <f t="shared" ca="1" si="0"/>
        <v>469.74181818181819</v>
      </c>
      <c r="BA9" s="1"/>
      <c r="BB9" s="1"/>
    </row>
    <row r="10" spans="1:56" ht="15.75">
      <c r="A10" s="15" t="s">
        <v>126</v>
      </c>
      <c r="B10" s="201">
        <v>723.38</v>
      </c>
      <c r="C10" s="271">
        <v>90.43</v>
      </c>
      <c r="D10" s="272"/>
      <c r="E10" s="272"/>
      <c r="F10" s="273"/>
      <c r="G10" s="271">
        <f>1117.39-956.06</f>
        <v>161.33000000000015</v>
      </c>
      <c r="H10" s="272"/>
      <c r="I10" s="272"/>
      <c r="J10" s="273"/>
      <c r="K10" s="271">
        <v>285.58</v>
      </c>
      <c r="L10" s="272"/>
      <c r="M10" s="272"/>
      <c r="N10" s="273"/>
      <c r="O10" s="271">
        <f>275.29+42.8</f>
        <v>318.09000000000003</v>
      </c>
      <c r="P10" s="272"/>
      <c r="Q10" s="272"/>
      <c r="R10" s="273"/>
      <c r="S10" s="271">
        <f>421.56</f>
        <v>421.56</v>
      </c>
      <c r="T10" s="272"/>
      <c r="U10" s="272"/>
      <c r="V10" s="273"/>
      <c r="W10" s="271">
        <v>341.74</v>
      </c>
      <c r="X10" s="272"/>
      <c r="Y10" s="272"/>
      <c r="Z10" s="273"/>
      <c r="AA10" s="271">
        <v>234.71</v>
      </c>
      <c r="AB10" s="272"/>
      <c r="AC10" s="272"/>
      <c r="AD10" s="273"/>
      <c r="AE10" s="271">
        <v>83.23</v>
      </c>
      <c r="AF10" s="272"/>
      <c r="AG10" s="272"/>
      <c r="AH10" s="273"/>
      <c r="AI10" s="271">
        <f>300+99.65</f>
        <v>399.65</v>
      </c>
      <c r="AJ10" s="272"/>
      <c r="AK10" s="272"/>
      <c r="AL10" s="273"/>
      <c r="AM10" s="271">
        <v>246.4</v>
      </c>
      <c r="AN10" s="272"/>
      <c r="AO10" s="272"/>
      <c r="AP10" s="273"/>
      <c r="AQ10" s="271"/>
      <c r="AR10" s="272"/>
      <c r="AS10" s="272"/>
      <c r="AT10" s="273"/>
      <c r="AU10" s="271"/>
      <c r="AV10" s="272"/>
      <c r="AW10" s="272"/>
      <c r="AX10" s="273"/>
      <c r="AY10" s="16">
        <f t="shared" si="1"/>
        <v>2582.7200000000003</v>
      </c>
      <c r="AZ10" s="163">
        <f t="shared" ca="1" si="0"/>
        <v>234.79272727272729</v>
      </c>
      <c r="BA10" s="1"/>
      <c r="BB10" s="1"/>
    </row>
    <row r="11" spans="1:56" ht="15.75">
      <c r="A11" s="13" t="s">
        <v>127</v>
      </c>
      <c r="B11" s="200">
        <v>180.64</v>
      </c>
      <c r="C11" s="268">
        <f>1.01+0.04+2831.41+0.05</f>
        <v>2832.51</v>
      </c>
      <c r="D11" s="269"/>
      <c r="E11" s="269"/>
      <c r="F11" s="270"/>
      <c r="G11" s="268"/>
      <c r="H11" s="269"/>
      <c r="I11" s="269"/>
      <c r="J11" s="270"/>
      <c r="K11" s="268"/>
      <c r="L11" s="269"/>
      <c r="M11" s="269"/>
      <c r="N11" s="270"/>
      <c r="O11" s="268">
        <v>0.03</v>
      </c>
      <c r="P11" s="269"/>
      <c r="Q11" s="269"/>
      <c r="R11" s="270"/>
      <c r="S11" s="268">
        <f>38.64</f>
        <v>38.64</v>
      </c>
      <c r="T11" s="269"/>
      <c r="U11" s="269"/>
      <c r="V11" s="270"/>
      <c r="W11" s="268"/>
      <c r="X11" s="269"/>
      <c r="Y11" s="269"/>
      <c r="Z11" s="270"/>
      <c r="AA11" s="268">
        <f>0.02</f>
        <v>0.02</v>
      </c>
      <c r="AB11" s="269"/>
      <c r="AC11" s="269"/>
      <c r="AD11" s="270"/>
      <c r="AE11" s="268"/>
      <c r="AF11" s="269"/>
      <c r="AG11" s="269"/>
      <c r="AH11" s="270"/>
      <c r="AI11" s="268"/>
      <c r="AJ11" s="269"/>
      <c r="AK11" s="269"/>
      <c r="AL11" s="270"/>
      <c r="AM11" s="268">
        <f>'10'!K27</f>
        <v>0.06</v>
      </c>
      <c r="AN11" s="269"/>
      <c r="AO11" s="269"/>
      <c r="AP11" s="270"/>
      <c r="AQ11" s="268">
        <f>'11'!K25</f>
        <v>35.619999999999997</v>
      </c>
      <c r="AR11" s="269"/>
      <c r="AS11" s="269"/>
      <c r="AT11" s="270"/>
      <c r="AU11" s="268"/>
      <c r="AV11" s="269"/>
      <c r="AW11" s="269"/>
      <c r="AX11" s="270"/>
      <c r="AY11" s="14">
        <f t="shared" si="1"/>
        <v>2906.88</v>
      </c>
      <c r="AZ11" s="163">
        <f t="shared" ca="1" si="0"/>
        <v>264.26181818181817</v>
      </c>
      <c r="BA11" s="1"/>
      <c r="BB11" s="1"/>
    </row>
    <row r="12" spans="1:56" ht="15.75">
      <c r="A12" s="15" t="s">
        <v>128</v>
      </c>
      <c r="B12" s="201">
        <v>626.6</v>
      </c>
      <c r="C12" s="271">
        <f>700+50+449</f>
        <v>1199</v>
      </c>
      <c r="D12" s="272"/>
      <c r="E12" s="272"/>
      <c r="F12" s="273"/>
      <c r="G12" s="271">
        <v>447.43</v>
      </c>
      <c r="H12" s="272"/>
      <c r="I12" s="272"/>
      <c r="J12" s="273"/>
      <c r="K12" s="271"/>
      <c r="L12" s="272"/>
      <c r="M12" s="272"/>
      <c r="N12" s="273"/>
      <c r="O12" s="271">
        <f>80.1</f>
        <v>80.099999999999994</v>
      </c>
      <c r="P12" s="272"/>
      <c r="Q12" s="272"/>
      <c r="R12" s="273"/>
      <c r="S12" s="271"/>
      <c r="T12" s="272"/>
      <c r="U12" s="272"/>
      <c r="V12" s="273"/>
      <c r="W12" s="271">
        <f>200</f>
        <v>200</v>
      </c>
      <c r="X12" s="272"/>
      <c r="Y12" s="272"/>
      <c r="Z12" s="273"/>
      <c r="AA12" s="271">
        <f>106.3</f>
        <v>106.3</v>
      </c>
      <c r="AB12" s="272"/>
      <c r="AC12" s="272"/>
      <c r="AD12" s="273"/>
      <c r="AE12" s="271"/>
      <c r="AF12" s="272"/>
      <c r="AG12" s="272"/>
      <c r="AH12" s="273"/>
      <c r="AI12" s="271">
        <v>500</v>
      </c>
      <c r="AJ12" s="272"/>
      <c r="AK12" s="272"/>
      <c r="AL12" s="273"/>
      <c r="AM12" s="271"/>
      <c r="AN12" s="272"/>
      <c r="AO12" s="272"/>
      <c r="AP12" s="273"/>
      <c r="AQ12" s="271"/>
      <c r="AR12" s="272"/>
      <c r="AS12" s="272"/>
      <c r="AT12" s="273"/>
      <c r="AU12" s="271"/>
      <c r="AV12" s="272"/>
      <c r="AW12" s="272"/>
      <c r="AX12" s="273"/>
      <c r="AY12" s="16">
        <f t="shared" si="1"/>
        <v>2532.83</v>
      </c>
      <c r="AZ12" s="163">
        <f t="shared" ca="1" si="0"/>
        <v>230.25727272727272</v>
      </c>
      <c r="BA12" s="1"/>
      <c r="BB12" s="1"/>
    </row>
    <row r="13" spans="1:56" ht="15.75">
      <c r="A13" s="13" t="s">
        <v>129</v>
      </c>
      <c r="B13" s="202">
        <v>3448.3199999999993</v>
      </c>
      <c r="C13" s="268">
        <f>93.93</f>
        <v>93.93</v>
      </c>
      <c r="D13" s="269"/>
      <c r="E13" s="269"/>
      <c r="F13" s="270"/>
      <c r="G13" s="268">
        <f>93.93</f>
        <v>93.93</v>
      </c>
      <c r="H13" s="269"/>
      <c r="I13" s="269"/>
      <c r="J13" s="270"/>
      <c r="K13" s="268">
        <f>93.93</f>
        <v>93.93</v>
      </c>
      <c r="L13" s="269"/>
      <c r="M13" s="269"/>
      <c r="N13" s="270"/>
      <c r="O13" s="268">
        <f>93.93+2290.23</f>
        <v>2384.16</v>
      </c>
      <c r="P13" s="269"/>
      <c r="Q13" s="269"/>
      <c r="R13" s="270"/>
      <c r="S13" s="268">
        <f>93.93</f>
        <v>93.93</v>
      </c>
      <c r="T13" s="269"/>
      <c r="U13" s="269"/>
      <c r="V13" s="270"/>
      <c r="W13" s="268">
        <f>93.93</f>
        <v>93.93</v>
      </c>
      <c r="X13" s="269"/>
      <c r="Y13" s="269"/>
      <c r="Z13" s="270"/>
      <c r="AA13" s="268">
        <f>93.93</f>
        <v>93.93</v>
      </c>
      <c r="AB13" s="269"/>
      <c r="AC13" s="269"/>
      <c r="AD13" s="270"/>
      <c r="AE13" s="268">
        <v>114.74</v>
      </c>
      <c r="AF13" s="269"/>
      <c r="AG13" s="269"/>
      <c r="AH13" s="270"/>
      <c r="AI13" s="268">
        <v>93.93</v>
      </c>
      <c r="AJ13" s="269"/>
      <c r="AK13" s="269"/>
      <c r="AL13" s="270"/>
      <c r="AM13" s="268">
        <v>95.8</v>
      </c>
      <c r="AN13" s="269"/>
      <c r="AO13" s="269"/>
      <c r="AP13" s="270"/>
      <c r="AQ13" s="268">
        <v>95.8</v>
      </c>
      <c r="AR13" s="269"/>
      <c r="AS13" s="269"/>
      <c r="AT13" s="270"/>
      <c r="AU13" s="268"/>
      <c r="AV13" s="269"/>
      <c r="AW13" s="269"/>
      <c r="AX13" s="270"/>
      <c r="AY13" s="17">
        <f t="shared" si="1"/>
        <v>3348.0099999999993</v>
      </c>
      <c r="AZ13" s="163">
        <f t="shared" ca="1" si="0"/>
        <v>304.36454545454541</v>
      </c>
      <c r="BA13" s="1"/>
      <c r="BB13" s="1"/>
    </row>
    <row r="14" spans="1:56" ht="15.75">
      <c r="A14" s="15" t="s">
        <v>130</v>
      </c>
      <c r="B14" s="201">
        <v>795.41</v>
      </c>
      <c r="C14" s="271"/>
      <c r="D14" s="272"/>
      <c r="E14" s="272"/>
      <c r="F14" s="273"/>
      <c r="G14" s="271">
        <f>27.27+13.86+8.75+34.09</f>
        <v>83.97</v>
      </c>
      <c r="H14" s="272"/>
      <c r="I14" s="272"/>
      <c r="J14" s="273"/>
      <c r="K14" s="271"/>
      <c r="L14" s="272"/>
      <c r="M14" s="272"/>
      <c r="N14" s="273"/>
      <c r="O14" s="271">
        <f>25+27.27+16.9+26.12</f>
        <v>95.289999999999992</v>
      </c>
      <c r="P14" s="272"/>
      <c r="Q14" s="272"/>
      <c r="R14" s="273"/>
      <c r="S14" s="271">
        <f>22.09+27.27</f>
        <v>49.36</v>
      </c>
      <c r="T14" s="272"/>
      <c r="U14" s="272"/>
      <c r="V14" s="273"/>
      <c r="W14" s="271">
        <f>8.75+27.27+27.27</f>
        <v>63.289999999999992</v>
      </c>
      <c r="X14" s="272"/>
      <c r="Y14" s="272"/>
      <c r="Z14" s="273"/>
      <c r="AA14" s="271"/>
      <c r="AB14" s="272"/>
      <c r="AC14" s="272"/>
      <c r="AD14" s="273"/>
      <c r="AE14" s="271"/>
      <c r="AF14" s="272"/>
      <c r="AG14" s="272"/>
      <c r="AH14" s="273"/>
      <c r="AI14" s="271"/>
      <c r="AJ14" s="272"/>
      <c r="AK14" s="272"/>
      <c r="AL14" s="273"/>
      <c r="AM14" s="271"/>
      <c r="AN14" s="272"/>
      <c r="AO14" s="272"/>
      <c r="AP14" s="273"/>
      <c r="AQ14" s="271"/>
      <c r="AR14" s="272"/>
      <c r="AS14" s="272"/>
      <c r="AT14" s="273"/>
      <c r="AU14" s="271"/>
      <c r="AV14" s="272"/>
      <c r="AW14" s="272"/>
      <c r="AX14" s="273"/>
      <c r="AY14" s="16">
        <f t="shared" si="1"/>
        <v>291.90999999999997</v>
      </c>
      <c r="AZ14" s="163">
        <f t="shared" ca="1" si="0"/>
        <v>26.537272727272725</v>
      </c>
      <c r="BA14" s="3"/>
      <c r="BB14" s="3"/>
    </row>
    <row r="15" spans="1:56" ht="15.75">
      <c r="A15" s="13" t="s">
        <v>131</v>
      </c>
      <c r="B15" s="200">
        <v>2461.34</v>
      </c>
      <c r="C15" s="268">
        <v>648.49</v>
      </c>
      <c r="D15" s="269"/>
      <c r="E15" s="269"/>
      <c r="F15" s="270"/>
      <c r="G15" s="268">
        <v>550</v>
      </c>
      <c r="H15" s="269"/>
      <c r="I15" s="269"/>
      <c r="J15" s="270"/>
      <c r="K15" s="268">
        <v>690</v>
      </c>
      <c r="L15" s="269"/>
      <c r="M15" s="269"/>
      <c r="N15" s="270"/>
      <c r="O15" s="268">
        <f>550</f>
        <v>550</v>
      </c>
      <c r="P15" s="269"/>
      <c r="Q15" s="269"/>
      <c r="R15" s="270"/>
      <c r="S15" s="268">
        <v>650.01</v>
      </c>
      <c r="T15" s="269"/>
      <c r="U15" s="269"/>
      <c r="V15" s="270"/>
      <c r="W15" s="268">
        <v>568.34</v>
      </c>
      <c r="X15" s="269"/>
      <c r="Y15" s="269"/>
      <c r="Z15" s="270"/>
      <c r="AA15" s="268">
        <v>632.86</v>
      </c>
      <c r="AB15" s="269"/>
      <c r="AC15" s="269"/>
      <c r="AD15" s="270"/>
      <c r="AE15" s="268">
        <v>550</v>
      </c>
      <c r="AF15" s="269"/>
      <c r="AG15" s="269"/>
      <c r="AH15" s="270"/>
      <c r="AI15" s="268">
        <v>586.85</v>
      </c>
      <c r="AJ15" s="269"/>
      <c r="AK15" s="269"/>
      <c r="AL15" s="270"/>
      <c r="AM15" s="274">
        <f>'10'!K26</f>
        <v>550</v>
      </c>
      <c r="AN15" s="269"/>
      <c r="AO15" s="269"/>
      <c r="AP15" s="270"/>
      <c r="AQ15" s="268">
        <v>644.96</v>
      </c>
      <c r="AR15" s="269"/>
      <c r="AS15" s="269"/>
      <c r="AT15" s="270"/>
      <c r="AU15" s="268"/>
      <c r="AV15" s="269"/>
      <c r="AW15" s="269"/>
      <c r="AX15" s="270"/>
      <c r="AY15" s="14">
        <f t="shared" si="1"/>
        <v>6621.51</v>
      </c>
      <c r="AZ15" s="163">
        <f t="shared" ca="1" si="0"/>
        <v>601.95545454545459</v>
      </c>
      <c r="BA15" s="1"/>
      <c r="BB15" s="1"/>
    </row>
    <row r="16" spans="1:56" ht="16.5" thickBot="1">
      <c r="A16" s="15" t="s">
        <v>132</v>
      </c>
      <c r="B16" s="203">
        <v>15626.78</v>
      </c>
      <c r="C16" s="265">
        <f>28.78+200.62+1566.27</f>
        <v>1795.67</v>
      </c>
      <c r="D16" s="266"/>
      <c r="E16" s="266"/>
      <c r="F16" s="267"/>
      <c r="G16" s="265">
        <f>47.52</f>
        <v>47.52</v>
      </c>
      <c r="H16" s="266"/>
      <c r="I16" s="266"/>
      <c r="J16" s="267"/>
      <c r="K16" s="265"/>
      <c r="L16" s="266"/>
      <c r="M16" s="266"/>
      <c r="N16" s="267"/>
      <c r="O16" s="265"/>
      <c r="P16" s="266"/>
      <c r="Q16" s="266"/>
      <c r="R16" s="267"/>
      <c r="S16" s="265"/>
      <c r="T16" s="266"/>
      <c r="U16" s="266"/>
      <c r="V16" s="267"/>
      <c r="W16" s="265"/>
      <c r="X16" s="266"/>
      <c r="Y16" s="266"/>
      <c r="Z16" s="267"/>
      <c r="AA16" s="265">
        <v>26.77</v>
      </c>
      <c r="AB16" s="266"/>
      <c r="AC16" s="266"/>
      <c r="AD16" s="267"/>
      <c r="AE16" s="265">
        <v>49</v>
      </c>
      <c r="AF16" s="266"/>
      <c r="AG16" s="266"/>
      <c r="AH16" s="267"/>
      <c r="AI16" s="265"/>
      <c r="AJ16" s="266"/>
      <c r="AK16" s="266"/>
      <c r="AL16" s="267"/>
      <c r="AM16" s="265"/>
      <c r="AN16" s="266"/>
      <c r="AO16" s="266"/>
      <c r="AP16" s="267"/>
      <c r="AQ16" s="265"/>
      <c r="AR16" s="266"/>
      <c r="AS16" s="266"/>
      <c r="AT16" s="267"/>
      <c r="AU16" s="265"/>
      <c r="AV16" s="266"/>
      <c r="AW16" s="266"/>
      <c r="AX16" s="267"/>
      <c r="AY16" s="85">
        <f>SUM(C16:AX16)</f>
        <v>1918.96</v>
      </c>
      <c r="AZ16" s="163">
        <f t="shared" ca="1" si="0"/>
        <v>174.45090909090911</v>
      </c>
      <c r="BA16" s="3"/>
      <c r="BB16" s="3"/>
      <c r="BD16" s="228"/>
    </row>
    <row r="17" spans="1:64" ht="16.5" thickBot="1">
      <c r="A17" s="6" t="s">
        <v>5</v>
      </c>
      <c r="B17" s="204">
        <f>SUM(B8:B16)</f>
        <v>57527.95</v>
      </c>
      <c r="C17" s="261">
        <f>SUM(C8:C16)</f>
        <v>9364.27</v>
      </c>
      <c r="D17" s="262"/>
      <c r="E17" s="262"/>
      <c r="F17" s="263"/>
      <c r="G17" s="261">
        <f>SUM(G8:G16)</f>
        <v>5516.3400000000011</v>
      </c>
      <c r="H17" s="262"/>
      <c r="I17" s="262"/>
      <c r="J17" s="263"/>
      <c r="K17" s="261">
        <f>SUM(K8:K16)</f>
        <v>3826.44</v>
      </c>
      <c r="L17" s="262"/>
      <c r="M17" s="262"/>
      <c r="N17" s="263"/>
      <c r="O17" s="261">
        <f>SUM(O8:O16)</f>
        <v>6525.6500000000005</v>
      </c>
      <c r="P17" s="262"/>
      <c r="Q17" s="262"/>
      <c r="R17" s="263"/>
      <c r="S17" s="261">
        <f>SUM(S8:S16)</f>
        <v>3997.67</v>
      </c>
      <c r="T17" s="262"/>
      <c r="U17" s="262"/>
      <c r="V17" s="263"/>
      <c r="W17" s="261">
        <f>SUM(W8:W16)</f>
        <v>5438.31</v>
      </c>
      <c r="X17" s="262"/>
      <c r="Y17" s="262"/>
      <c r="Z17" s="263"/>
      <c r="AA17" s="261">
        <f>SUM(AA8:AA16)</f>
        <v>4427.8999999999996</v>
      </c>
      <c r="AB17" s="262"/>
      <c r="AC17" s="262"/>
      <c r="AD17" s="263"/>
      <c r="AE17" s="261">
        <f>SUM(AE8:AE16)</f>
        <v>3385.5499999999997</v>
      </c>
      <c r="AF17" s="262"/>
      <c r="AG17" s="262"/>
      <c r="AH17" s="263"/>
      <c r="AI17" s="261">
        <f>SUM(AI8:AI16)</f>
        <v>4189.3</v>
      </c>
      <c r="AJ17" s="262"/>
      <c r="AK17" s="262"/>
      <c r="AL17" s="263"/>
      <c r="AM17" s="261">
        <f>SUM(AM8:AM16)</f>
        <v>3755.4000000000005</v>
      </c>
      <c r="AN17" s="262"/>
      <c r="AO17" s="262"/>
      <c r="AP17" s="263"/>
      <c r="AQ17" s="261">
        <f>SUM(AQ8:AQ16)</f>
        <v>1462.85</v>
      </c>
      <c r="AR17" s="262"/>
      <c r="AS17" s="262"/>
      <c r="AT17" s="263"/>
      <c r="AU17" s="261">
        <f>SUM(AU8:AU16)</f>
        <v>0</v>
      </c>
      <c r="AV17" s="262"/>
      <c r="AW17" s="262"/>
      <c r="AX17" s="263"/>
      <c r="AY17" s="18">
        <f>SUM(AY8:AY16)</f>
        <v>51889.680000000008</v>
      </c>
      <c r="AZ17" s="163">
        <f ca="1">AY17/BB$17</f>
        <v>4717.2436363636371</v>
      </c>
      <c r="BA17" s="1" t="s">
        <v>117</v>
      </c>
      <c r="BB17" s="1">
        <f ca="1">MONTH(TODAY())</f>
        <v>11</v>
      </c>
      <c r="BC17" s="87"/>
      <c r="BD17" s="229"/>
    </row>
    <row r="18" spans="1:64" ht="32.25" customHeight="1" thickTop="1" thickBot="1">
      <c r="A18" s="19"/>
      <c r="B18" s="19"/>
      <c r="C18" s="264"/>
      <c r="D18" s="264"/>
      <c r="E18" s="264"/>
      <c r="F18" s="264"/>
      <c r="G18" s="264"/>
      <c r="H18" s="264"/>
      <c r="I18" s="264"/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  <c r="X18" s="264"/>
      <c r="Y18" s="264"/>
      <c r="Z18" s="264"/>
      <c r="AA18" s="264"/>
      <c r="AB18" s="264"/>
      <c r="AC18" s="264"/>
      <c r="AD18" s="264"/>
      <c r="AE18" s="264"/>
      <c r="AF18" s="264"/>
      <c r="AG18" s="264"/>
      <c r="AH18" s="264"/>
      <c r="AI18" s="264"/>
      <c r="AJ18" s="264"/>
      <c r="AK18" s="264"/>
      <c r="AL18" s="264"/>
      <c r="AM18" s="264"/>
      <c r="AN18" s="264"/>
      <c r="AO18" s="264"/>
      <c r="AP18" s="264"/>
      <c r="AQ18" s="264"/>
      <c r="AR18" s="264"/>
      <c r="AS18" s="264"/>
      <c r="AT18" s="264"/>
      <c r="AU18" s="264" t="s">
        <v>477</v>
      </c>
      <c r="AV18" s="264"/>
      <c r="AW18" s="264"/>
      <c r="AX18" s="264"/>
      <c r="AY18" s="217">
        <f>(2250*13)+5500+(550*12)+(93.93*12)</f>
        <v>42477.16</v>
      </c>
      <c r="AZ18" s="217">
        <f ca="1">12*AZ17</f>
        <v>56606.923636363645</v>
      </c>
      <c r="BA18" s="1"/>
      <c r="BB18" s="1"/>
    </row>
    <row r="19" spans="1:64" ht="17.25" thickTop="1" thickBot="1">
      <c r="A19" s="49" t="s">
        <v>9</v>
      </c>
      <c r="B19" s="51" t="s">
        <v>121</v>
      </c>
      <c r="C19" s="21" t="s">
        <v>67</v>
      </c>
      <c r="D19" s="22" t="s">
        <v>10</v>
      </c>
      <c r="E19" s="22" t="s">
        <v>11</v>
      </c>
      <c r="F19" s="23" t="s">
        <v>12</v>
      </c>
      <c r="G19" s="21" t="s">
        <v>67</v>
      </c>
      <c r="H19" s="22" t="s">
        <v>10</v>
      </c>
      <c r="I19" s="22" t="s">
        <v>11</v>
      </c>
      <c r="J19" s="23" t="s">
        <v>12</v>
      </c>
      <c r="K19" s="21" t="s">
        <v>67</v>
      </c>
      <c r="L19" s="22" t="s">
        <v>10</v>
      </c>
      <c r="M19" s="22" t="s">
        <v>11</v>
      </c>
      <c r="N19" s="23" t="s">
        <v>12</v>
      </c>
      <c r="O19" s="21" t="s">
        <v>67</v>
      </c>
      <c r="P19" s="22" t="s">
        <v>10</v>
      </c>
      <c r="Q19" s="22" t="s">
        <v>11</v>
      </c>
      <c r="R19" s="23" t="s">
        <v>12</v>
      </c>
      <c r="S19" s="21" t="s">
        <v>67</v>
      </c>
      <c r="T19" s="22" t="s">
        <v>10</v>
      </c>
      <c r="U19" s="22" t="s">
        <v>11</v>
      </c>
      <c r="V19" s="23" t="s">
        <v>12</v>
      </c>
      <c r="W19" s="21" t="s">
        <v>67</v>
      </c>
      <c r="X19" s="22" t="s">
        <v>10</v>
      </c>
      <c r="Y19" s="22" t="s">
        <v>11</v>
      </c>
      <c r="Z19" s="23" t="s">
        <v>12</v>
      </c>
      <c r="AA19" s="21" t="s">
        <v>67</v>
      </c>
      <c r="AB19" s="22" t="s">
        <v>10</v>
      </c>
      <c r="AC19" s="22" t="s">
        <v>11</v>
      </c>
      <c r="AD19" s="23" t="s">
        <v>12</v>
      </c>
      <c r="AE19" s="21" t="s">
        <v>67</v>
      </c>
      <c r="AF19" s="22" t="s">
        <v>10</v>
      </c>
      <c r="AG19" s="22" t="s">
        <v>11</v>
      </c>
      <c r="AH19" s="23" t="s">
        <v>12</v>
      </c>
      <c r="AI19" s="21" t="s">
        <v>67</v>
      </c>
      <c r="AJ19" s="22" t="s">
        <v>10</v>
      </c>
      <c r="AK19" s="22" t="s">
        <v>11</v>
      </c>
      <c r="AL19" s="23" t="s">
        <v>12</v>
      </c>
      <c r="AM19" s="21" t="s">
        <v>67</v>
      </c>
      <c r="AN19" s="22" t="s">
        <v>10</v>
      </c>
      <c r="AO19" s="22" t="s">
        <v>11</v>
      </c>
      <c r="AP19" s="23" t="s">
        <v>12</v>
      </c>
      <c r="AQ19" s="21" t="s">
        <v>67</v>
      </c>
      <c r="AR19" s="22" t="s">
        <v>10</v>
      </c>
      <c r="AS19" s="22" t="s">
        <v>11</v>
      </c>
      <c r="AT19" s="23" t="s">
        <v>12</v>
      </c>
      <c r="AU19" s="21" t="s">
        <v>67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  <c r="BI19" s="24" t="s">
        <v>620</v>
      </c>
      <c r="BJ19" s="25" t="s">
        <v>623</v>
      </c>
      <c r="BK19" s="25" t="s">
        <v>621</v>
      </c>
      <c r="BL19" s="25" t="s">
        <v>622</v>
      </c>
    </row>
    <row r="20" spans="1:64" ht="16.5" thickBot="1">
      <c r="A20" s="38" t="s">
        <v>497</v>
      </c>
      <c r="B20" s="205">
        <f>580.41-294</f>
        <v>286.40999999999997</v>
      </c>
      <c r="C20" s="26" t="s">
        <v>0</v>
      </c>
      <c r="D20" s="177">
        <f>'01'!B20</f>
        <v>879</v>
      </c>
      <c r="E20" s="177">
        <f>SUM('01'!D20:F20)</f>
        <v>536.24</v>
      </c>
      <c r="F20" s="178">
        <f t="shared" ref="F20:F45" si="2">B20+D20-E20</f>
        <v>629.16999999999985</v>
      </c>
      <c r="G20" s="26" t="s">
        <v>1</v>
      </c>
      <c r="H20" s="177">
        <f>'02'!B20</f>
        <v>700</v>
      </c>
      <c r="I20" s="177">
        <f>SUM('02'!D20:F20)</f>
        <v>605.65</v>
      </c>
      <c r="J20" s="178">
        <f t="shared" ref="J20:J45" si="3">F20+H20-I20</f>
        <v>723.51999999999987</v>
      </c>
      <c r="K20" s="26" t="s">
        <v>2</v>
      </c>
      <c r="L20" s="177">
        <f>'03'!B20</f>
        <v>720.1</v>
      </c>
      <c r="M20" s="177">
        <f>SUM('03'!D20:F20)</f>
        <v>1220.8099999999997</v>
      </c>
      <c r="N20" s="178">
        <f t="shared" ref="N20:N45" si="4">J20+L20-M20</f>
        <v>222.81000000000017</v>
      </c>
      <c r="O20" s="26" t="s">
        <v>3</v>
      </c>
      <c r="P20" s="177">
        <f>'04'!B20</f>
        <v>704</v>
      </c>
      <c r="Q20" s="177">
        <f>SUM('04'!D20:F20)</f>
        <v>684.59</v>
      </c>
      <c r="R20" s="178">
        <f t="shared" ref="R20:R45" si="5">N20+P20-Q20</f>
        <v>242.22000000000014</v>
      </c>
      <c r="S20" s="26" t="s">
        <v>99</v>
      </c>
      <c r="T20" s="177">
        <f>'05'!B20</f>
        <v>804.01</v>
      </c>
      <c r="U20" s="177">
        <f>SUM('05'!D20:F20)</f>
        <v>484.17</v>
      </c>
      <c r="V20" s="178">
        <f t="shared" ref="V20:V45" si="6">R20+T20-U20</f>
        <v>562.05999999999995</v>
      </c>
      <c r="W20" s="26" t="s">
        <v>95</v>
      </c>
      <c r="X20" s="177">
        <f>'06'!B20</f>
        <v>722.33999999999992</v>
      </c>
      <c r="Y20" s="177">
        <f>SUM('06'!D20:F20)</f>
        <v>585.27</v>
      </c>
      <c r="Z20" s="178">
        <f t="shared" ref="Z20:Z45" si="7">V20+X20-Y20</f>
        <v>699.12999999999988</v>
      </c>
      <c r="AA20" s="26" t="s">
        <v>103</v>
      </c>
      <c r="AB20" s="177">
        <f>'07'!B20</f>
        <v>1043.3</v>
      </c>
      <c r="AC20" s="177">
        <f>SUM('07'!D20:F20)</f>
        <v>1375.54</v>
      </c>
      <c r="AD20" s="178">
        <f t="shared" ref="AD20:AD45" si="8">Z20+AB20-AC20</f>
        <v>366.88999999999987</v>
      </c>
      <c r="AE20" s="26" t="s">
        <v>104</v>
      </c>
      <c r="AF20" s="177">
        <f>'08'!B20</f>
        <v>269</v>
      </c>
      <c r="AG20" s="177">
        <f>SUM('08'!D20:F20)</f>
        <v>150.94999999999999</v>
      </c>
      <c r="AH20" s="178">
        <f t="shared" ref="AH20:AH45" si="9">AD20+AF20-AG20</f>
        <v>484.93999999999988</v>
      </c>
      <c r="AI20" s="26" t="s">
        <v>108</v>
      </c>
      <c r="AJ20" s="177">
        <f>'09'!B20</f>
        <v>642.71</v>
      </c>
      <c r="AK20" s="177">
        <f>SUM('09'!D20:F20)</f>
        <v>866.99</v>
      </c>
      <c r="AL20" s="178">
        <f t="shared" ref="AL20:AL45" si="10">AH20+AJ20-AK20</f>
        <v>260.65999999999985</v>
      </c>
      <c r="AM20" s="26" t="s">
        <v>109</v>
      </c>
      <c r="AN20" s="177">
        <f>'10'!B20</f>
        <v>572.14</v>
      </c>
      <c r="AO20" s="177">
        <f>SUM('10'!D20:F20)</f>
        <v>798.75</v>
      </c>
      <c r="AP20" s="178">
        <f t="shared" ref="AP20:AP45" si="11">AL20+AN20-AO20</f>
        <v>34.049999999999841</v>
      </c>
      <c r="AQ20" s="26" t="s">
        <v>114</v>
      </c>
      <c r="AR20" s="177">
        <f>'11'!B20</f>
        <v>638.95999999999992</v>
      </c>
      <c r="AS20" s="177">
        <f>SUM('11'!D20:F20)</f>
        <v>42.230000000000004</v>
      </c>
      <c r="AT20" s="178">
        <f t="shared" ref="AT20:AT45" si="12">AP20+AR20-AS20</f>
        <v>630.77999999999975</v>
      </c>
      <c r="AU20" s="26" t="s">
        <v>118</v>
      </c>
      <c r="AV20" s="177">
        <f>'12'!B20</f>
        <v>544</v>
      </c>
      <c r="AW20" s="177">
        <f>SUM('12'!D20:F20)</f>
        <v>0</v>
      </c>
      <c r="AX20" s="178">
        <f t="shared" ref="AX20:AX45" si="13">AT20+AV20-AW20</f>
        <v>1174.7799999999997</v>
      </c>
      <c r="AY20" s="39">
        <f t="shared" ref="AY20:AY27" si="14">E20+I20+M20+Q20+U20+Y20+AC20+AG20+AK20+AO20+AS20+AW20</f>
        <v>7351.1899999999987</v>
      </c>
      <c r="AZ20" s="40">
        <f t="shared" ref="AZ20:AZ45" si="15">AY20/AY$46</f>
        <v>0.16124198965410744</v>
      </c>
      <c r="BA20" s="41">
        <f>_xlfn.RANK.EQ(AZ20,$AZ$20:$AZ$45,)</f>
        <v>2</v>
      </c>
      <c r="BB20" s="41">
        <f t="shared" ref="BB20:BB45" ca="1" si="16">AY20/BB$17</f>
        <v>668.28999999999985</v>
      </c>
      <c r="BI20" s="39">
        <f ca="1">D20+IF(BB$17&lt;2,0,H20)+IF(BB$17&lt;3,0,L20)+IF(BB$17&lt;4,0,P20)+IF(BB$17&lt;5,0,T20)+IF(BB$17&lt;6,0,X20)+IF(BB$17&lt;7,0,AB20)+IF(BB$17&lt;8,0,AF20)+IF(BB$17&lt;9,0,AJ20)+IF(BB$17&lt;10,0,AN20)+IF(BB$17&lt;11,0,AR20)+IF(BB$17&lt;12,0,AV20)</f>
        <v>7695.56</v>
      </c>
      <c r="BJ20" s="40">
        <f t="shared" ref="BJ20:BJ45" ca="1" si="17">BI20/BI$46</f>
        <v>0.14830903387790942</v>
      </c>
      <c r="BK20" s="41">
        <f ca="1">_xlfn.RANK.EQ(BJ20,$BJ$20:$BJ$45,)</f>
        <v>2</v>
      </c>
      <c r="BL20" s="41">
        <f ca="1">BI20/BB$17</f>
        <v>699.59636363636366</v>
      </c>
    </row>
    <row r="21" spans="1:64" ht="16.5" thickBot="1">
      <c r="A21" s="43" t="s">
        <v>62</v>
      </c>
      <c r="B21" s="206">
        <v>0</v>
      </c>
      <c r="C21" s="27" t="s">
        <v>0</v>
      </c>
      <c r="D21" s="179">
        <f>'01'!B40</f>
        <v>1387.4</v>
      </c>
      <c r="E21" s="180">
        <f>SUM('01'!D40:F40)</f>
        <v>1250.77</v>
      </c>
      <c r="F21" s="181">
        <f t="shared" si="2"/>
        <v>136.63000000000011</v>
      </c>
      <c r="G21" s="27" t="s">
        <v>1</v>
      </c>
      <c r="H21" s="179">
        <f>'02'!B40</f>
        <v>1205.52</v>
      </c>
      <c r="I21" s="180">
        <f>SUM('02'!D40:F40)</f>
        <v>1068.6300000000001</v>
      </c>
      <c r="J21" s="181">
        <f t="shared" si="3"/>
        <v>273.52</v>
      </c>
      <c r="K21" s="27" t="s">
        <v>2</v>
      </c>
      <c r="L21" s="179">
        <f>'03'!B40</f>
        <v>1158</v>
      </c>
      <c r="M21" s="180">
        <f>SUM('03'!D40:F40)</f>
        <v>917.46</v>
      </c>
      <c r="N21" s="181">
        <f t="shared" si="4"/>
        <v>514.05999999999995</v>
      </c>
      <c r="O21" s="27" t="s">
        <v>3</v>
      </c>
      <c r="P21" s="179">
        <f>'04'!B40</f>
        <v>1158</v>
      </c>
      <c r="Q21" s="180">
        <f>SUM('04'!D40:F40)</f>
        <v>1293.58</v>
      </c>
      <c r="R21" s="181">
        <f t="shared" si="5"/>
        <v>378.48</v>
      </c>
      <c r="S21" s="27" t="s">
        <v>99</v>
      </c>
      <c r="T21" s="179">
        <f>'05'!B40</f>
        <v>1158</v>
      </c>
      <c r="U21" s="180">
        <f>SUM('05'!D40:F40)</f>
        <v>1021.84</v>
      </c>
      <c r="V21" s="181">
        <f t="shared" si="6"/>
        <v>514.64</v>
      </c>
      <c r="W21" s="27" t="s">
        <v>95</v>
      </c>
      <c r="X21" s="179">
        <f>'06'!B40</f>
        <v>1128</v>
      </c>
      <c r="Y21" s="180">
        <f>SUM('06'!D40:F40)</f>
        <v>1118.78</v>
      </c>
      <c r="Z21" s="181">
        <f t="shared" si="7"/>
        <v>523.8599999999999</v>
      </c>
      <c r="AA21" s="27" t="s">
        <v>103</v>
      </c>
      <c r="AB21" s="179">
        <f>'07'!B40</f>
        <v>1128</v>
      </c>
      <c r="AC21" s="180">
        <f>SUM('07'!D40:F40)</f>
        <v>1021.84</v>
      </c>
      <c r="AD21" s="181">
        <f t="shared" si="8"/>
        <v>630.01999999999987</v>
      </c>
      <c r="AE21" s="27" t="s">
        <v>104</v>
      </c>
      <c r="AF21" s="179">
        <f>'08'!B40</f>
        <v>1128</v>
      </c>
      <c r="AG21" s="180">
        <f>SUM('08'!D40:F40)</f>
        <v>1084.46</v>
      </c>
      <c r="AH21" s="181">
        <f t="shared" si="9"/>
        <v>673.56</v>
      </c>
      <c r="AI21" s="27" t="s">
        <v>108</v>
      </c>
      <c r="AJ21" s="179">
        <f>'09'!B40</f>
        <v>1128</v>
      </c>
      <c r="AK21" s="180">
        <f>SUM('09'!D40:F40)</f>
        <v>1084.46</v>
      </c>
      <c r="AL21" s="181">
        <f t="shared" si="10"/>
        <v>717.09999999999991</v>
      </c>
      <c r="AM21" s="27" t="s">
        <v>109</v>
      </c>
      <c r="AN21" s="179">
        <f>'10'!B40</f>
        <v>1128</v>
      </c>
      <c r="AO21" s="180">
        <f>SUM('10'!D40:F40)</f>
        <v>1181.4000000000001</v>
      </c>
      <c r="AP21" s="181">
        <f t="shared" si="11"/>
        <v>663.69999999999982</v>
      </c>
      <c r="AQ21" s="27" t="s">
        <v>114</v>
      </c>
      <c r="AR21" s="179">
        <f>'11'!B40</f>
        <v>1128</v>
      </c>
      <c r="AS21" s="180">
        <f>SUM('11'!D40:F40)</f>
        <v>0</v>
      </c>
      <c r="AT21" s="181">
        <f t="shared" si="12"/>
        <v>1791.6999999999998</v>
      </c>
      <c r="AU21" s="27" t="s">
        <v>118</v>
      </c>
      <c r="AV21" s="179">
        <f>'12'!B40</f>
        <v>1128</v>
      </c>
      <c r="AW21" s="180">
        <f>SUM('12'!D40:F40)</f>
        <v>0</v>
      </c>
      <c r="AX21" s="181">
        <f t="shared" si="13"/>
        <v>2919.7</v>
      </c>
      <c r="AY21" s="44">
        <f t="shared" si="14"/>
        <v>11043.22</v>
      </c>
      <c r="AZ21" s="40">
        <f t="shared" si="15"/>
        <v>0.24222347198045929</v>
      </c>
      <c r="BA21" s="41">
        <f t="shared" ref="BA21:BA45" si="18">_xlfn.RANK.EQ(AZ21,$AZ$20:$AZ$45,)</f>
        <v>1</v>
      </c>
      <c r="BB21" s="41">
        <f t="shared" ca="1" si="16"/>
        <v>1003.9290909090909</v>
      </c>
      <c r="BI21" s="175">
        <f t="shared" ref="BI21:BI45" ca="1" si="19">D21+IF(BB$17&lt;2,0,H21)+IF(BB$17&lt;3,0,L21)+IF(BB$17&lt;4,0,P21)+IF(BB$17&lt;5,0,T21)+IF(BB$17&lt;6,0,X21)+IF(BB$17&lt;7,0,AB21)+IF(BB$17&lt;8,0,AF21)+IF(BB$17&lt;9,0,AJ21)+IF(BB$17&lt;10,0,AN21)+IF(BB$17&lt;11,0,AR21)+IF(BB$17&lt;12,0,AV21)</f>
        <v>12834.92</v>
      </c>
      <c r="BJ21" s="40">
        <f t="shared" ca="1" si="17"/>
        <v>0.24735491440522286</v>
      </c>
      <c r="BK21" s="41">
        <f t="shared" ref="BK21:BK45" ca="1" si="20">_xlfn.RANK.EQ(BJ21,$BJ$20:$BJ$45,)</f>
        <v>1</v>
      </c>
      <c r="BL21" s="41">
        <f t="shared" ref="BL21:BL45" ca="1" si="21">BI21/BB$17</f>
        <v>1166.810909090909</v>
      </c>
    </row>
    <row r="22" spans="1:64" ht="16.5" thickBot="1">
      <c r="A22" s="45" t="s">
        <v>17</v>
      </c>
      <c r="B22" s="207">
        <v>0</v>
      </c>
      <c r="C22" s="26" t="s">
        <v>0</v>
      </c>
      <c r="D22" s="182">
        <f>'01'!B60</f>
        <v>400</v>
      </c>
      <c r="E22" s="182">
        <f>SUM('01'!D60:F60)</f>
        <v>446.3</v>
      </c>
      <c r="F22" s="183">
        <f t="shared" si="2"/>
        <v>-46.300000000000011</v>
      </c>
      <c r="G22" s="26" t="s">
        <v>1</v>
      </c>
      <c r="H22" s="182">
        <f>'02'!B60</f>
        <v>400</v>
      </c>
      <c r="I22" s="182">
        <f>SUM('02'!D60:F60)</f>
        <v>438.4</v>
      </c>
      <c r="J22" s="183">
        <f t="shared" si="3"/>
        <v>-84.699999999999989</v>
      </c>
      <c r="K22" s="26" t="s">
        <v>2</v>
      </c>
      <c r="L22" s="182">
        <f>'03'!B60</f>
        <v>471.46</v>
      </c>
      <c r="M22" s="182">
        <f>SUM('03'!D60:F60)</f>
        <v>423.7</v>
      </c>
      <c r="N22" s="183">
        <f t="shared" si="4"/>
        <v>-36.94</v>
      </c>
      <c r="O22" s="26" t="s">
        <v>3</v>
      </c>
      <c r="P22" s="182">
        <f>'04'!B60</f>
        <v>410</v>
      </c>
      <c r="Q22" s="182">
        <f>SUM('04'!D60:F60)</f>
        <v>606.42999999999995</v>
      </c>
      <c r="R22" s="183">
        <f t="shared" si="5"/>
        <v>-233.36999999999995</v>
      </c>
      <c r="S22" s="26" t="s">
        <v>99</v>
      </c>
      <c r="T22" s="182">
        <f>'05'!B60</f>
        <v>420</v>
      </c>
      <c r="U22" s="182">
        <f>SUM('05'!D60:F60)</f>
        <v>239.60999999999999</v>
      </c>
      <c r="V22" s="183">
        <f t="shared" si="6"/>
        <v>-52.979999999999933</v>
      </c>
      <c r="W22" s="26" t="s">
        <v>95</v>
      </c>
      <c r="X22" s="182">
        <f>'06'!B60</f>
        <v>478</v>
      </c>
      <c r="Y22" s="182">
        <f>SUM('06'!D60:F60)</f>
        <v>554.07000000000005</v>
      </c>
      <c r="Z22" s="183">
        <f t="shared" si="7"/>
        <v>-129.04999999999995</v>
      </c>
      <c r="AA22" s="26" t="s">
        <v>103</v>
      </c>
      <c r="AB22" s="182">
        <f>'07'!B60</f>
        <v>530</v>
      </c>
      <c r="AC22" s="182">
        <f>SUM('07'!D60:F60)</f>
        <v>389.21999999999997</v>
      </c>
      <c r="AD22" s="183">
        <f t="shared" si="8"/>
        <v>11.730000000000075</v>
      </c>
      <c r="AE22" s="26" t="s">
        <v>104</v>
      </c>
      <c r="AF22" s="182">
        <f>'08'!B60</f>
        <v>500</v>
      </c>
      <c r="AG22" s="182">
        <f>SUM('08'!D60:F60)</f>
        <v>415.88999999999993</v>
      </c>
      <c r="AH22" s="183">
        <f t="shared" si="9"/>
        <v>95.840000000000146</v>
      </c>
      <c r="AI22" s="26" t="s">
        <v>108</v>
      </c>
      <c r="AJ22" s="182">
        <f>'09'!B60</f>
        <v>460</v>
      </c>
      <c r="AK22" s="182">
        <f>SUM('09'!D60:F60)</f>
        <v>418.99999999999994</v>
      </c>
      <c r="AL22" s="183">
        <f t="shared" si="10"/>
        <v>136.8400000000002</v>
      </c>
      <c r="AM22" s="26" t="s">
        <v>109</v>
      </c>
      <c r="AN22" s="182">
        <f>'10'!B60</f>
        <v>490</v>
      </c>
      <c r="AO22" s="182">
        <f>SUM('10'!D60:F60)</f>
        <v>525.39</v>
      </c>
      <c r="AP22" s="183">
        <f t="shared" si="11"/>
        <v>101.45000000000016</v>
      </c>
      <c r="AQ22" s="26" t="s">
        <v>114</v>
      </c>
      <c r="AR22" s="182">
        <f>'11'!B60</f>
        <v>490</v>
      </c>
      <c r="AS22" s="182">
        <f>SUM('11'!D60:F60)</f>
        <v>161.07999999999998</v>
      </c>
      <c r="AT22" s="183">
        <f t="shared" si="12"/>
        <v>430.37000000000018</v>
      </c>
      <c r="AU22" s="26" t="s">
        <v>118</v>
      </c>
      <c r="AV22" s="182">
        <f>'12'!B60</f>
        <v>490</v>
      </c>
      <c r="AW22" s="182">
        <f>SUM('12'!D60:F60)</f>
        <v>0</v>
      </c>
      <c r="AX22" s="183">
        <f t="shared" si="13"/>
        <v>920.37000000000012</v>
      </c>
      <c r="AY22" s="42">
        <f t="shared" si="14"/>
        <v>4619.09</v>
      </c>
      <c r="AZ22" s="40">
        <f t="shared" si="15"/>
        <v>0.10131574098770285</v>
      </c>
      <c r="BA22" s="41">
        <f t="shared" si="18"/>
        <v>3</v>
      </c>
      <c r="BB22" s="41">
        <f t="shared" ca="1" si="16"/>
        <v>419.91727272727275</v>
      </c>
      <c r="BI22" s="39">
        <f t="shared" ca="1" si="19"/>
        <v>5049.46</v>
      </c>
      <c r="BJ22" s="40">
        <f t="shared" ca="1" si="17"/>
        <v>9.7313325372701709E-2</v>
      </c>
      <c r="BK22" s="41">
        <f t="shared" ca="1" si="20"/>
        <v>4</v>
      </c>
      <c r="BL22" s="41">
        <f t="shared" ca="1" si="21"/>
        <v>459.0418181818182</v>
      </c>
    </row>
    <row r="23" spans="1:64" ht="16.5" thickBot="1">
      <c r="A23" s="43" t="s">
        <v>18</v>
      </c>
      <c r="B23" s="206">
        <v>3.26</v>
      </c>
      <c r="C23" s="27" t="s">
        <v>0</v>
      </c>
      <c r="D23" s="179">
        <f>'01'!B80</f>
        <v>150</v>
      </c>
      <c r="E23" s="180">
        <f>SUM('01'!D80:F80)</f>
        <v>161.19</v>
      </c>
      <c r="F23" s="181">
        <f t="shared" si="2"/>
        <v>-7.9300000000000068</v>
      </c>
      <c r="G23" s="27" t="s">
        <v>1</v>
      </c>
      <c r="H23" s="179">
        <f>'02'!B80</f>
        <v>201</v>
      </c>
      <c r="I23" s="180">
        <f>SUM('02'!D80:F80)</f>
        <v>147.35</v>
      </c>
      <c r="J23" s="181">
        <f t="shared" si="3"/>
        <v>45.72</v>
      </c>
      <c r="K23" s="27" t="s">
        <v>2</v>
      </c>
      <c r="L23" s="179">
        <f>'03'!B80</f>
        <v>88.539999999999992</v>
      </c>
      <c r="M23" s="180">
        <f>SUM('03'!D80:F80)</f>
        <v>180.05</v>
      </c>
      <c r="N23" s="181">
        <f t="shared" si="4"/>
        <v>-45.79000000000002</v>
      </c>
      <c r="O23" s="27" t="s">
        <v>3</v>
      </c>
      <c r="P23" s="179">
        <f>'04'!B80</f>
        <v>150</v>
      </c>
      <c r="Q23" s="180">
        <f>SUM('04'!D80:F80)</f>
        <v>98.300000000000011</v>
      </c>
      <c r="R23" s="181">
        <f t="shared" si="5"/>
        <v>5.9099999999999682</v>
      </c>
      <c r="S23" s="27" t="s">
        <v>99</v>
      </c>
      <c r="T23" s="179">
        <f>'05'!B80</f>
        <v>373</v>
      </c>
      <c r="U23" s="180">
        <f>SUM('05'!D80:F80)</f>
        <v>373.97999999999996</v>
      </c>
      <c r="V23" s="181">
        <f t="shared" si="6"/>
        <v>4.9300000000000068</v>
      </c>
      <c r="W23" s="27" t="s">
        <v>95</v>
      </c>
      <c r="X23" s="179">
        <f>'06'!B80</f>
        <v>150</v>
      </c>
      <c r="Y23" s="180">
        <f>SUM('06'!D80:F80)</f>
        <v>226.57</v>
      </c>
      <c r="Z23" s="181">
        <f t="shared" si="7"/>
        <v>-71.639999999999986</v>
      </c>
      <c r="AA23" s="27" t="s">
        <v>103</v>
      </c>
      <c r="AB23" s="179">
        <f>'07'!B80</f>
        <v>221</v>
      </c>
      <c r="AC23" s="180">
        <f>SUM('07'!D80:F80)</f>
        <v>205.9</v>
      </c>
      <c r="AD23" s="181">
        <f t="shared" si="8"/>
        <v>-56.539999999999992</v>
      </c>
      <c r="AE23" s="27" t="s">
        <v>104</v>
      </c>
      <c r="AF23" s="179">
        <f>'08'!B80</f>
        <v>256.3</v>
      </c>
      <c r="AG23" s="180">
        <f>SUM('08'!D80:F80)</f>
        <v>258.8</v>
      </c>
      <c r="AH23" s="181">
        <f t="shared" si="9"/>
        <v>-59.039999999999992</v>
      </c>
      <c r="AI23" s="27" t="s">
        <v>108</v>
      </c>
      <c r="AJ23" s="179">
        <f>'09'!B80</f>
        <v>247.1</v>
      </c>
      <c r="AK23" s="180">
        <f>SUM('09'!D80:F80)</f>
        <v>117.00999999999999</v>
      </c>
      <c r="AL23" s="181">
        <f t="shared" si="10"/>
        <v>71.050000000000011</v>
      </c>
      <c r="AM23" s="27" t="s">
        <v>109</v>
      </c>
      <c r="AN23" s="179">
        <f>'10'!B80</f>
        <v>150</v>
      </c>
      <c r="AO23" s="180">
        <f>SUM('10'!D80:F80)</f>
        <v>211.79</v>
      </c>
      <c r="AP23" s="181">
        <f t="shared" si="11"/>
        <v>9.2600000000000193</v>
      </c>
      <c r="AQ23" s="27" t="s">
        <v>114</v>
      </c>
      <c r="AR23" s="179">
        <f>'11'!B80</f>
        <v>150</v>
      </c>
      <c r="AS23" s="180">
        <f>SUM('11'!D80:F80)</f>
        <v>110</v>
      </c>
      <c r="AT23" s="181">
        <f t="shared" si="12"/>
        <v>49.260000000000019</v>
      </c>
      <c r="AU23" s="27" t="s">
        <v>118</v>
      </c>
      <c r="AV23" s="179">
        <f>'12'!B80</f>
        <v>150</v>
      </c>
      <c r="AW23" s="180">
        <f>SUM('12'!D80:F80)</f>
        <v>0</v>
      </c>
      <c r="AX23" s="181">
        <f t="shared" si="13"/>
        <v>199.26000000000002</v>
      </c>
      <c r="AY23" s="44">
        <f t="shared" si="14"/>
        <v>2090.9399999999996</v>
      </c>
      <c r="AZ23" s="40">
        <f t="shared" si="15"/>
        <v>4.5862959037565265E-2</v>
      </c>
      <c r="BA23" s="41">
        <f t="shared" si="18"/>
        <v>7</v>
      </c>
      <c r="BB23" s="41">
        <f t="shared" ca="1" si="16"/>
        <v>190.0854545454545</v>
      </c>
      <c r="BI23" s="175">
        <f t="shared" ca="1" si="19"/>
        <v>2136.9399999999996</v>
      </c>
      <c r="BJ23" s="40">
        <f t="shared" ca="1" si="17"/>
        <v>4.1183163649566722E-2</v>
      </c>
      <c r="BK23" s="41">
        <f t="shared" ca="1" si="20"/>
        <v>8</v>
      </c>
      <c r="BL23" s="41">
        <f t="shared" ca="1" si="21"/>
        <v>194.26727272727268</v>
      </c>
    </row>
    <row r="24" spans="1:64" ht="16.5" thickBot="1">
      <c r="A24" s="45" t="s">
        <v>19</v>
      </c>
      <c r="B24" s="207">
        <v>74.56</v>
      </c>
      <c r="C24" s="26" t="s">
        <v>0</v>
      </c>
      <c r="D24" s="182">
        <f>'01'!B100</f>
        <v>150</v>
      </c>
      <c r="E24" s="182">
        <f>SUM('01'!D100:F100)</f>
        <v>158.34</v>
      </c>
      <c r="F24" s="183">
        <f t="shared" si="2"/>
        <v>66.22</v>
      </c>
      <c r="G24" s="26" t="s">
        <v>1</v>
      </c>
      <c r="H24" s="182">
        <f>'02'!B100</f>
        <v>150</v>
      </c>
      <c r="I24" s="182">
        <f>SUM('02'!D100:F100)</f>
        <v>182.92</v>
      </c>
      <c r="J24" s="183">
        <f t="shared" si="3"/>
        <v>33.300000000000011</v>
      </c>
      <c r="K24" s="26" t="s">
        <v>2</v>
      </c>
      <c r="L24" s="182">
        <f>'03'!B100</f>
        <v>150</v>
      </c>
      <c r="M24" s="182">
        <f>SUM('03'!D100:F100)</f>
        <v>142.01</v>
      </c>
      <c r="N24" s="183">
        <f t="shared" si="4"/>
        <v>41.29000000000002</v>
      </c>
      <c r="O24" s="26" t="s">
        <v>3</v>
      </c>
      <c r="P24" s="182">
        <f>'04'!B100</f>
        <v>150</v>
      </c>
      <c r="Q24" s="182">
        <f>SUM('04'!D100:F100)</f>
        <v>89.83</v>
      </c>
      <c r="R24" s="183">
        <f t="shared" si="5"/>
        <v>101.46000000000002</v>
      </c>
      <c r="S24" s="26" t="s">
        <v>99</v>
      </c>
      <c r="T24" s="182">
        <f>'05'!B100</f>
        <v>140</v>
      </c>
      <c r="U24" s="182">
        <f>SUM('05'!D100:F100)</f>
        <v>191.8</v>
      </c>
      <c r="V24" s="183">
        <f t="shared" si="6"/>
        <v>49.660000000000025</v>
      </c>
      <c r="W24" s="26" t="s">
        <v>95</v>
      </c>
      <c r="X24" s="182">
        <f>'06'!B100</f>
        <v>150</v>
      </c>
      <c r="Y24" s="182">
        <f>SUM('06'!D100:F100)</f>
        <v>152.04</v>
      </c>
      <c r="Z24" s="183">
        <f t="shared" si="7"/>
        <v>47.620000000000033</v>
      </c>
      <c r="AA24" s="26" t="s">
        <v>103</v>
      </c>
      <c r="AB24" s="182">
        <f>'07'!B100</f>
        <v>150</v>
      </c>
      <c r="AC24" s="182">
        <f>SUM('07'!D100:F100)</f>
        <v>159.55000000000001</v>
      </c>
      <c r="AD24" s="183">
        <f t="shared" si="8"/>
        <v>38.070000000000022</v>
      </c>
      <c r="AE24" s="26" t="s">
        <v>104</v>
      </c>
      <c r="AF24" s="182">
        <f>'08'!B100</f>
        <v>150</v>
      </c>
      <c r="AG24" s="182">
        <f>SUM('08'!D100:F100)</f>
        <v>164.92</v>
      </c>
      <c r="AH24" s="183">
        <f t="shared" si="9"/>
        <v>23.150000000000034</v>
      </c>
      <c r="AI24" s="26" t="s">
        <v>108</v>
      </c>
      <c r="AJ24" s="182">
        <f>'09'!B100</f>
        <v>152.9</v>
      </c>
      <c r="AK24" s="182">
        <f>SUM('09'!D100:F100)</f>
        <v>180.69000000000003</v>
      </c>
      <c r="AL24" s="183">
        <f t="shared" si="10"/>
        <v>-4.6399999999999864</v>
      </c>
      <c r="AM24" s="26" t="s">
        <v>109</v>
      </c>
      <c r="AN24" s="182">
        <f>'10'!B100</f>
        <v>160</v>
      </c>
      <c r="AO24" s="182">
        <f>SUM('10'!D100:F100)</f>
        <v>172.11999999999998</v>
      </c>
      <c r="AP24" s="183">
        <f t="shared" si="11"/>
        <v>-16.759999999999962</v>
      </c>
      <c r="AQ24" s="26" t="s">
        <v>114</v>
      </c>
      <c r="AR24" s="182">
        <f>'11'!B100</f>
        <v>165</v>
      </c>
      <c r="AS24" s="182">
        <f>SUM('11'!D100:F100)</f>
        <v>83.73</v>
      </c>
      <c r="AT24" s="183">
        <f t="shared" si="12"/>
        <v>64.510000000000034</v>
      </c>
      <c r="AU24" s="26" t="s">
        <v>118</v>
      </c>
      <c r="AV24" s="182">
        <f>'12'!B100</f>
        <v>160</v>
      </c>
      <c r="AW24" s="182">
        <f>SUM('12'!D100:F100)</f>
        <v>0</v>
      </c>
      <c r="AX24" s="183">
        <f t="shared" si="13"/>
        <v>224.51000000000005</v>
      </c>
      <c r="AY24" s="42">
        <f t="shared" si="14"/>
        <v>1677.95</v>
      </c>
      <c r="AZ24" s="40">
        <f t="shared" si="15"/>
        <v>3.680438086080072E-2</v>
      </c>
      <c r="BA24" s="41">
        <f t="shared" si="18"/>
        <v>9</v>
      </c>
      <c r="BB24" s="41">
        <f t="shared" ca="1" si="16"/>
        <v>152.54090909090908</v>
      </c>
      <c r="BI24" s="39">
        <f t="shared" ca="1" si="19"/>
        <v>1667.9</v>
      </c>
      <c r="BJ24" s="40">
        <f t="shared" ca="1" si="17"/>
        <v>3.2143812484726919E-2</v>
      </c>
      <c r="BK24" s="41">
        <f t="shared" ca="1" si="20"/>
        <v>9</v>
      </c>
      <c r="BL24" s="41">
        <f t="shared" ca="1" si="21"/>
        <v>151.62727272727273</v>
      </c>
    </row>
    <row r="25" spans="1:64" ht="16.5" thickBot="1">
      <c r="A25" s="43" t="s">
        <v>63</v>
      </c>
      <c r="B25" s="206">
        <v>3074.8199999999997</v>
      </c>
      <c r="C25" s="27" t="s">
        <v>0</v>
      </c>
      <c r="D25" s="179">
        <f>'01'!B120</f>
        <v>400</v>
      </c>
      <c r="E25" s="180">
        <f>SUM('01'!D120:F120)</f>
        <v>328.82000000000005</v>
      </c>
      <c r="F25" s="181">
        <f t="shared" si="2"/>
        <v>3145.9999999999995</v>
      </c>
      <c r="G25" s="27" t="s">
        <v>1</v>
      </c>
      <c r="H25" s="179">
        <f>'02'!B120</f>
        <v>400</v>
      </c>
      <c r="I25" s="180">
        <f>SUM('02'!D120:F120)</f>
        <v>328.82000000000005</v>
      </c>
      <c r="J25" s="181">
        <f t="shared" si="3"/>
        <v>3217.1799999999994</v>
      </c>
      <c r="K25" s="27" t="s">
        <v>2</v>
      </c>
      <c r="L25" s="179">
        <f>'03'!B120</f>
        <v>400</v>
      </c>
      <c r="M25" s="180">
        <f>SUM('03'!D120:F120)</f>
        <v>328.82000000000005</v>
      </c>
      <c r="N25" s="181">
        <f t="shared" si="4"/>
        <v>3288.3599999999992</v>
      </c>
      <c r="O25" s="27" t="s">
        <v>3</v>
      </c>
      <c r="P25" s="179">
        <f>'04'!B120</f>
        <v>400</v>
      </c>
      <c r="Q25" s="180">
        <f>SUM('04'!D120:F120)</f>
        <v>328.82000000000005</v>
      </c>
      <c r="R25" s="181">
        <f t="shared" si="5"/>
        <v>3359.5399999999991</v>
      </c>
      <c r="S25" s="27" t="s">
        <v>99</v>
      </c>
      <c r="T25" s="179">
        <f>'05'!B120</f>
        <v>400</v>
      </c>
      <c r="U25" s="180">
        <f>SUM('05'!D120:F120)</f>
        <v>328.82000000000005</v>
      </c>
      <c r="V25" s="181">
        <f t="shared" si="6"/>
        <v>3430.7199999999989</v>
      </c>
      <c r="W25" s="27" t="s">
        <v>95</v>
      </c>
      <c r="X25" s="179">
        <f>'06'!B120</f>
        <v>400</v>
      </c>
      <c r="Y25" s="180">
        <f>SUM('06'!D120:F120)</f>
        <v>328.82000000000005</v>
      </c>
      <c r="Z25" s="181">
        <f t="shared" si="7"/>
        <v>3501.8999999999987</v>
      </c>
      <c r="AA25" s="27" t="s">
        <v>103</v>
      </c>
      <c r="AB25" s="179">
        <f>'07'!B120</f>
        <v>400</v>
      </c>
      <c r="AC25" s="180">
        <f>SUM('07'!D120:F120)</f>
        <v>328.82000000000005</v>
      </c>
      <c r="AD25" s="181">
        <f t="shared" si="8"/>
        <v>3573.0799999999986</v>
      </c>
      <c r="AE25" s="27" t="s">
        <v>104</v>
      </c>
      <c r="AF25" s="179">
        <f>'08'!B120</f>
        <v>400</v>
      </c>
      <c r="AG25" s="180">
        <f>SUM('08'!D120:F120)</f>
        <v>328.82000000000005</v>
      </c>
      <c r="AH25" s="181">
        <f t="shared" si="9"/>
        <v>3644.2599999999984</v>
      </c>
      <c r="AI25" s="27" t="s">
        <v>108</v>
      </c>
      <c r="AJ25" s="179">
        <f>'09'!B120</f>
        <v>400</v>
      </c>
      <c r="AK25" s="180">
        <f>SUM('09'!D120:F120)</f>
        <v>330.82000000000005</v>
      </c>
      <c r="AL25" s="181">
        <f t="shared" si="10"/>
        <v>3713.4399999999982</v>
      </c>
      <c r="AM25" s="27" t="s">
        <v>109</v>
      </c>
      <c r="AN25" s="179">
        <f>'10'!B120</f>
        <v>400</v>
      </c>
      <c r="AO25" s="180">
        <f>SUM('10'!D120:F120)</f>
        <v>378.82000000000005</v>
      </c>
      <c r="AP25" s="181">
        <f t="shared" si="11"/>
        <v>3734.6199999999985</v>
      </c>
      <c r="AQ25" s="27" t="s">
        <v>114</v>
      </c>
      <c r="AR25" s="179">
        <f>'11'!B120</f>
        <v>400</v>
      </c>
      <c r="AS25" s="180">
        <f>SUM('11'!D120:F120)</f>
        <v>648.88000000000011</v>
      </c>
      <c r="AT25" s="181">
        <f t="shared" si="12"/>
        <v>3485.7399999999989</v>
      </c>
      <c r="AU25" s="27" t="s">
        <v>118</v>
      </c>
      <c r="AV25" s="179">
        <f>'12'!B120</f>
        <v>405</v>
      </c>
      <c r="AW25" s="180">
        <f>SUM('12'!D120:F120)</f>
        <v>0</v>
      </c>
      <c r="AX25" s="181">
        <f t="shared" si="13"/>
        <v>3890.7399999999989</v>
      </c>
      <c r="AY25" s="44">
        <f t="shared" si="14"/>
        <v>3989.0800000000013</v>
      </c>
      <c r="AZ25" s="40">
        <f t="shared" si="15"/>
        <v>8.7497016957718041E-2</v>
      </c>
      <c r="BA25" s="41">
        <f t="shared" si="18"/>
        <v>4</v>
      </c>
      <c r="BB25" s="41">
        <f t="shared" ca="1" si="16"/>
        <v>362.64363636363646</v>
      </c>
      <c r="BI25" s="175">
        <f t="shared" ca="1" si="19"/>
        <v>4400</v>
      </c>
      <c r="BJ25" s="40">
        <f t="shared" ca="1" si="17"/>
        <v>8.4796915242399684E-2</v>
      </c>
      <c r="BK25" s="41">
        <f t="shared" ca="1" si="20"/>
        <v>5</v>
      </c>
      <c r="BL25" s="41">
        <f t="shared" ca="1" si="21"/>
        <v>400</v>
      </c>
    </row>
    <row r="26" spans="1:64" ht="16.5" thickBot="1">
      <c r="A26" s="45" t="s">
        <v>64</v>
      </c>
      <c r="B26" s="207">
        <v>34.47</v>
      </c>
      <c r="C26" s="26" t="s">
        <v>0</v>
      </c>
      <c r="D26" s="182">
        <f>'01'!B140</f>
        <v>47.5</v>
      </c>
      <c r="E26" s="182">
        <f>SUM('01'!D140:F140)</f>
        <v>37.5</v>
      </c>
      <c r="F26" s="183">
        <f t="shared" si="2"/>
        <v>44.47</v>
      </c>
      <c r="G26" s="26" t="s">
        <v>1</v>
      </c>
      <c r="H26" s="182">
        <f>'02'!B140</f>
        <v>50</v>
      </c>
      <c r="I26" s="182">
        <f>SUM('02'!D140:F140)</f>
        <v>47.5</v>
      </c>
      <c r="J26" s="183">
        <f t="shared" si="3"/>
        <v>46.97</v>
      </c>
      <c r="K26" s="26" t="s">
        <v>2</v>
      </c>
      <c r="L26" s="182">
        <f>'03'!B140</f>
        <v>37.5</v>
      </c>
      <c r="M26" s="182">
        <f>SUM('03'!D140:F140)</f>
        <v>42.5</v>
      </c>
      <c r="N26" s="183">
        <f t="shared" si="4"/>
        <v>41.97</v>
      </c>
      <c r="O26" s="26" t="s">
        <v>3</v>
      </c>
      <c r="P26" s="182">
        <f>'04'!B140</f>
        <v>48</v>
      </c>
      <c r="Q26" s="182">
        <f>SUM('04'!D140:F140)</f>
        <v>60.49</v>
      </c>
      <c r="R26" s="183">
        <f t="shared" si="5"/>
        <v>29.479999999999997</v>
      </c>
      <c r="S26" s="26" t="s">
        <v>99</v>
      </c>
      <c r="T26" s="182">
        <f>'05'!B140</f>
        <v>48</v>
      </c>
      <c r="U26" s="182">
        <f>SUM('05'!D140:F140)</f>
        <v>35.5</v>
      </c>
      <c r="V26" s="183">
        <f t="shared" si="6"/>
        <v>41.97999999999999</v>
      </c>
      <c r="W26" s="26" t="s">
        <v>95</v>
      </c>
      <c r="X26" s="182">
        <f>'06'!B140</f>
        <v>48</v>
      </c>
      <c r="Y26" s="182">
        <f>SUM('06'!D140:F140)</f>
        <v>60.49</v>
      </c>
      <c r="Z26" s="183">
        <f t="shared" si="7"/>
        <v>29.489999999999988</v>
      </c>
      <c r="AA26" s="26" t="s">
        <v>103</v>
      </c>
      <c r="AB26" s="182">
        <f>'07'!B140</f>
        <v>48</v>
      </c>
      <c r="AC26" s="182">
        <f>SUM('07'!D140:F140)</f>
        <v>45.49</v>
      </c>
      <c r="AD26" s="183">
        <f t="shared" si="8"/>
        <v>31.999999999999979</v>
      </c>
      <c r="AE26" s="26" t="s">
        <v>104</v>
      </c>
      <c r="AF26" s="182">
        <f>'08'!B140</f>
        <v>48</v>
      </c>
      <c r="AG26" s="182">
        <f>SUM('08'!D140:F140)</f>
        <v>50.49</v>
      </c>
      <c r="AH26" s="183">
        <f t="shared" si="9"/>
        <v>29.50999999999997</v>
      </c>
      <c r="AI26" s="26" t="s">
        <v>108</v>
      </c>
      <c r="AJ26" s="182">
        <f>'09'!B140</f>
        <v>48</v>
      </c>
      <c r="AK26" s="182">
        <f>SUM('09'!D140:F140)</f>
        <v>60.49</v>
      </c>
      <c r="AL26" s="183">
        <f t="shared" si="10"/>
        <v>17.01999999999996</v>
      </c>
      <c r="AM26" s="26" t="s">
        <v>109</v>
      </c>
      <c r="AN26" s="182">
        <f>'10'!B140</f>
        <v>48</v>
      </c>
      <c r="AO26" s="182">
        <f>SUM('10'!D140:F140)</f>
        <v>50.49</v>
      </c>
      <c r="AP26" s="183">
        <f t="shared" si="11"/>
        <v>14.529999999999951</v>
      </c>
      <c r="AQ26" s="26" t="s">
        <v>114</v>
      </c>
      <c r="AR26" s="182">
        <f>'11'!B140</f>
        <v>48</v>
      </c>
      <c r="AS26" s="182">
        <f>SUM('11'!D140:F140)</f>
        <v>7.99</v>
      </c>
      <c r="AT26" s="183">
        <f t="shared" si="12"/>
        <v>54.539999999999949</v>
      </c>
      <c r="AU26" s="26" t="s">
        <v>118</v>
      </c>
      <c r="AV26" s="182">
        <f>'12'!B140</f>
        <v>48</v>
      </c>
      <c r="AW26" s="182">
        <f>SUM('12'!D140:F140)</f>
        <v>0</v>
      </c>
      <c r="AX26" s="183">
        <f t="shared" si="13"/>
        <v>102.53999999999995</v>
      </c>
      <c r="AY26" s="42">
        <f t="shared" si="14"/>
        <v>498.93000000000006</v>
      </c>
      <c r="AZ26" s="40">
        <f t="shared" si="15"/>
        <v>1.0943597689370544E-2</v>
      </c>
      <c r="BA26" s="41">
        <f t="shared" si="18"/>
        <v>16</v>
      </c>
      <c r="BB26" s="41">
        <f t="shared" ca="1" si="16"/>
        <v>45.357272727272736</v>
      </c>
      <c r="BI26" s="39">
        <f t="shared" ca="1" si="19"/>
        <v>519</v>
      </c>
      <c r="BJ26" s="40">
        <f t="shared" ca="1" si="17"/>
        <v>1.0002181593364872E-2</v>
      </c>
      <c r="BK26" s="41">
        <f t="shared" ca="1" si="20"/>
        <v>17</v>
      </c>
      <c r="BL26" s="41">
        <f t="shared" ca="1" si="21"/>
        <v>47.18181818181818</v>
      </c>
    </row>
    <row r="27" spans="1:64" ht="16.5" thickBot="1">
      <c r="A27" s="43" t="s">
        <v>20</v>
      </c>
      <c r="B27" s="208">
        <v>125.39</v>
      </c>
      <c r="C27" s="27" t="s">
        <v>0</v>
      </c>
      <c r="D27" s="179">
        <f>'01'!B160</f>
        <v>60</v>
      </c>
      <c r="E27" s="179">
        <f>SUM('01'!D160:F160)</f>
        <v>44.38</v>
      </c>
      <c r="F27" s="184">
        <f t="shared" si="2"/>
        <v>141.01</v>
      </c>
      <c r="G27" s="27" t="s">
        <v>1</v>
      </c>
      <c r="H27" s="179">
        <f>'02'!B160</f>
        <v>60</v>
      </c>
      <c r="I27" s="179">
        <f>SUM('02'!D160:F160)</f>
        <v>23.07</v>
      </c>
      <c r="J27" s="184">
        <f t="shared" si="3"/>
        <v>177.94</v>
      </c>
      <c r="K27" s="27" t="s">
        <v>2</v>
      </c>
      <c r="L27" s="179">
        <f>'03'!B160</f>
        <v>60</v>
      </c>
      <c r="M27" s="179">
        <f>SUM('03'!D160:F160)</f>
        <v>44.73</v>
      </c>
      <c r="N27" s="184">
        <f t="shared" si="4"/>
        <v>193.21</v>
      </c>
      <c r="O27" s="27" t="s">
        <v>3</v>
      </c>
      <c r="P27" s="179">
        <f>'04'!B160</f>
        <v>50</v>
      </c>
      <c r="Q27" s="179">
        <f>SUM('04'!D160:F160)</f>
        <v>103.28999999999999</v>
      </c>
      <c r="R27" s="184">
        <f t="shared" si="5"/>
        <v>139.92000000000002</v>
      </c>
      <c r="S27" s="27" t="s">
        <v>99</v>
      </c>
      <c r="T27" s="179">
        <f>'05'!B160</f>
        <v>50</v>
      </c>
      <c r="U27" s="179">
        <f>SUM('05'!D160:F160)</f>
        <v>0</v>
      </c>
      <c r="V27" s="184">
        <f t="shared" si="6"/>
        <v>189.92000000000002</v>
      </c>
      <c r="W27" s="27" t="s">
        <v>95</v>
      </c>
      <c r="X27" s="179">
        <f>'06'!B160</f>
        <v>50</v>
      </c>
      <c r="Y27" s="179">
        <f>SUM('06'!D160:F160)</f>
        <v>31.56</v>
      </c>
      <c r="Z27" s="184">
        <f t="shared" si="7"/>
        <v>208.36</v>
      </c>
      <c r="AA27" s="27" t="s">
        <v>103</v>
      </c>
      <c r="AB27" s="179">
        <f>'07'!B160</f>
        <v>50</v>
      </c>
      <c r="AC27" s="179">
        <f>SUM('07'!D160:F160)</f>
        <v>0</v>
      </c>
      <c r="AD27" s="184">
        <f t="shared" si="8"/>
        <v>258.36</v>
      </c>
      <c r="AE27" s="27" t="s">
        <v>104</v>
      </c>
      <c r="AF27" s="179">
        <f>'08'!B160</f>
        <v>50</v>
      </c>
      <c r="AG27" s="179">
        <f>SUM('08'!D160:F160)</f>
        <v>90.83</v>
      </c>
      <c r="AH27" s="184">
        <f t="shared" si="9"/>
        <v>217.53000000000003</v>
      </c>
      <c r="AI27" s="27" t="s">
        <v>108</v>
      </c>
      <c r="AJ27" s="179">
        <f>'09'!B160</f>
        <v>50</v>
      </c>
      <c r="AK27" s="179">
        <f>SUM('09'!D160:F160)</f>
        <v>0</v>
      </c>
      <c r="AL27" s="184">
        <f t="shared" si="10"/>
        <v>267.53000000000003</v>
      </c>
      <c r="AM27" s="27" t="s">
        <v>109</v>
      </c>
      <c r="AN27" s="179">
        <f>'10'!B160</f>
        <v>50</v>
      </c>
      <c r="AO27" s="179">
        <f>SUM('10'!D160:F160)</f>
        <v>60.42</v>
      </c>
      <c r="AP27" s="184">
        <f t="shared" si="11"/>
        <v>257.11</v>
      </c>
      <c r="AQ27" s="27" t="s">
        <v>114</v>
      </c>
      <c r="AR27" s="179">
        <f>'11'!B160</f>
        <v>50</v>
      </c>
      <c r="AS27" s="179">
        <f>SUM('11'!D160:F160)</f>
        <v>14.56</v>
      </c>
      <c r="AT27" s="184">
        <f t="shared" si="12"/>
        <v>292.55</v>
      </c>
      <c r="AU27" s="27" t="s">
        <v>118</v>
      </c>
      <c r="AV27" s="179">
        <f>'12'!B160</f>
        <v>50</v>
      </c>
      <c r="AW27" s="179">
        <f>SUM('12'!D160:F160)</f>
        <v>0</v>
      </c>
      <c r="AX27" s="184">
        <f t="shared" si="13"/>
        <v>342.55</v>
      </c>
      <c r="AY27" s="44">
        <f t="shared" si="14"/>
        <v>412.84000000000003</v>
      </c>
      <c r="AZ27" s="40">
        <f t="shared" si="15"/>
        <v>9.0552880566005956E-3</v>
      </c>
      <c r="BA27" s="41">
        <f t="shared" si="18"/>
        <v>17</v>
      </c>
      <c r="BB27" s="41">
        <f t="shared" ca="1" si="16"/>
        <v>37.530909090909091</v>
      </c>
      <c r="BI27" s="175">
        <f t="shared" ca="1" si="19"/>
        <v>580</v>
      </c>
      <c r="BJ27" s="40">
        <f t="shared" ca="1" si="17"/>
        <v>1.1177775191043595E-2</v>
      </c>
      <c r="BK27" s="41">
        <f t="shared" ca="1" si="20"/>
        <v>15</v>
      </c>
      <c r="BL27" s="41">
        <f t="shared" ca="1" si="21"/>
        <v>52.727272727272727</v>
      </c>
    </row>
    <row r="28" spans="1:64" ht="16.5" thickBot="1">
      <c r="A28" s="45" t="s">
        <v>21</v>
      </c>
      <c r="B28" s="205">
        <v>12.36</v>
      </c>
      <c r="C28" s="26" t="s">
        <v>0</v>
      </c>
      <c r="D28" s="182">
        <f>'01'!B180</f>
        <v>900</v>
      </c>
      <c r="E28" s="182">
        <f>SUM('01'!D180:F180)</f>
        <v>1057.42</v>
      </c>
      <c r="F28" s="185">
        <f t="shared" si="2"/>
        <v>-145.06000000000006</v>
      </c>
      <c r="G28" s="26" t="s">
        <v>1</v>
      </c>
      <c r="H28" s="182">
        <f>'02'!B180</f>
        <v>647.43000000000006</v>
      </c>
      <c r="I28" s="182">
        <f>SUM('02'!D180:F180)</f>
        <v>447.43</v>
      </c>
      <c r="J28" s="185">
        <f t="shared" si="3"/>
        <v>54.94</v>
      </c>
      <c r="K28" s="26" t="s">
        <v>2</v>
      </c>
      <c r="L28" s="182">
        <f>'03'!B180</f>
        <v>200</v>
      </c>
      <c r="M28" s="182">
        <f>SUM('03'!D180:F180)</f>
        <v>140</v>
      </c>
      <c r="N28" s="185">
        <f t="shared" si="4"/>
        <v>114.94</v>
      </c>
      <c r="O28" s="26" t="s">
        <v>3</v>
      </c>
      <c r="P28" s="182">
        <f>'04'!B180</f>
        <v>280.10000000000002</v>
      </c>
      <c r="Q28" s="182">
        <f>SUM('04'!D180:F180)</f>
        <v>182.6</v>
      </c>
      <c r="R28" s="185">
        <f t="shared" si="5"/>
        <v>212.44000000000003</v>
      </c>
      <c r="S28" s="26" t="s">
        <v>99</v>
      </c>
      <c r="T28" s="182">
        <f>'05'!B180</f>
        <v>200</v>
      </c>
      <c r="U28" s="182">
        <f>SUM('05'!D180:F180)</f>
        <v>0</v>
      </c>
      <c r="V28" s="185">
        <f t="shared" si="6"/>
        <v>412.44000000000005</v>
      </c>
      <c r="W28" s="26" t="s">
        <v>95</v>
      </c>
      <c r="X28" s="182">
        <f>'06'!B180</f>
        <v>200</v>
      </c>
      <c r="Y28" s="182">
        <f>SUM('06'!D180:F180)</f>
        <v>318.27999999999997</v>
      </c>
      <c r="Z28" s="185">
        <f t="shared" si="7"/>
        <v>294.16000000000008</v>
      </c>
      <c r="AA28" s="26" t="s">
        <v>103</v>
      </c>
      <c r="AB28" s="182">
        <f>'07'!B180</f>
        <v>200</v>
      </c>
      <c r="AC28" s="182">
        <f>SUM('07'!D180:F180)</f>
        <v>9.5</v>
      </c>
      <c r="AD28" s="185">
        <f t="shared" si="8"/>
        <v>484.66000000000008</v>
      </c>
      <c r="AE28" s="26" t="s">
        <v>104</v>
      </c>
      <c r="AF28" s="182">
        <f>'08'!B180</f>
        <v>200</v>
      </c>
      <c r="AG28" s="182">
        <f>SUM('08'!D180:F180)</f>
        <v>304.88</v>
      </c>
      <c r="AH28" s="185">
        <f t="shared" si="9"/>
        <v>379.78000000000009</v>
      </c>
      <c r="AI28" s="26" t="s">
        <v>108</v>
      </c>
      <c r="AJ28" s="182">
        <f>'09'!B180</f>
        <v>200</v>
      </c>
      <c r="AK28" s="182">
        <f>SUM('09'!D180:F180)</f>
        <v>1038.21</v>
      </c>
      <c r="AL28" s="185">
        <f t="shared" si="10"/>
        <v>-458.42999999999995</v>
      </c>
      <c r="AM28" s="26" t="s">
        <v>109</v>
      </c>
      <c r="AN28" s="182">
        <f>'10'!B180</f>
        <v>240</v>
      </c>
      <c r="AO28" s="182">
        <f>SUM('10'!D180:F180)</f>
        <v>0</v>
      </c>
      <c r="AP28" s="185">
        <f t="shared" si="11"/>
        <v>-218.42999999999995</v>
      </c>
      <c r="AQ28" s="26" t="s">
        <v>114</v>
      </c>
      <c r="AR28" s="182">
        <f>'11'!B180</f>
        <v>210</v>
      </c>
      <c r="AS28" s="182">
        <f>SUM('11'!D180:F180)</f>
        <v>0</v>
      </c>
      <c r="AT28" s="185">
        <f t="shared" si="12"/>
        <v>-8.42999999999995</v>
      </c>
      <c r="AU28" s="26" t="s">
        <v>118</v>
      </c>
      <c r="AV28" s="182">
        <f>'12'!B180</f>
        <v>200</v>
      </c>
      <c r="AW28" s="182">
        <f>SUM('12'!D180:F180)</f>
        <v>0</v>
      </c>
      <c r="AX28" s="185">
        <f t="shared" si="13"/>
        <v>191.57000000000005</v>
      </c>
      <c r="AY28" s="39">
        <f t="shared" ref="AY28:AY45" si="22">E28+I28+M28+Q28+U28+Y28+AC28+AG28+AK28+AO28+AS28+AW28</f>
        <v>3498.32</v>
      </c>
      <c r="AZ28" s="40">
        <f t="shared" si="15"/>
        <v>7.6732621146611266E-2</v>
      </c>
      <c r="BA28" s="41">
        <f t="shared" si="18"/>
        <v>5</v>
      </c>
      <c r="BB28" s="41">
        <f t="shared" ca="1" si="16"/>
        <v>318.02909090909094</v>
      </c>
      <c r="BI28" s="39">
        <f t="shared" ca="1" si="19"/>
        <v>3477.53</v>
      </c>
      <c r="BJ28" s="40">
        <f t="shared" ca="1" si="17"/>
        <v>6.7019049241568679E-2</v>
      </c>
      <c r="BK28" s="41">
        <f t="shared" ca="1" si="20"/>
        <v>6</v>
      </c>
      <c r="BL28" s="41">
        <f t="shared" ca="1" si="21"/>
        <v>316.13909090909095</v>
      </c>
    </row>
    <row r="29" spans="1:64" ht="16.5" thickBot="1">
      <c r="A29" s="43" t="s">
        <v>22</v>
      </c>
      <c r="B29" s="206">
        <v>216.28000000000003</v>
      </c>
      <c r="C29" s="27" t="s">
        <v>0</v>
      </c>
      <c r="D29" s="179">
        <f>'01'!B200</f>
        <v>50</v>
      </c>
      <c r="E29" s="180">
        <f>SUM('01'!D200:F200)</f>
        <v>218.53</v>
      </c>
      <c r="F29" s="186">
        <f t="shared" si="2"/>
        <v>47.750000000000028</v>
      </c>
      <c r="G29" s="27" t="s">
        <v>1</v>
      </c>
      <c r="H29" s="179">
        <f>'02'!B200</f>
        <v>50</v>
      </c>
      <c r="I29" s="180">
        <f>SUM('02'!D200:F200)</f>
        <v>58.319999999999993</v>
      </c>
      <c r="J29" s="186">
        <f t="shared" si="3"/>
        <v>39.430000000000035</v>
      </c>
      <c r="K29" s="27" t="s">
        <v>2</v>
      </c>
      <c r="L29" s="179">
        <f>'03'!B200</f>
        <v>50</v>
      </c>
      <c r="M29" s="180">
        <f>SUM('03'!D200:F200)</f>
        <v>144.17000000000002</v>
      </c>
      <c r="N29" s="186">
        <f t="shared" si="4"/>
        <v>-54.739999999999981</v>
      </c>
      <c r="O29" s="27" t="s">
        <v>3</v>
      </c>
      <c r="P29" s="179">
        <f>'04'!B200</f>
        <v>60</v>
      </c>
      <c r="Q29" s="180">
        <f>SUM('04'!D200:F200)</f>
        <v>86</v>
      </c>
      <c r="R29" s="186">
        <f t="shared" si="5"/>
        <v>-80.739999999999981</v>
      </c>
      <c r="S29" s="27" t="s">
        <v>99</v>
      </c>
      <c r="T29" s="179">
        <f>'05'!B200</f>
        <v>60</v>
      </c>
      <c r="U29" s="180">
        <f>SUM('05'!D200:F200)</f>
        <v>108.25</v>
      </c>
      <c r="V29" s="186">
        <f t="shared" si="6"/>
        <v>-128.98999999999998</v>
      </c>
      <c r="W29" s="27" t="s">
        <v>95</v>
      </c>
      <c r="X29" s="179">
        <f>'06'!B200</f>
        <v>60</v>
      </c>
      <c r="Y29" s="180">
        <f>SUM('06'!D200:F200)</f>
        <v>14.99</v>
      </c>
      <c r="Z29" s="186">
        <f t="shared" si="7"/>
        <v>-83.979999999999976</v>
      </c>
      <c r="AA29" s="27" t="s">
        <v>103</v>
      </c>
      <c r="AB29" s="179">
        <f>'07'!B200</f>
        <v>60</v>
      </c>
      <c r="AC29" s="180">
        <f>SUM('07'!D200:F200)</f>
        <v>120.06999999999998</v>
      </c>
      <c r="AD29" s="186">
        <f t="shared" si="8"/>
        <v>-144.04999999999995</v>
      </c>
      <c r="AE29" s="27" t="s">
        <v>104</v>
      </c>
      <c r="AF29" s="179">
        <f>'08'!B200</f>
        <v>214.05</v>
      </c>
      <c r="AG29" s="180">
        <f>SUM('08'!D200:F200)</f>
        <v>25</v>
      </c>
      <c r="AH29" s="186">
        <f t="shared" si="9"/>
        <v>45.000000000000057</v>
      </c>
      <c r="AI29" s="27" t="s">
        <v>108</v>
      </c>
      <c r="AJ29" s="179">
        <f>'09'!B200</f>
        <v>70</v>
      </c>
      <c r="AK29" s="180">
        <f>SUM('09'!D200:F200)</f>
        <v>53.8</v>
      </c>
      <c r="AL29" s="186">
        <f t="shared" si="10"/>
        <v>61.20000000000006</v>
      </c>
      <c r="AM29" s="27" t="s">
        <v>109</v>
      </c>
      <c r="AN29" s="179">
        <f>'10'!B200</f>
        <v>70</v>
      </c>
      <c r="AO29" s="180">
        <f>SUM('10'!D200:F200)</f>
        <v>91.49</v>
      </c>
      <c r="AP29" s="186">
        <f t="shared" si="11"/>
        <v>39.710000000000051</v>
      </c>
      <c r="AQ29" s="27" t="s">
        <v>114</v>
      </c>
      <c r="AR29" s="179">
        <f>'11'!B200</f>
        <v>70</v>
      </c>
      <c r="AS29" s="180">
        <f>SUM('11'!D200:F200)</f>
        <v>0</v>
      </c>
      <c r="AT29" s="186">
        <f t="shared" si="12"/>
        <v>109.71000000000005</v>
      </c>
      <c r="AU29" s="27" t="s">
        <v>118</v>
      </c>
      <c r="AV29" s="179">
        <f>'12'!B200</f>
        <v>70</v>
      </c>
      <c r="AW29" s="180">
        <f>SUM('12'!D200:F200)</f>
        <v>0</v>
      </c>
      <c r="AX29" s="186">
        <f t="shared" si="13"/>
        <v>179.71000000000004</v>
      </c>
      <c r="AY29" s="44">
        <f t="shared" si="22"/>
        <v>920.61999999999989</v>
      </c>
      <c r="AZ29" s="40">
        <f t="shared" si="15"/>
        <v>2.0193002835644895E-2</v>
      </c>
      <c r="BA29" s="41">
        <f t="shared" si="18"/>
        <v>11</v>
      </c>
      <c r="BB29" s="41">
        <f t="shared" ca="1" si="16"/>
        <v>83.692727272727268</v>
      </c>
      <c r="BI29" s="175">
        <f t="shared" ca="1" si="19"/>
        <v>814.05</v>
      </c>
      <c r="BJ29" s="40">
        <f t="shared" ca="1" si="17"/>
        <v>1.5688392921153513E-2</v>
      </c>
      <c r="BK29" s="41">
        <f t="shared" ca="1" si="20"/>
        <v>12</v>
      </c>
      <c r="BL29" s="41">
        <f t="shared" ca="1" si="21"/>
        <v>74.00454545454545</v>
      </c>
    </row>
    <row r="30" spans="1:64" ht="16.5" thickBot="1">
      <c r="A30" s="45" t="s">
        <v>23</v>
      </c>
      <c r="B30" s="207">
        <v>43.870000000000005</v>
      </c>
      <c r="C30" s="26" t="s">
        <v>0</v>
      </c>
      <c r="D30" s="182">
        <f>'01'!B220</f>
        <v>35</v>
      </c>
      <c r="E30" s="182">
        <f>SUM('01'!D220:F220)</f>
        <v>122.37</v>
      </c>
      <c r="F30" s="187">
        <f t="shared" si="2"/>
        <v>-43.5</v>
      </c>
      <c r="G30" s="26" t="s">
        <v>1</v>
      </c>
      <c r="H30" s="182">
        <f>'02'!B220</f>
        <v>35</v>
      </c>
      <c r="I30" s="182">
        <f>SUM('02'!D220:F220)</f>
        <v>0</v>
      </c>
      <c r="J30" s="187">
        <f t="shared" si="3"/>
        <v>-8.5</v>
      </c>
      <c r="K30" s="26" t="s">
        <v>2</v>
      </c>
      <c r="L30" s="182">
        <f>'03'!B220</f>
        <v>35</v>
      </c>
      <c r="M30" s="182">
        <f>SUM('03'!D220:F220)</f>
        <v>40</v>
      </c>
      <c r="N30" s="187">
        <f t="shared" si="4"/>
        <v>-13.5</v>
      </c>
      <c r="O30" s="26" t="s">
        <v>3</v>
      </c>
      <c r="P30" s="182">
        <f>'04'!B220</f>
        <v>35</v>
      </c>
      <c r="Q30" s="182">
        <f>SUM('04'!D220:F220)</f>
        <v>31.54</v>
      </c>
      <c r="R30" s="187">
        <f t="shared" si="5"/>
        <v>-10.039999999999999</v>
      </c>
      <c r="S30" s="26" t="s">
        <v>99</v>
      </c>
      <c r="T30" s="182">
        <f>'05'!B220</f>
        <v>35</v>
      </c>
      <c r="U30" s="182">
        <f>SUM('05'!D220:F220)</f>
        <v>0</v>
      </c>
      <c r="V30" s="187">
        <f t="shared" si="6"/>
        <v>24.96</v>
      </c>
      <c r="W30" s="26" t="s">
        <v>95</v>
      </c>
      <c r="X30" s="182">
        <f>'06'!B220</f>
        <v>35</v>
      </c>
      <c r="Y30" s="182">
        <f>SUM('06'!D220:F220)</f>
        <v>44.87</v>
      </c>
      <c r="Z30" s="187">
        <f t="shared" si="7"/>
        <v>15.090000000000003</v>
      </c>
      <c r="AA30" s="26" t="s">
        <v>103</v>
      </c>
      <c r="AB30" s="182">
        <f>'07'!B220</f>
        <v>35</v>
      </c>
      <c r="AC30" s="182">
        <f>SUM('07'!D220:F220)</f>
        <v>10.050000000000001</v>
      </c>
      <c r="AD30" s="187">
        <f t="shared" si="8"/>
        <v>40.040000000000006</v>
      </c>
      <c r="AE30" s="26" t="s">
        <v>104</v>
      </c>
      <c r="AF30" s="182">
        <f>'08'!B220</f>
        <v>35</v>
      </c>
      <c r="AG30" s="182">
        <f>SUM('08'!D220:F220)</f>
        <v>77.38</v>
      </c>
      <c r="AH30" s="187">
        <f t="shared" si="9"/>
        <v>-2.3399999999999892</v>
      </c>
      <c r="AI30" s="26" t="s">
        <v>108</v>
      </c>
      <c r="AJ30" s="182">
        <f>'09'!B220</f>
        <v>35</v>
      </c>
      <c r="AK30" s="182">
        <f>SUM('09'!D220:F220)</f>
        <v>0</v>
      </c>
      <c r="AL30" s="187">
        <f t="shared" si="10"/>
        <v>32.660000000000011</v>
      </c>
      <c r="AM30" s="26" t="s">
        <v>109</v>
      </c>
      <c r="AN30" s="182">
        <f>'10'!B220</f>
        <v>35</v>
      </c>
      <c r="AO30" s="182">
        <f>SUM('10'!D220:F220)</f>
        <v>25.35</v>
      </c>
      <c r="AP30" s="187">
        <f t="shared" si="11"/>
        <v>42.310000000000009</v>
      </c>
      <c r="AQ30" s="26" t="s">
        <v>114</v>
      </c>
      <c r="AR30" s="182">
        <f>'11'!B220</f>
        <v>35</v>
      </c>
      <c r="AS30" s="182">
        <f>SUM('11'!D220:F220)</f>
        <v>3.58</v>
      </c>
      <c r="AT30" s="187">
        <f t="shared" si="12"/>
        <v>73.73</v>
      </c>
      <c r="AU30" s="26" t="s">
        <v>118</v>
      </c>
      <c r="AV30" s="182">
        <f>'12'!B220</f>
        <v>35</v>
      </c>
      <c r="AW30" s="182">
        <f>SUM('12'!D220:F220)</f>
        <v>0</v>
      </c>
      <c r="AX30" s="187">
        <f t="shared" si="13"/>
        <v>108.73</v>
      </c>
      <c r="AY30" s="42">
        <f t="shared" si="22"/>
        <v>355.14000000000004</v>
      </c>
      <c r="AZ30" s="40">
        <f t="shared" si="15"/>
        <v>7.7896885001965304E-3</v>
      </c>
      <c r="BA30" s="41">
        <f t="shared" si="18"/>
        <v>18</v>
      </c>
      <c r="BB30" s="41">
        <f t="shared" ca="1" si="16"/>
        <v>32.285454545454549</v>
      </c>
      <c r="BI30" s="39">
        <f t="shared" ca="1" si="19"/>
        <v>385</v>
      </c>
      <c r="BJ30" s="40">
        <f t="shared" ca="1" si="17"/>
        <v>7.4197300837099732E-3</v>
      </c>
      <c r="BK30" s="41">
        <f t="shared" ca="1" si="20"/>
        <v>20</v>
      </c>
      <c r="BL30" s="41">
        <f t="shared" ca="1" si="21"/>
        <v>35</v>
      </c>
    </row>
    <row r="31" spans="1:64" ht="16.5" thickBot="1">
      <c r="A31" s="43" t="s">
        <v>24</v>
      </c>
      <c r="B31" s="206">
        <v>132</v>
      </c>
      <c r="C31" s="27" t="s">
        <v>0</v>
      </c>
      <c r="D31" s="179">
        <f>'01'!B240</f>
        <v>70</v>
      </c>
      <c r="E31" s="180">
        <f>SUM('01'!D240:F240)</f>
        <v>140</v>
      </c>
      <c r="F31" s="186">
        <f t="shared" si="2"/>
        <v>62</v>
      </c>
      <c r="G31" s="27" t="s">
        <v>1</v>
      </c>
      <c r="H31" s="179">
        <f>'02'!B240</f>
        <v>70</v>
      </c>
      <c r="I31" s="180">
        <f>SUM('02'!D240:F240)</f>
        <v>20</v>
      </c>
      <c r="J31" s="186">
        <f t="shared" si="3"/>
        <v>112</v>
      </c>
      <c r="K31" s="27" t="s">
        <v>2</v>
      </c>
      <c r="L31" s="179">
        <f>'03'!B240</f>
        <v>85</v>
      </c>
      <c r="M31" s="180">
        <f>SUM('03'!D240:F240)</f>
        <v>200</v>
      </c>
      <c r="N31" s="186">
        <f t="shared" si="4"/>
        <v>-3</v>
      </c>
      <c r="O31" s="27" t="s">
        <v>3</v>
      </c>
      <c r="P31" s="179">
        <f>'04'!B240</f>
        <v>85</v>
      </c>
      <c r="Q31" s="180">
        <f>SUM('04'!D240:F240)</f>
        <v>20</v>
      </c>
      <c r="R31" s="186">
        <f t="shared" si="5"/>
        <v>62</v>
      </c>
      <c r="S31" s="27" t="s">
        <v>99</v>
      </c>
      <c r="T31" s="179">
        <f>'05'!B240</f>
        <v>85</v>
      </c>
      <c r="U31" s="180">
        <f>SUM('05'!D240:F240)</f>
        <v>20</v>
      </c>
      <c r="V31" s="186">
        <f t="shared" si="6"/>
        <v>127</v>
      </c>
      <c r="W31" s="27" t="s">
        <v>95</v>
      </c>
      <c r="X31" s="179">
        <f>'06'!B240</f>
        <v>90</v>
      </c>
      <c r="Y31" s="180">
        <f>SUM('06'!D240:F240)</f>
        <v>215</v>
      </c>
      <c r="Z31" s="186">
        <f t="shared" si="7"/>
        <v>2</v>
      </c>
      <c r="AA31" s="27" t="s">
        <v>103</v>
      </c>
      <c r="AB31" s="179">
        <f>'07'!B240</f>
        <v>90</v>
      </c>
      <c r="AC31" s="180">
        <f>SUM('07'!D240:F240)</f>
        <v>20</v>
      </c>
      <c r="AD31" s="186">
        <f t="shared" si="8"/>
        <v>72</v>
      </c>
      <c r="AE31" s="27" t="s">
        <v>104</v>
      </c>
      <c r="AF31" s="179">
        <f>'08'!B240</f>
        <v>25</v>
      </c>
      <c r="AG31" s="180">
        <f>SUM('08'!D240:F240)</f>
        <v>0</v>
      </c>
      <c r="AH31" s="186">
        <f t="shared" si="9"/>
        <v>97</v>
      </c>
      <c r="AI31" s="27" t="s">
        <v>108</v>
      </c>
      <c r="AJ31" s="179">
        <f>'09'!B240</f>
        <v>20</v>
      </c>
      <c r="AK31" s="180">
        <f>SUM('09'!D240:F240)</f>
        <v>40</v>
      </c>
      <c r="AL31" s="186">
        <f t="shared" si="10"/>
        <v>77</v>
      </c>
      <c r="AM31" s="27" t="s">
        <v>109</v>
      </c>
      <c r="AN31" s="179">
        <f>'10'!B240</f>
        <v>20</v>
      </c>
      <c r="AO31" s="180">
        <f>SUM('10'!D240:F240)</f>
        <v>19.989999999999998</v>
      </c>
      <c r="AP31" s="186">
        <f t="shared" si="11"/>
        <v>77.010000000000005</v>
      </c>
      <c r="AQ31" s="27" t="s">
        <v>114</v>
      </c>
      <c r="AR31" s="179">
        <f>'11'!B240</f>
        <v>20</v>
      </c>
      <c r="AS31" s="180">
        <f>SUM('11'!D240:F240)</f>
        <v>0</v>
      </c>
      <c r="AT31" s="186">
        <f t="shared" si="12"/>
        <v>97.01</v>
      </c>
      <c r="AU31" s="27" t="s">
        <v>118</v>
      </c>
      <c r="AV31" s="179">
        <f>'12'!B240</f>
        <v>20</v>
      </c>
      <c r="AW31" s="180">
        <f>SUM('12'!D240:F240)</f>
        <v>0</v>
      </c>
      <c r="AX31" s="186">
        <f t="shared" si="13"/>
        <v>117.01</v>
      </c>
      <c r="AY31" s="44">
        <f t="shared" si="22"/>
        <v>694.99</v>
      </c>
      <c r="AZ31" s="40">
        <f t="shared" si="15"/>
        <v>1.5244004085013195E-2</v>
      </c>
      <c r="BA31" s="41">
        <f t="shared" si="18"/>
        <v>13</v>
      </c>
      <c r="BB31" s="41">
        <f t="shared" ca="1" si="16"/>
        <v>63.18090909090909</v>
      </c>
      <c r="BI31" s="175">
        <f t="shared" ca="1" si="19"/>
        <v>660</v>
      </c>
      <c r="BJ31" s="40">
        <f t="shared" ca="1" si="17"/>
        <v>1.2719537286359954E-2</v>
      </c>
      <c r="BK31" s="41">
        <f t="shared" ca="1" si="20"/>
        <v>14</v>
      </c>
      <c r="BL31" s="41">
        <f t="shared" ca="1" si="21"/>
        <v>60</v>
      </c>
    </row>
    <row r="32" spans="1:64" ht="16.5" thickBot="1">
      <c r="A32" s="45" t="s">
        <v>204</v>
      </c>
      <c r="B32" s="207">
        <v>0</v>
      </c>
      <c r="C32" s="26" t="s">
        <v>0</v>
      </c>
      <c r="D32" s="182">
        <f>'01'!B260</f>
        <v>50</v>
      </c>
      <c r="E32" s="182">
        <f>SUM('01'!D260:F260)</f>
        <v>167.38</v>
      </c>
      <c r="F32" s="187">
        <f t="shared" si="2"/>
        <v>-117.38</v>
      </c>
      <c r="G32" s="26" t="s">
        <v>1</v>
      </c>
      <c r="H32" s="182">
        <f>'02'!B260</f>
        <v>50</v>
      </c>
      <c r="I32" s="182">
        <f>SUM('02'!D260:F260)</f>
        <v>65.16</v>
      </c>
      <c r="J32" s="187">
        <f t="shared" si="3"/>
        <v>-132.54</v>
      </c>
      <c r="K32" s="26" t="s">
        <v>2</v>
      </c>
      <c r="L32" s="182">
        <f>'03'!B260</f>
        <v>70</v>
      </c>
      <c r="M32" s="182">
        <f>SUM('03'!D260:F260)</f>
        <v>26.520000000000003</v>
      </c>
      <c r="N32" s="187">
        <f t="shared" si="4"/>
        <v>-89.06</v>
      </c>
      <c r="O32" s="26" t="s">
        <v>3</v>
      </c>
      <c r="P32" s="182">
        <f>'04'!B260</f>
        <v>70</v>
      </c>
      <c r="Q32" s="182">
        <f>SUM('04'!D260:F260)</f>
        <v>195.24</v>
      </c>
      <c r="R32" s="187">
        <f t="shared" si="5"/>
        <v>-214.3</v>
      </c>
      <c r="S32" s="26" t="s">
        <v>99</v>
      </c>
      <c r="T32" s="182">
        <f>'05'!B260</f>
        <v>80</v>
      </c>
      <c r="U32" s="182">
        <f>SUM('05'!D260:F260)</f>
        <v>87.43</v>
      </c>
      <c r="V32" s="187">
        <f t="shared" si="6"/>
        <v>-221.73000000000002</v>
      </c>
      <c r="W32" s="26" t="s">
        <v>95</v>
      </c>
      <c r="X32" s="182">
        <f>'06'!B260</f>
        <v>80</v>
      </c>
      <c r="Y32" s="182">
        <f>SUM('06'!D260:F260)</f>
        <v>2.38</v>
      </c>
      <c r="Z32" s="187">
        <f t="shared" si="7"/>
        <v>-144.11000000000001</v>
      </c>
      <c r="AA32" s="26" t="s">
        <v>103</v>
      </c>
      <c r="AB32" s="182">
        <f>'07'!B260</f>
        <v>80</v>
      </c>
      <c r="AC32" s="182">
        <f>SUM('07'!D260:F260)</f>
        <v>502.48</v>
      </c>
      <c r="AD32" s="187">
        <f t="shared" si="8"/>
        <v>-566.59</v>
      </c>
      <c r="AE32" s="26" t="s">
        <v>104</v>
      </c>
      <c r="AF32" s="182">
        <f>'08'!B260</f>
        <v>616.59</v>
      </c>
      <c r="AG32" s="182">
        <f>SUM('08'!D260:F260)</f>
        <v>35.629999999999995</v>
      </c>
      <c r="AH32" s="187">
        <f t="shared" si="9"/>
        <v>14.370000000000005</v>
      </c>
      <c r="AI32" s="26" t="s">
        <v>108</v>
      </c>
      <c r="AJ32" s="182">
        <f>'09'!B260</f>
        <v>50</v>
      </c>
      <c r="AK32" s="182">
        <f>SUM('09'!D260:F260)</f>
        <v>33.47</v>
      </c>
      <c r="AL32" s="187">
        <f t="shared" si="10"/>
        <v>30.900000000000006</v>
      </c>
      <c r="AM32" s="26" t="s">
        <v>109</v>
      </c>
      <c r="AN32" s="182">
        <f>'10'!B260</f>
        <v>50</v>
      </c>
      <c r="AO32" s="182">
        <f>SUM('10'!D260:F260)</f>
        <v>51.38</v>
      </c>
      <c r="AP32" s="187">
        <f t="shared" si="11"/>
        <v>29.520000000000003</v>
      </c>
      <c r="AQ32" s="26" t="s">
        <v>114</v>
      </c>
      <c r="AR32" s="182">
        <f>'11'!B260</f>
        <v>50</v>
      </c>
      <c r="AS32" s="182">
        <f>SUM('11'!D260:F260)</f>
        <v>35</v>
      </c>
      <c r="AT32" s="187">
        <f t="shared" si="12"/>
        <v>44.52000000000001</v>
      </c>
      <c r="AU32" s="26" t="s">
        <v>118</v>
      </c>
      <c r="AV32" s="182">
        <f>'12'!B260</f>
        <v>50</v>
      </c>
      <c r="AW32" s="182">
        <f>SUM('12'!D260:F260)</f>
        <v>0</v>
      </c>
      <c r="AX32" s="187">
        <f t="shared" si="13"/>
        <v>94.52000000000001</v>
      </c>
      <c r="AY32" s="42">
        <f t="shared" si="22"/>
        <v>1202.0700000000004</v>
      </c>
      <c r="AZ32" s="40">
        <f t="shared" si="15"/>
        <v>2.6366364969959019E-2</v>
      </c>
      <c r="BA32" s="41">
        <f t="shared" si="18"/>
        <v>10</v>
      </c>
      <c r="BB32" s="41">
        <f t="shared" ca="1" si="16"/>
        <v>109.27909090909094</v>
      </c>
      <c r="BI32" s="39">
        <f t="shared" ca="1" si="19"/>
        <v>1246.5900000000001</v>
      </c>
      <c r="BJ32" s="40">
        <f t="shared" ca="1" si="17"/>
        <v>2.4024315130005237E-2</v>
      </c>
      <c r="BK32" s="41">
        <f t="shared" ca="1" si="20"/>
        <v>10</v>
      </c>
      <c r="BL32" s="41">
        <f t="shared" ca="1" si="21"/>
        <v>113.32636363636365</v>
      </c>
    </row>
    <row r="33" spans="1:64" ht="16.5" thickBot="1">
      <c r="A33" s="43" t="s">
        <v>122</v>
      </c>
      <c r="B33" s="206">
        <v>60</v>
      </c>
      <c r="C33" s="27" t="s">
        <v>0</v>
      </c>
      <c r="D33" s="179">
        <f>'01'!B280</f>
        <v>10</v>
      </c>
      <c r="E33" s="180">
        <f>SUM('01'!D280:F280)</f>
        <v>0</v>
      </c>
      <c r="F33" s="186">
        <f t="shared" si="2"/>
        <v>70</v>
      </c>
      <c r="G33" s="27" t="s">
        <v>1</v>
      </c>
      <c r="H33" s="179">
        <f>'02'!B280</f>
        <v>10</v>
      </c>
      <c r="I33" s="180">
        <f>SUM('02'!D280:F280)</f>
        <v>0</v>
      </c>
      <c r="J33" s="186">
        <f t="shared" si="3"/>
        <v>80</v>
      </c>
      <c r="K33" s="27" t="s">
        <v>2</v>
      </c>
      <c r="L33" s="179">
        <f>'03'!B280</f>
        <v>20</v>
      </c>
      <c r="M33" s="180">
        <f>SUM('03'!D280:F280)</f>
        <v>31.54</v>
      </c>
      <c r="N33" s="186">
        <f t="shared" si="4"/>
        <v>68.460000000000008</v>
      </c>
      <c r="O33" s="27" t="s">
        <v>3</v>
      </c>
      <c r="P33" s="179">
        <f>'04'!B280</f>
        <v>20</v>
      </c>
      <c r="Q33" s="180">
        <f>SUM('04'!D280:F280)</f>
        <v>0</v>
      </c>
      <c r="R33" s="186">
        <f t="shared" si="5"/>
        <v>88.460000000000008</v>
      </c>
      <c r="S33" s="27" t="s">
        <v>99</v>
      </c>
      <c r="T33" s="179">
        <f>'05'!B280</f>
        <v>11.54</v>
      </c>
      <c r="U33" s="180">
        <f>SUM('05'!D280:F280)</f>
        <v>0</v>
      </c>
      <c r="V33" s="186">
        <f t="shared" si="6"/>
        <v>100</v>
      </c>
      <c r="W33" s="27" t="s">
        <v>95</v>
      </c>
      <c r="X33" s="179">
        <f>'06'!B280</f>
        <v>10</v>
      </c>
      <c r="Y33" s="180">
        <f>SUM('06'!D280:F280)</f>
        <v>0</v>
      </c>
      <c r="Z33" s="186">
        <f t="shared" si="7"/>
        <v>110</v>
      </c>
      <c r="AA33" s="27" t="s">
        <v>103</v>
      </c>
      <c r="AB33" s="179">
        <f>'07'!B280</f>
        <v>10</v>
      </c>
      <c r="AC33" s="180">
        <f>SUM('07'!D280:F280)</f>
        <v>0</v>
      </c>
      <c r="AD33" s="186">
        <f t="shared" si="8"/>
        <v>120</v>
      </c>
      <c r="AE33" s="27" t="s">
        <v>104</v>
      </c>
      <c r="AF33" s="179">
        <f>'08'!B280</f>
        <v>50</v>
      </c>
      <c r="AG33" s="180">
        <f>SUM('08'!D280:F280)</f>
        <v>0</v>
      </c>
      <c r="AH33" s="186">
        <f t="shared" si="9"/>
        <v>170</v>
      </c>
      <c r="AI33" s="27" t="s">
        <v>108</v>
      </c>
      <c r="AJ33" s="179">
        <f>'09'!B280</f>
        <v>50</v>
      </c>
      <c r="AK33" s="180">
        <f>SUM('09'!D280:F280)</f>
        <v>0</v>
      </c>
      <c r="AL33" s="186">
        <f t="shared" si="10"/>
        <v>220</v>
      </c>
      <c r="AM33" s="27" t="s">
        <v>109</v>
      </c>
      <c r="AN33" s="179">
        <f>'10'!B280</f>
        <v>50</v>
      </c>
      <c r="AO33" s="180">
        <f>SUM('10'!D280:F280)</f>
        <v>0</v>
      </c>
      <c r="AP33" s="186">
        <f t="shared" si="11"/>
        <v>270</v>
      </c>
      <c r="AQ33" s="27" t="s">
        <v>114</v>
      </c>
      <c r="AR33" s="179">
        <f>'11'!B280</f>
        <v>50</v>
      </c>
      <c r="AS33" s="180">
        <f>SUM('11'!D280:F280)</f>
        <v>0</v>
      </c>
      <c r="AT33" s="186">
        <f t="shared" si="12"/>
        <v>320</v>
      </c>
      <c r="AU33" s="27" t="s">
        <v>118</v>
      </c>
      <c r="AV33" s="179">
        <f>'12'!B280</f>
        <v>50</v>
      </c>
      <c r="AW33" s="180">
        <f>SUM('12'!D280:F280)</f>
        <v>0</v>
      </c>
      <c r="AX33" s="186">
        <f t="shared" si="13"/>
        <v>370</v>
      </c>
      <c r="AY33" s="44">
        <f t="shared" si="22"/>
        <v>31.54</v>
      </c>
      <c r="AZ33" s="40">
        <f t="shared" si="15"/>
        <v>6.9180259980908525E-4</v>
      </c>
      <c r="BA33" s="41">
        <f t="shared" si="18"/>
        <v>22</v>
      </c>
      <c r="BB33" s="41">
        <f t="shared" ca="1" si="16"/>
        <v>2.8672727272727272</v>
      </c>
      <c r="BI33" s="175">
        <f t="shared" ca="1" si="19"/>
        <v>291.53999999999996</v>
      </c>
      <c r="BJ33" s="40">
        <f t="shared" ca="1" si="17"/>
        <v>5.6185665158566371E-3</v>
      </c>
      <c r="BK33" s="41">
        <f t="shared" ca="1" si="20"/>
        <v>21</v>
      </c>
      <c r="BL33" s="41">
        <f t="shared" ca="1" si="21"/>
        <v>26.50363636363636</v>
      </c>
    </row>
    <row r="34" spans="1:64" ht="16.5" thickBot="1">
      <c r="A34" s="45" t="s">
        <v>25</v>
      </c>
      <c r="B34" s="207">
        <v>104.33000000000001</v>
      </c>
      <c r="C34" s="26" t="s">
        <v>0</v>
      </c>
      <c r="D34" s="182">
        <f>'01'!B300</f>
        <v>894</v>
      </c>
      <c r="E34" s="182">
        <f>SUM('01'!D300:F300)</f>
        <v>1063.25</v>
      </c>
      <c r="F34" s="187">
        <f t="shared" si="2"/>
        <v>-64.919999999999959</v>
      </c>
      <c r="G34" s="26" t="s">
        <v>1</v>
      </c>
      <c r="H34" s="182">
        <f>'02'!B300</f>
        <v>120</v>
      </c>
      <c r="I34" s="182">
        <f>SUM('02'!D300:F300)</f>
        <v>85</v>
      </c>
      <c r="J34" s="187">
        <f t="shared" si="3"/>
        <v>-29.919999999999959</v>
      </c>
      <c r="K34" s="26" t="s">
        <v>2</v>
      </c>
      <c r="L34" s="182">
        <f>'03'!B300</f>
        <v>120</v>
      </c>
      <c r="M34" s="182">
        <f>SUM('03'!D300:F300)</f>
        <v>75.09</v>
      </c>
      <c r="N34" s="187">
        <f t="shared" si="4"/>
        <v>14.990000000000038</v>
      </c>
      <c r="O34" s="26" t="s">
        <v>3</v>
      </c>
      <c r="P34" s="182">
        <f>'04'!B300</f>
        <v>374.6</v>
      </c>
      <c r="Q34" s="182">
        <f>SUM('04'!D300:F300)</f>
        <v>271.98</v>
      </c>
      <c r="R34" s="187">
        <f t="shared" si="5"/>
        <v>117.61000000000001</v>
      </c>
      <c r="S34" s="26" t="s">
        <v>99</v>
      </c>
      <c r="T34" s="182">
        <f>'05'!B300</f>
        <v>150</v>
      </c>
      <c r="U34" s="182">
        <f>SUM('05'!D300:F300)</f>
        <v>173.54000000000002</v>
      </c>
      <c r="V34" s="187">
        <f t="shared" si="6"/>
        <v>94.07</v>
      </c>
      <c r="W34" s="26" t="s">
        <v>95</v>
      </c>
      <c r="X34" s="182">
        <f>'06'!B300</f>
        <v>150</v>
      </c>
      <c r="Y34" s="182">
        <f>SUM('06'!D300:F300)</f>
        <v>155.10000000000002</v>
      </c>
      <c r="Z34" s="187">
        <f t="shared" si="7"/>
        <v>88.96999999999997</v>
      </c>
      <c r="AA34" s="26" t="s">
        <v>103</v>
      </c>
      <c r="AB34" s="182">
        <f>'07'!B300</f>
        <v>320</v>
      </c>
      <c r="AC34" s="182">
        <f>SUM('07'!D300:F300)</f>
        <v>75.539999999999992</v>
      </c>
      <c r="AD34" s="187">
        <f t="shared" si="8"/>
        <v>333.42999999999995</v>
      </c>
      <c r="AE34" s="26" t="s">
        <v>104</v>
      </c>
      <c r="AF34" s="182">
        <f>'08'!B300</f>
        <v>120</v>
      </c>
      <c r="AG34" s="182">
        <f>SUM('08'!D300:F300)</f>
        <v>4</v>
      </c>
      <c r="AH34" s="187">
        <f t="shared" si="9"/>
        <v>449.42999999999995</v>
      </c>
      <c r="AI34" s="26" t="s">
        <v>108</v>
      </c>
      <c r="AJ34" s="182">
        <f>'09'!B300</f>
        <v>499</v>
      </c>
      <c r="AK34" s="182">
        <f>SUM('09'!D300:F300)</f>
        <v>82.38</v>
      </c>
      <c r="AL34" s="187">
        <f t="shared" si="10"/>
        <v>866.05</v>
      </c>
      <c r="AM34" s="26" t="s">
        <v>109</v>
      </c>
      <c r="AN34" s="182">
        <f>'10'!B300</f>
        <v>60</v>
      </c>
      <c r="AO34" s="182">
        <f>SUM('10'!D300:F300)</f>
        <v>431.49</v>
      </c>
      <c r="AP34" s="187">
        <f t="shared" si="11"/>
        <v>494.55999999999995</v>
      </c>
      <c r="AQ34" s="26" t="s">
        <v>114</v>
      </c>
      <c r="AR34" s="182">
        <f>'11'!B300</f>
        <v>80</v>
      </c>
      <c r="AS34" s="182">
        <f>SUM('11'!D300:F300)</f>
        <v>0</v>
      </c>
      <c r="AT34" s="187">
        <f t="shared" si="12"/>
        <v>574.55999999999995</v>
      </c>
      <c r="AU34" s="26" t="s">
        <v>118</v>
      </c>
      <c r="AV34" s="182">
        <f>'12'!B300</f>
        <v>90</v>
      </c>
      <c r="AW34" s="182">
        <f>SUM('12'!D300:F300)</f>
        <v>0</v>
      </c>
      <c r="AX34" s="187">
        <f t="shared" si="13"/>
        <v>664.56</v>
      </c>
      <c r="AY34" s="42">
        <f>E34+I34+M34+Q34+U34+Y34+AC34+AG34+AK34+AO34+AS34+AW34+(E36+I36+M36)</f>
        <v>3105.62</v>
      </c>
      <c r="AZ34" s="40">
        <f t="shared" si="15"/>
        <v>6.8119086557358641E-2</v>
      </c>
      <c r="BA34" s="41">
        <f t="shared" si="18"/>
        <v>6</v>
      </c>
      <c r="BB34" s="41">
        <f t="shared" ca="1" si="16"/>
        <v>282.32909090909089</v>
      </c>
      <c r="BI34" s="39">
        <f t="shared" ca="1" si="19"/>
        <v>2887.6</v>
      </c>
      <c r="BJ34" s="40">
        <f t="shared" ca="1" si="17"/>
        <v>5.5649902830443944E-2</v>
      </c>
      <c r="BK34" s="41">
        <f t="shared" ca="1" si="20"/>
        <v>7</v>
      </c>
      <c r="BL34" s="41">
        <f t="shared" ca="1" si="21"/>
        <v>262.5090909090909</v>
      </c>
    </row>
    <row r="35" spans="1:64" ht="16.5" thickBot="1">
      <c r="A35" s="50" t="s">
        <v>123</v>
      </c>
      <c r="B35" s="208">
        <v>2079.1000000000004</v>
      </c>
      <c r="C35" s="27" t="s">
        <v>0</v>
      </c>
      <c r="D35" s="179">
        <f>'01'!B320</f>
        <v>100</v>
      </c>
      <c r="E35" s="179">
        <f>SUM('01'!D320:F320)</f>
        <v>257.46000000000004</v>
      </c>
      <c r="F35" s="184">
        <f t="shared" si="2"/>
        <v>1921.6400000000003</v>
      </c>
      <c r="G35" s="27" t="s">
        <v>1</v>
      </c>
      <c r="H35" s="179">
        <f>'02'!B320</f>
        <v>100</v>
      </c>
      <c r="I35" s="179">
        <f>SUM('02'!D320:F320)</f>
        <v>220.79000000000002</v>
      </c>
      <c r="J35" s="184">
        <f t="shared" si="3"/>
        <v>1800.8500000000004</v>
      </c>
      <c r="K35" s="27" t="s">
        <v>2</v>
      </c>
      <c r="L35" s="179">
        <f>'03'!B320</f>
        <v>100</v>
      </c>
      <c r="M35" s="179">
        <f>SUM('03'!D320:F320)</f>
        <v>243.64999999999998</v>
      </c>
      <c r="N35" s="184">
        <f t="shared" si="4"/>
        <v>1657.2000000000003</v>
      </c>
      <c r="O35" s="27" t="s">
        <v>3</v>
      </c>
      <c r="P35" s="179">
        <f>'04'!B320</f>
        <v>100</v>
      </c>
      <c r="Q35" s="179">
        <f>SUM('04'!D320:F320)</f>
        <v>197.51999999999998</v>
      </c>
      <c r="R35" s="184">
        <f t="shared" si="5"/>
        <v>1559.6800000000003</v>
      </c>
      <c r="S35" s="27" t="s">
        <v>99</v>
      </c>
      <c r="T35" s="179">
        <f>'05'!B320</f>
        <v>100</v>
      </c>
      <c r="U35" s="179">
        <f>SUM('05'!D320:F320)</f>
        <v>134.93</v>
      </c>
      <c r="V35" s="184">
        <f t="shared" si="6"/>
        <v>1524.7500000000002</v>
      </c>
      <c r="W35" s="27" t="s">
        <v>95</v>
      </c>
      <c r="X35" s="179">
        <f>'06'!B320</f>
        <v>100</v>
      </c>
      <c r="Y35" s="179">
        <f>SUM('06'!D320:F320)</f>
        <v>164.22</v>
      </c>
      <c r="Z35" s="184">
        <f t="shared" si="7"/>
        <v>1460.5300000000002</v>
      </c>
      <c r="AA35" s="27" t="s">
        <v>103</v>
      </c>
      <c r="AB35" s="179">
        <f>'07'!B320</f>
        <v>100</v>
      </c>
      <c r="AC35" s="179">
        <f>SUM('07'!D320:F320)</f>
        <v>169.52999999999997</v>
      </c>
      <c r="AD35" s="184">
        <f t="shared" si="8"/>
        <v>1391.0000000000002</v>
      </c>
      <c r="AE35" s="27" t="s">
        <v>104</v>
      </c>
      <c r="AF35" s="179">
        <f>'08'!B320</f>
        <v>100</v>
      </c>
      <c r="AG35" s="179">
        <f>SUM('08'!D320:F320)</f>
        <v>125</v>
      </c>
      <c r="AH35" s="184">
        <f t="shared" si="9"/>
        <v>1366.0000000000002</v>
      </c>
      <c r="AI35" s="27" t="s">
        <v>108</v>
      </c>
      <c r="AJ35" s="179">
        <f>'09'!B320</f>
        <v>110</v>
      </c>
      <c r="AK35" s="179">
        <f>SUM('09'!D320:F320)</f>
        <v>73.61</v>
      </c>
      <c r="AL35" s="184">
        <f t="shared" si="10"/>
        <v>1402.3900000000003</v>
      </c>
      <c r="AM35" s="27" t="s">
        <v>109</v>
      </c>
      <c r="AN35" s="179">
        <f>'10'!B320</f>
        <v>110</v>
      </c>
      <c r="AO35" s="179">
        <f>SUM('10'!D320:F320)</f>
        <v>111.79</v>
      </c>
      <c r="AP35" s="184">
        <f t="shared" si="11"/>
        <v>1400.6000000000004</v>
      </c>
      <c r="AQ35" s="27" t="s">
        <v>114</v>
      </c>
      <c r="AR35" s="179">
        <f>'11'!B320</f>
        <v>115</v>
      </c>
      <c r="AS35" s="179">
        <f>SUM('11'!D320:F320)</f>
        <v>16.22</v>
      </c>
      <c r="AT35" s="184">
        <f t="shared" si="12"/>
        <v>1499.3800000000003</v>
      </c>
      <c r="AU35" s="27" t="s">
        <v>118</v>
      </c>
      <c r="AV35" s="179">
        <f>'12'!B320</f>
        <v>115</v>
      </c>
      <c r="AW35" s="179">
        <f>SUM('12'!D320:F320)</f>
        <v>0</v>
      </c>
      <c r="AX35" s="184">
        <f t="shared" si="13"/>
        <v>1614.3800000000003</v>
      </c>
      <c r="AY35" s="44">
        <f t="shared" si="22"/>
        <v>1714.72</v>
      </c>
      <c r="AZ35" s="40">
        <f t="shared" si="15"/>
        <v>3.7610898983659949E-2</v>
      </c>
      <c r="BA35" s="41">
        <f t="shared" si="18"/>
        <v>8</v>
      </c>
      <c r="BB35" s="41">
        <f t="shared" ca="1" si="16"/>
        <v>155.88363636363636</v>
      </c>
      <c r="BI35" s="175">
        <f t="shared" ca="1" si="19"/>
        <v>1135</v>
      </c>
      <c r="BJ35" s="40">
        <f t="shared" ca="1" si="17"/>
        <v>2.1873749727300829E-2</v>
      </c>
      <c r="BK35" s="41">
        <f t="shared" ca="1" si="20"/>
        <v>11</v>
      </c>
      <c r="BL35" s="41">
        <f t="shared" ca="1" si="21"/>
        <v>103.18181818181819</v>
      </c>
    </row>
    <row r="36" spans="1:64" ht="16.5" thickBot="1">
      <c r="A36" s="46" t="s">
        <v>387</v>
      </c>
      <c r="B36" s="205">
        <v>782.85</v>
      </c>
      <c r="C36" s="26" t="s">
        <v>0</v>
      </c>
      <c r="D36" s="188">
        <f>'01'!B340</f>
        <v>50</v>
      </c>
      <c r="E36" s="188">
        <f>SUM('01'!D340:F340)</f>
        <v>0</v>
      </c>
      <c r="F36" s="183">
        <f t="shared" si="2"/>
        <v>832.85</v>
      </c>
      <c r="G36" s="26" t="s">
        <v>1</v>
      </c>
      <c r="H36" s="188">
        <f>'02'!B340</f>
        <v>50</v>
      </c>
      <c r="I36" s="188">
        <f>SUM('02'!D340:F340)</f>
        <v>600</v>
      </c>
      <c r="J36" s="183">
        <f t="shared" si="3"/>
        <v>282.85000000000002</v>
      </c>
      <c r="K36" s="26" t="s">
        <v>2</v>
      </c>
      <c r="L36" s="188">
        <f>'03'!B340</f>
        <v>30</v>
      </c>
      <c r="M36" s="188">
        <f>SUM('03'!D340:F340)</f>
        <v>88.25</v>
      </c>
      <c r="N36" s="183">
        <f t="shared" si="4"/>
        <v>224.60000000000002</v>
      </c>
      <c r="O36" s="26" t="s">
        <v>3</v>
      </c>
      <c r="P36" s="188">
        <f>'04'!B340</f>
        <v>-224.6</v>
      </c>
      <c r="Q36" s="188">
        <f>SUM('04'!D340:F340)</f>
        <v>0</v>
      </c>
      <c r="R36" s="183">
        <f t="shared" si="5"/>
        <v>2.8421709430404007E-14</v>
      </c>
      <c r="S36" s="26" t="s">
        <v>99</v>
      </c>
      <c r="T36" s="188">
        <f>'05'!B340</f>
        <v>4</v>
      </c>
      <c r="U36" s="188">
        <f>SUM('05'!D340:F340)</f>
        <v>4</v>
      </c>
      <c r="V36" s="183">
        <f t="shared" si="6"/>
        <v>2.8421709430404007E-14</v>
      </c>
      <c r="W36" s="26" t="s">
        <v>95</v>
      </c>
      <c r="X36" s="188">
        <f>'06'!B340</f>
        <v>10</v>
      </c>
      <c r="Y36" s="188">
        <f>SUM('06'!D340:F340)</f>
        <v>89</v>
      </c>
      <c r="Z36" s="183">
        <f t="shared" si="7"/>
        <v>-78.999999999999972</v>
      </c>
      <c r="AA36" s="26" t="s">
        <v>103</v>
      </c>
      <c r="AB36" s="188">
        <f>'07'!B340</f>
        <v>10</v>
      </c>
      <c r="AC36" s="188">
        <f>SUM('07'!D340:F340)</f>
        <v>172.71</v>
      </c>
      <c r="AD36" s="183">
        <f t="shared" si="8"/>
        <v>-241.70999999999998</v>
      </c>
      <c r="AE36" s="26" t="s">
        <v>104</v>
      </c>
      <c r="AF36" s="188">
        <f>'08'!B340</f>
        <v>331.73</v>
      </c>
      <c r="AG36" s="188">
        <f>SUM('08'!D340:F340)</f>
        <v>4.3499999999999996</v>
      </c>
      <c r="AH36" s="183">
        <f t="shared" si="9"/>
        <v>85.670000000000044</v>
      </c>
      <c r="AI36" s="26" t="s">
        <v>108</v>
      </c>
      <c r="AJ36" s="188">
        <f>'09'!B340</f>
        <v>90</v>
      </c>
      <c r="AK36" s="188">
        <f>SUM('09'!D340:F340)</f>
        <v>356.95</v>
      </c>
      <c r="AL36" s="183">
        <f t="shared" si="10"/>
        <v>-181.27999999999994</v>
      </c>
      <c r="AM36" s="26" t="s">
        <v>109</v>
      </c>
      <c r="AN36" s="188">
        <f>'10'!B340</f>
        <v>90.06</v>
      </c>
      <c r="AO36" s="188">
        <f>SUM('10'!D340:F340)</f>
        <v>8.25</v>
      </c>
      <c r="AP36" s="183">
        <f t="shared" si="11"/>
        <v>-99.469999999999942</v>
      </c>
      <c r="AQ36" s="26" t="s">
        <v>114</v>
      </c>
      <c r="AR36" s="188">
        <f>'11'!B340</f>
        <v>90</v>
      </c>
      <c r="AS36" s="188">
        <f>SUM('11'!D340:F340)</f>
        <v>0</v>
      </c>
      <c r="AT36" s="183">
        <f t="shared" si="12"/>
        <v>-9.469999999999942</v>
      </c>
      <c r="AU36" s="26" t="s">
        <v>118</v>
      </c>
      <c r="AV36" s="188">
        <f>'12'!B340</f>
        <v>90</v>
      </c>
      <c r="AW36" s="188">
        <f>SUM('12'!D340:F340)</f>
        <v>0</v>
      </c>
      <c r="AX36" s="183">
        <f t="shared" si="13"/>
        <v>80.530000000000058</v>
      </c>
      <c r="AY36" s="39">
        <f>Q36+U36+Y36+AC36+AG36+AK36+AO36+AS36+AW36</f>
        <v>635.26</v>
      </c>
      <c r="AZ36" s="40">
        <f t="shared" si="15"/>
        <v>1.393387823572351E-2</v>
      </c>
      <c r="BA36" s="41">
        <f t="shared" si="18"/>
        <v>15</v>
      </c>
      <c r="BB36" s="41">
        <f t="shared" ca="1" si="16"/>
        <v>57.75090909090909</v>
      </c>
      <c r="BI36" s="39">
        <f t="shared" ca="1" si="19"/>
        <v>531.19000000000005</v>
      </c>
      <c r="BJ36" s="40">
        <f t="shared" ca="1" si="17"/>
        <v>1.0237107592638704E-2</v>
      </c>
      <c r="BK36" s="41">
        <f t="shared" ca="1" si="20"/>
        <v>16</v>
      </c>
      <c r="BL36" s="41">
        <f t="shared" ca="1" si="21"/>
        <v>48.290000000000006</v>
      </c>
    </row>
    <row r="37" spans="1:64" ht="16.5" thickBot="1">
      <c r="A37" s="43" t="s">
        <v>26</v>
      </c>
      <c r="B37" s="206">
        <v>458.51</v>
      </c>
      <c r="C37" s="27" t="s">
        <v>0</v>
      </c>
      <c r="D37" s="189">
        <f>'01'!B360</f>
        <v>30</v>
      </c>
      <c r="E37" s="189">
        <f>SUM('01'!D360:F360)</f>
        <v>416.13</v>
      </c>
      <c r="F37" s="181">
        <f t="shared" si="2"/>
        <v>72.38</v>
      </c>
      <c r="G37" s="27" t="s">
        <v>1</v>
      </c>
      <c r="H37" s="189">
        <f>'02'!B360</f>
        <v>30</v>
      </c>
      <c r="I37" s="189">
        <f>SUM('02'!D360:F360)</f>
        <v>0</v>
      </c>
      <c r="J37" s="181">
        <f t="shared" si="3"/>
        <v>102.38</v>
      </c>
      <c r="K37" s="27" t="s">
        <v>2</v>
      </c>
      <c r="L37" s="189">
        <f>'03'!B360</f>
        <v>30</v>
      </c>
      <c r="M37" s="189">
        <f>SUM('03'!D360:F360)</f>
        <v>0</v>
      </c>
      <c r="N37" s="181">
        <f t="shared" si="4"/>
        <v>132.38</v>
      </c>
      <c r="O37" s="27" t="s">
        <v>3</v>
      </c>
      <c r="P37" s="189">
        <f>'04'!B360</f>
        <v>30</v>
      </c>
      <c r="Q37" s="189">
        <f>SUM('04'!D360:F360)</f>
        <v>0</v>
      </c>
      <c r="R37" s="181">
        <f t="shared" si="5"/>
        <v>162.38</v>
      </c>
      <c r="S37" s="27" t="s">
        <v>99</v>
      </c>
      <c r="T37" s="189">
        <f>'05'!B360</f>
        <v>30</v>
      </c>
      <c r="U37" s="189">
        <f>SUM('05'!D360:F360)</f>
        <v>0</v>
      </c>
      <c r="V37" s="181">
        <f t="shared" si="6"/>
        <v>192.38</v>
      </c>
      <c r="W37" s="27" t="s">
        <v>95</v>
      </c>
      <c r="X37" s="189">
        <f>'06'!B360</f>
        <v>30</v>
      </c>
      <c r="Y37" s="189">
        <f>SUM('06'!D360:F360)</f>
        <v>0</v>
      </c>
      <c r="Z37" s="181">
        <f t="shared" si="7"/>
        <v>222.38</v>
      </c>
      <c r="AA37" s="27" t="s">
        <v>103</v>
      </c>
      <c r="AB37" s="189">
        <f>'07'!B360</f>
        <v>30</v>
      </c>
      <c r="AC37" s="189">
        <f>SUM('07'!D360:F360)</f>
        <v>86</v>
      </c>
      <c r="AD37" s="181">
        <f t="shared" si="8"/>
        <v>166.38</v>
      </c>
      <c r="AE37" s="27" t="s">
        <v>104</v>
      </c>
      <c r="AF37" s="189">
        <f>'08'!B360</f>
        <v>50</v>
      </c>
      <c r="AG37" s="189">
        <f>SUM('08'!D360:F360)</f>
        <v>0</v>
      </c>
      <c r="AH37" s="181">
        <f t="shared" si="9"/>
        <v>216.38</v>
      </c>
      <c r="AI37" s="27" t="s">
        <v>108</v>
      </c>
      <c r="AJ37" s="189">
        <f>'09'!B360</f>
        <v>60</v>
      </c>
      <c r="AK37" s="189">
        <f>SUM('09'!D360:F360)</f>
        <v>148</v>
      </c>
      <c r="AL37" s="181">
        <f t="shared" si="10"/>
        <v>128.38</v>
      </c>
      <c r="AM37" s="27" t="s">
        <v>109</v>
      </c>
      <c r="AN37" s="189">
        <f>'10'!B360</f>
        <v>60</v>
      </c>
      <c r="AO37" s="189">
        <f>SUM('10'!D360:F360)</f>
        <v>25</v>
      </c>
      <c r="AP37" s="181">
        <f t="shared" si="11"/>
        <v>163.38</v>
      </c>
      <c r="AQ37" s="27" t="s">
        <v>114</v>
      </c>
      <c r="AR37" s="189">
        <f>'11'!B360</f>
        <v>45</v>
      </c>
      <c r="AS37" s="189">
        <f>SUM('11'!D360:F360)</f>
        <v>0</v>
      </c>
      <c r="AT37" s="181">
        <f t="shared" si="12"/>
        <v>208.38</v>
      </c>
      <c r="AU37" s="27" t="s">
        <v>118</v>
      </c>
      <c r="AV37" s="189">
        <f>'12'!B360</f>
        <v>45</v>
      </c>
      <c r="AW37" s="189">
        <f>SUM('12'!D360:F360)</f>
        <v>0</v>
      </c>
      <c r="AX37" s="181">
        <f t="shared" si="13"/>
        <v>253.38</v>
      </c>
      <c r="AY37" s="44">
        <f t="shared" si="22"/>
        <v>675.13</v>
      </c>
      <c r="AZ37" s="40">
        <f t="shared" si="15"/>
        <v>1.4808392175304622E-2</v>
      </c>
      <c r="BA37" s="41">
        <f t="shared" si="18"/>
        <v>14</v>
      </c>
      <c r="BB37" s="41">
        <f t="shared" ca="1" si="16"/>
        <v>61.375454545454545</v>
      </c>
      <c r="BI37" s="175">
        <f t="shared" ca="1" si="19"/>
        <v>425</v>
      </c>
      <c r="BJ37" s="40">
        <f t="shared" ca="1" si="17"/>
        <v>8.1906111313681512E-3</v>
      </c>
      <c r="BK37" s="41">
        <f t="shared" ca="1" si="20"/>
        <v>19</v>
      </c>
      <c r="BL37" s="41">
        <f t="shared" ca="1" si="21"/>
        <v>38.636363636363633</v>
      </c>
    </row>
    <row r="38" spans="1:64" ht="16.5" thickBot="1">
      <c r="A38" s="45" t="s">
        <v>27</v>
      </c>
      <c r="B38" s="207">
        <v>71.02000000000001</v>
      </c>
      <c r="C38" s="26" t="s">
        <v>0</v>
      </c>
      <c r="D38" s="190">
        <f>'01'!B380</f>
        <v>30</v>
      </c>
      <c r="E38" s="190">
        <f>SUM('01'!D380:F380)</f>
        <v>34.99</v>
      </c>
      <c r="F38" s="183">
        <f t="shared" si="2"/>
        <v>66.03</v>
      </c>
      <c r="G38" s="26" t="s">
        <v>1</v>
      </c>
      <c r="H38" s="190">
        <f>'02'!B380</f>
        <v>50</v>
      </c>
      <c r="I38" s="190">
        <f>SUM('02'!D380:F380)</f>
        <v>123.72</v>
      </c>
      <c r="J38" s="183">
        <f t="shared" si="3"/>
        <v>-7.6899999999999977</v>
      </c>
      <c r="K38" s="26" t="s">
        <v>2</v>
      </c>
      <c r="L38" s="190">
        <f>'03'!B380</f>
        <v>40</v>
      </c>
      <c r="M38" s="190">
        <f>SUM('03'!D380:F380)</f>
        <v>28.3</v>
      </c>
      <c r="N38" s="183">
        <f t="shared" si="4"/>
        <v>4.0100000000000016</v>
      </c>
      <c r="O38" s="26" t="s">
        <v>3</v>
      </c>
      <c r="P38" s="190">
        <f>'04'!B380</f>
        <v>40</v>
      </c>
      <c r="Q38" s="190">
        <f>SUM('04'!D380:F380)</f>
        <v>69.490000000000009</v>
      </c>
      <c r="R38" s="183">
        <f t="shared" si="5"/>
        <v>-25.480000000000004</v>
      </c>
      <c r="S38" s="26" t="s">
        <v>99</v>
      </c>
      <c r="T38" s="190">
        <f>'05'!B380</f>
        <v>50</v>
      </c>
      <c r="U38" s="190">
        <f>SUM('05'!D380:F380)</f>
        <v>76.52</v>
      </c>
      <c r="V38" s="183">
        <f t="shared" si="6"/>
        <v>-52</v>
      </c>
      <c r="W38" s="26" t="s">
        <v>95</v>
      </c>
      <c r="X38" s="190">
        <f>'06'!B380</f>
        <v>100</v>
      </c>
      <c r="Y38" s="190">
        <f>SUM('06'!D380:F380)</f>
        <v>87.449999999999989</v>
      </c>
      <c r="Z38" s="183">
        <f t="shared" si="7"/>
        <v>-39.449999999999989</v>
      </c>
      <c r="AA38" s="26" t="s">
        <v>103</v>
      </c>
      <c r="AB38" s="190">
        <f>'07'!B380</f>
        <v>103</v>
      </c>
      <c r="AC38" s="190">
        <f>SUM('07'!D380:F380)</f>
        <v>90.669999999999987</v>
      </c>
      <c r="AD38" s="183">
        <f t="shared" si="8"/>
        <v>-27.119999999999976</v>
      </c>
      <c r="AE38" s="26" t="s">
        <v>104</v>
      </c>
      <c r="AF38" s="190">
        <f>'08'!B380</f>
        <v>96.77</v>
      </c>
      <c r="AG38" s="190">
        <f>SUM('08'!D380:F380)</f>
        <v>139.63999999999999</v>
      </c>
      <c r="AH38" s="183">
        <f t="shared" si="9"/>
        <v>-69.989999999999966</v>
      </c>
      <c r="AI38" s="26" t="s">
        <v>108</v>
      </c>
      <c r="AJ38" s="190">
        <f>'09'!B380</f>
        <v>70</v>
      </c>
      <c r="AK38" s="190">
        <f>SUM('09'!D380:F380)</f>
        <v>60.82</v>
      </c>
      <c r="AL38" s="183">
        <f t="shared" si="10"/>
        <v>-60.809999999999967</v>
      </c>
      <c r="AM38" s="26" t="s">
        <v>109</v>
      </c>
      <c r="AN38" s="190">
        <f>'10'!B380</f>
        <v>70</v>
      </c>
      <c r="AO38" s="190">
        <f>SUM('10'!D380:F380)</f>
        <v>33.4</v>
      </c>
      <c r="AP38" s="183">
        <f t="shared" si="11"/>
        <v>-24.209999999999965</v>
      </c>
      <c r="AQ38" s="26" t="s">
        <v>114</v>
      </c>
      <c r="AR38" s="190">
        <f>'11'!B380</f>
        <v>70</v>
      </c>
      <c r="AS38" s="190">
        <f>SUM('11'!D380:F380)</f>
        <v>19.200000000000003</v>
      </c>
      <c r="AT38" s="183">
        <f t="shared" si="12"/>
        <v>26.590000000000032</v>
      </c>
      <c r="AU38" s="26" t="s">
        <v>118</v>
      </c>
      <c r="AV38" s="190">
        <f>'12'!B380</f>
        <v>70</v>
      </c>
      <c r="AW38" s="190">
        <f>SUM('12'!D380:F380)</f>
        <v>0</v>
      </c>
      <c r="AX38" s="183">
        <f t="shared" si="13"/>
        <v>96.590000000000032</v>
      </c>
      <c r="AY38" s="42">
        <f t="shared" si="22"/>
        <v>764.2</v>
      </c>
      <c r="AZ38" s="40">
        <f t="shared" si="15"/>
        <v>1.6762065528665281E-2</v>
      </c>
      <c r="BA38" s="41">
        <f t="shared" si="18"/>
        <v>12</v>
      </c>
      <c r="BB38" s="41">
        <f t="shared" ca="1" si="16"/>
        <v>69.472727272727283</v>
      </c>
      <c r="BI38" s="39">
        <f t="shared" ca="1" si="19"/>
        <v>719.77</v>
      </c>
      <c r="BJ38" s="40">
        <f t="shared" ca="1" si="17"/>
        <v>1.3871426291823186E-2</v>
      </c>
      <c r="BK38" s="41">
        <f t="shared" ca="1" si="20"/>
        <v>13</v>
      </c>
      <c r="BL38" s="41">
        <f t="shared" ca="1" si="21"/>
        <v>65.433636363636367</v>
      </c>
    </row>
    <row r="39" spans="1:64" ht="16.5" thickBot="1">
      <c r="A39" s="43" t="s">
        <v>28</v>
      </c>
      <c r="B39" s="206">
        <v>1000</v>
      </c>
      <c r="C39" s="27" t="s">
        <v>0</v>
      </c>
      <c r="D39" s="189">
        <f>'01'!B400</f>
        <v>10</v>
      </c>
      <c r="E39" s="189">
        <f>SUM('01'!D400:F400)</f>
        <v>0</v>
      </c>
      <c r="F39" s="181">
        <f t="shared" si="2"/>
        <v>1010</v>
      </c>
      <c r="G39" s="27" t="s">
        <v>1</v>
      </c>
      <c r="H39" s="189">
        <f>'02'!B400</f>
        <v>10</v>
      </c>
      <c r="I39" s="189">
        <f>SUM('02'!D400:F400)</f>
        <v>0</v>
      </c>
      <c r="J39" s="181">
        <f t="shared" si="3"/>
        <v>1020</v>
      </c>
      <c r="K39" s="27" t="s">
        <v>2</v>
      </c>
      <c r="L39" s="189">
        <f>'03'!B400</f>
        <v>10</v>
      </c>
      <c r="M39" s="189">
        <f>SUM('03'!D400:F400)</f>
        <v>0</v>
      </c>
      <c r="N39" s="181">
        <f t="shared" si="4"/>
        <v>1030</v>
      </c>
      <c r="O39" s="27" t="s">
        <v>3</v>
      </c>
      <c r="P39" s="189">
        <f>'04'!B400</f>
        <v>10</v>
      </c>
      <c r="Q39" s="189">
        <f>SUM('04'!D400:F400)</f>
        <v>0</v>
      </c>
      <c r="R39" s="181">
        <f t="shared" si="5"/>
        <v>1040</v>
      </c>
      <c r="S39" s="27" t="s">
        <v>99</v>
      </c>
      <c r="T39" s="189">
        <f>'05'!B400</f>
        <v>10</v>
      </c>
      <c r="U39" s="189">
        <f>SUM('05'!D400:F400)</f>
        <v>0</v>
      </c>
      <c r="V39" s="181">
        <f t="shared" si="6"/>
        <v>1050</v>
      </c>
      <c r="W39" s="27" t="s">
        <v>95</v>
      </c>
      <c r="X39" s="189">
        <f>'06'!B400</f>
        <v>10</v>
      </c>
      <c r="Y39" s="189">
        <f>SUM('06'!D400:F400)</f>
        <v>0</v>
      </c>
      <c r="Z39" s="181">
        <f t="shared" si="7"/>
        <v>1060</v>
      </c>
      <c r="AA39" s="27" t="s">
        <v>103</v>
      </c>
      <c r="AB39" s="189">
        <f>'07'!B400</f>
        <v>10</v>
      </c>
      <c r="AC39" s="189">
        <f>SUM('07'!D400:F400)</f>
        <v>0</v>
      </c>
      <c r="AD39" s="181">
        <f t="shared" si="8"/>
        <v>1070</v>
      </c>
      <c r="AE39" s="27" t="s">
        <v>104</v>
      </c>
      <c r="AF39" s="189">
        <f>'08'!B400</f>
        <v>10</v>
      </c>
      <c r="AG39" s="189">
        <f>SUM('08'!D400:F400)</f>
        <v>0</v>
      </c>
      <c r="AH39" s="181">
        <f t="shared" si="9"/>
        <v>1080</v>
      </c>
      <c r="AI39" s="27" t="s">
        <v>108</v>
      </c>
      <c r="AJ39" s="189">
        <f>'09'!B400</f>
        <v>20</v>
      </c>
      <c r="AK39" s="189">
        <f>SUM('09'!D400:F400)</f>
        <v>0</v>
      </c>
      <c r="AL39" s="181">
        <f t="shared" si="10"/>
        <v>1100</v>
      </c>
      <c r="AM39" s="27" t="s">
        <v>109</v>
      </c>
      <c r="AN39" s="189">
        <f>'10'!B400</f>
        <v>20</v>
      </c>
      <c r="AO39" s="189">
        <f>SUM('10'!D400:F400)</f>
        <v>0</v>
      </c>
      <c r="AP39" s="181">
        <f t="shared" si="11"/>
        <v>1120</v>
      </c>
      <c r="AQ39" s="27" t="s">
        <v>114</v>
      </c>
      <c r="AR39" s="189">
        <f>'11'!B400</f>
        <v>20</v>
      </c>
      <c r="AS39" s="189">
        <f>SUM('11'!D400:F400)</f>
        <v>0</v>
      </c>
      <c r="AT39" s="181">
        <f t="shared" si="12"/>
        <v>1140</v>
      </c>
      <c r="AU39" s="27" t="s">
        <v>118</v>
      </c>
      <c r="AV39" s="189">
        <f>'12'!B400</f>
        <v>20</v>
      </c>
      <c r="AW39" s="189">
        <f>SUM('12'!D400:F400)</f>
        <v>0</v>
      </c>
      <c r="AX39" s="181">
        <f t="shared" si="13"/>
        <v>1160</v>
      </c>
      <c r="AY39" s="44">
        <f t="shared" si="22"/>
        <v>0</v>
      </c>
      <c r="AZ39" s="40">
        <f t="shared" si="15"/>
        <v>0</v>
      </c>
      <c r="BA39" s="41">
        <f t="shared" si="18"/>
        <v>23</v>
      </c>
      <c r="BB39" s="41">
        <f t="shared" ca="1" si="16"/>
        <v>0</v>
      </c>
      <c r="BI39" s="175">
        <f t="shared" ca="1" si="19"/>
        <v>140</v>
      </c>
      <c r="BJ39" s="40">
        <f t="shared" ca="1" si="17"/>
        <v>2.6980836668036266E-3</v>
      </c>
      <c r="BK39" s="41">
        <f t="shared" ca="1" si="20"/>
        <v>22</v>
      </c>
      <c r="BL39" s="41">
        <f t="shared" ca="1" si="21"/>
        <v>12.727272727272727</v>
      </c>
    </row>
    <row r="40" spans="1:64" ht="16.5" thickBot="1">
      <c r="A40" s="45" t="s">
        <v>65</v>
      </c>
      <c r="B40" s="207">
        <v>3403.7200000000003</v>
      </c>
      <c r="C40" s="26" t="s">
        <v>0</v>
      </c>
      <c r="D40" s="190">
        <f>'01'!B420</f>
        <v>2487.4700000000003</v>
      </c>
      <c r="E40" s="190">
        <f>SUM('01'!D420:F420)</f>
        <v>42.88</v>
      </c>
      <c r="F40" s="183">
        <f t="shared" si="2"/>
        <v>5848.31</v>
      </c>
      <c r="G40" s="26" t="s">
        <v>1</v>
      </c>
      <c r="H40" s="190">
        <f>'02'!B420</f>
        <v>-5092.08</v>
      </c>
      <c r="I40" s="190">
        <f>SUM('02'!D420:F420)</f>
        <v>56.01</v>
      </c>
      <c r="J40" s="183">
        <f t="shared" si="3"/>
        <v>700.22000000000048</v>
      </c>
      <c r="K40" s="26" t="s">
        <v>2</v>
      </c>
      <c r="L40" s="190">
        <f>'03'!B420</f>
        <v>0</v>
      </c>
      <c r="M40" s="190">
        <f>SUM('03'!D420:F420)</f>
        <v>0</v>
      </c>
      <c r="N40" s="183">
        <f>J40+L40-M40</f>
        <v>700.22000000000048</v>
      </c>
      <c r="O40" s="26" t="s">
        <v>3</v>
      </c>
      <c r="P40" s="190">
        <f>'04'!B420</f>
        <v>0.03</v>
      </c>
      <c r="Q40" s="190">
        <f>SUM('04'!D420:F420)</f>
        <v>20</v>
      </c>
      <c r="R40" s="183">
        <f t="shared" si="5"/>
        <v>680.25000000000045</v>
      </c>
      <c r="S40" s="26" t="s">
        <v>99</v>
      </c>
      <c r="T40" s="190">
        <f>'05'!B420</f>
        <v>38.64</v>
      </c>
      <c r="U40" s="190">
        <f>SUM('05'!D420:F420)</f>
        <v>0</v>
      </c>
      <c r="V40" s="183">
        <f t="shared" si="6"/>
        <v>718.89000000000044</v>
      </c>
      <c r="W40" s="26" t="s">
        <v>95</v>
      </c>
      <c r="X40" s="190">
        <f>'06'!B420</f>
        <v>0</v>
      </c>
      <c r="Y40" s="190">
        <f>SUM('06'!D420:F420)</f>
        <v>0</v>
      </c>
      <c r="Z40" s="183">
        <f t="shared" si="7"/>
        <v>718.89000000000044</v>
      </c>
      <c r="AA40" s="26" t="s">
        <v>103</v>
      </c>
      <c r="AB40" s="190">
        <f>'07'!B420</f>
        <v>0</v>
      </c>
      <c r="AC40" s="190">
        <f>SUM('07'!D420:F420)</f>
        <v>0</v>
      </c>
      <c r="AD40" s="183">
        <f t="shared" si="8"/>
        <v>718.89000000000044</v>
      </c>
      <c r="AE40" s="26" t="s">
        <v>104</v>
      </c>
      <c r="AF40" s="190">
        <f>'08'!B420</f>
        <v>0</v>
      </c>
      <c r="AG40" s="190">
        <f>SUM('08'!D420:F420)</f>
        <v>0</v>
      </c>
      <c r="AH40" s="183">
        <f t="shared" si="9"/>
        <v>718.89000000000044</v>
      </c>
      <c r="AI40" s="26" t="s">
        <v>108</v>
      </c>
      <c r="AJ40" s="190">
        <f>'09'!B420</f>
        <v>0</v>
      </c>
      <c r="AK40" s="190">
        <f>SUM('09'!D420:F420)</f>
        <v>0</v>
      </c>
      <c r="AL40" s="183">
        <f t="shared" si="10"/>
        <v>718.89000000000044</v>
      </c>
      <c r="AM40" s="26" t="s">
        <v>109</v>
      </c>
      <c r="AN40" s="190">
        <f>'10'!B420</f>
        <v>10</v>
      </c>
      <c r="AO40" s="190">
        <f>SUM('10'!D420:F420)</f>
        <v>20</v>
      </c>
      <c r="AP40" s="183">
        <f t="shared" si="11"/>
        <v>708.89000000000044</v>
      </c>
      <c r="AQ40" s="26" t="s">
        <v>114</v>
      </c>
      <c r="AR40" s="190">
        <f>'11'!B420</f>
        <v>55.62</v>
      </c>
      <c r="AS40" s="190">
        <f>SUM('11'!D420:F420)</f>
        <v>0</v>
      </c>
      <c r="AT40" s="183">
        <f t="shared" si="12"/>
        <v>764.51000000000045</v>
      </c>
      <c r="AU40" s="26" t="s">
        <v>118</v>
      </c>
      <c r="AV40" s="190">
        <f>'12'!B420</f>
        <v>20</v>
      </c>
      <c r="AW40" s="190">
        <f>SUM('12'!D420:F420)</f>
        <v>0</v>
      </c>
      <c r="AX40" s="183">
        <f t="shared" si="13"/>
        <v>784.51000000000045</v>
      </c>
      <c r="AY40" s="42">
        <f t="shared" si="22"/>
        <v>138.88999999999999</v>
      </c>
      <c r="AZ40" s="40">
        <f t="shared" si="15"/>
        <v>3.0464319304845861E-3</v>
      </c>
      <c r="BA40" s="41">
        <f t="shared" si="18"/>
        <v>19</v>
      </c>
      <c r="BB40" s="41">
        <f t="shared" ca="1" si="16"/>
        <v>12.626363636363635</v>
      </c>
      <c r="BI40" s="39">
        <f t="shared" ca="1" si="19"/>
        <v>-2500.3199999999997</v>
      </c>
      <c r="BJ40" s="40">
        <f t="shared" ca="1" si="17"/>
        <v>-4.8186232527017446E-2</v>
      </c>
      <c r="BK40" s="41">
        <f t="shared" ca="1" si="20"/>
        <v>26</v>
      </c>
      <c r="BL40" s="41">
        <f t="shared" ca="1" si="21"/>
        <v>-227.30181818181816</v>
      </c>
    </row>
    <row r="41" spans="1:64" ht="16.5" thickBot="1">
      <c r="A41" s="43" t="s">
        <v>29</v>
      </c>
      <c r="B41" s="206">
        <v>5305.51</v>
      </c>
      <c r="C41" s="27" t="s">
        <v>0</v>
      </c>
      <c r="D41" s="189">
        <f>'01'!B440</f>
        <v>-636.14</v>
      </c>
      <c r="E41" s="189">
        <f>SUM('01'!D440:F440)</f>
        <v>0</v>
      </c>
      <c r="F41" s="181">
        <f t="shared" si="2"/>
        <v>4669.37</v>
      </c>
      <c r="G41" s="27" t="s">
        <v>1</v>
      </c>
      <c r="H41" s="189">
        <f>'02'!B440</f>
        <v>1117.3900000000001</v>
      </c>
      <c r="I41" s="189">
        <f>SUM('02'!D440:F440)</f>
        <v>0</v>
      </c>
      <c r="J41" s="181">
        <f t="shared" si="3"/>
        <v>5786.76</v>
      </c>
      <c r="K41" s="27" t="s">
        <v>2</v>
      </c>
      <c r="L41" s="189">
        <f>'03'!B440</f>
        <v>-59.16</v>
      </c>
      <c r="M41" s="189">
        <f>SUM('03'!D440:F440)</f>
        <v>0</v>
      </c>
      <c r="N41" s="181">
        <f t="shared" si="4"/>
        <v>5727.6</v>
      </c>
      <c r="O41" s="27" t="s">
        <v>3</v>
      </c>
      <c r="P41" s="189">
        <f>'04'!B440</f>
        <v>2565.52</v>
      </c>
      <c r="Q41" s="189">
        <f>SUM('04'!D440:F440)</f>
        <v>0</v>
      </c>
      <c r="R41" s="181">
        <f t="shared" si="5"/>
        <v>8293.1200000000008</v>
      </c>
      <c r="S41" s="27" t="s">
        <v>99</v>
      </c>
      <c r="T41" s="189">
        <f>'05'!B440</f>
        <v>-250.52</v>
      </c>
      <c r="U41" s="189">
        <f>SUM('05'!D440:F440)</f>
        <v>0</v>
      </c>
      <c r="V41" s="181">
        <f t="shared" si="6"/>
        <v>8042.6</v>
      </c>
      <c r="W41" s="27" t="s">
        <v>95</v>
      </c>
      <c r="X41" s="189">
        <f>'06'!B440</f>
        <v>1436.9700000000003</v>
      </c>
      <c r="Y41" s="189">
        <f>SUM('06'!D440:F440)</f>
        <v>0</v>
      </c>
      <c r="Z41" s="181">
        <f t="shared" si="7"/>
        <v>9479.57</v>
      </c>
      <c r="AA41" s="27" t="s">
        <v>103</v>
      </c>
      <c r="AB41" s="189">
        <f>'07'!B440</f>
        <v>-190.40000000000055</v>
      </c>
      <c r="AC41" s="189">
        <f>SUM('07'!D440:F440)</f>
        <v>0</v>
      </c>
      <c r="AD41" s="181">
        <f t="shared" si="8"/>
        <v>9289.1699999999983</v>
      </c>
      <c r="AE41" s="27" t="s">
        <v>104</v>
      </c>
      <c r="AF41" s="189">
        <f>'08'!B440</f>
        <v>-1589.8899999999999</v>
      </c>
      <c r="AG41" s="189">
        <f>SUM('08'!D440:F440)</f>
        <v>0</v>
      </c>
      <c r="AH41" s="181">
        <f t="shared" si="9"/>
        <v>7699.2799999999988</v>
      </c>
      <c r="AI41" s="27" t="s">
        <v>108</v>
      </c>
      <c r="AJ41" s="189">
        <f>'09'!B440</f>
        <v>-318.40999999999985</v>
      </c>
      <c r="AK41" s="189">
        <f>SUM('09'!D440:F440)</f>
        <v>0</v>
      </c>
      <c r="AL41" s="181">
        <f t="shared" si="10"/>
        <v>7380.869999999999</v>
      </c>
      <c r="AM41" s="27" t="s">
        <v>109</v>
      </c>
      <c r="AN41" s="189">
        <f>'10'!B440</f>
        <v>-172.79999999999927</v>
      </c>
      <c r="AO41" s="189">
        <f>SUM('10'!D440:F440)</f>
        <v>0</v>
      </c>
      <c r="AP41" s="181">
        <f t="shared" si="11"/>
        <v>7208.07</v>
      </c>
      <c r="AQ41" s="27" t="s">
        <v>114</v>
      </c>
      <c r="AR41" s="189">
        <f>'11'!B440</f>
        <v>-2567.73</v>
      </c>
      <c r="AS41" s="189">
        <f>SUM('11'!D440:F440)</f>
        <v>0</v>
      </c>
      <c r="AT41" s="181">
        <f t="shared" si="12"/>
        <v>4640.34</v>
      </c>
      <c r="AU41" s="27" t="s">
        <v>118</v>
      </c>
      <c r="AV41" s="189">
        <f>'12'!B440</f>
        <v>-3900</v>
      </c>
      <c r="AW41" s="189">
        <f>SUM('12'!D440:F440)</f>
        <v>0</v>
      </c>
      <c r="AX41" s="181">
        <f t="shared" si="13"/>
        <v>740.34000000000015</v>
      </c>
      <c r="AY41" s="44">
        <f t="shared" si="22"/>
        <v>0</v>
      </c>
      <c r="AZ41" s="40">
        <f t="shared" si="15"/>
        <v>0</v>
      </c>
      <c r="BA41" s="41">
        <f t="shared" si="18"/>
        <v>23</v>
      </c>
      <c r="BB41" s="41">
        <f t="shared" ca="1" si="16"/>
        <v>0</v>
      </c>
      <c r="BI41" s="175">
        <f t="shared" ca="1" si="19"/>
        <v>-665.16999999999916</v>
      </c>
      <c r="BJ41" s="40">
        <f t="shared" ca="1" si="17"/>
        <v>-1.2819173661769757E-2</v>
      </c>
      <c r="BK41" s="41">
        <f t="shared" ca="1" si="20"/>
        <v>25</v>
      </c>
      <c r="BL41" s="41">
        <f t="shared" ca="1" si="21"/>
        <v>-60.469999999999921</v>
      </c>
    </row>
    <row r="42" spans="1:64" ht="16.5" thickBot="1">
      <c r="A42" s="45" t="s">
        <v>263</v>
      </c>
      <c r="B42" s="207">
        <v>0</v>
      </c>
      <c r="C42" s="26" t="s">
        <v>0</v>
      </c>
      <c r="D42" s="190">
        <f>'01'!B460</f>
        <v>1800.04</v>
      </c>
      <c r="E42" s="190">
        <f>SUM('01'!D460:F460)</f>
        <v>0</v>
      </c>
      <c r="F42" s="183">
        <f t="shared" si="2"/>
        <v>1800.04</v>
      </c>
      <c r="G42" s="26" t="s">
        <v>1</v>
      </c>
      <c r="H42" s="190">
        <f>'02'!B460</f>
        <v>5092.08</v>
      </c>
      <c r="I42" s="190">
        <f>SUM('02'!D460:F460)</f>
        <v>0</v>
      </c>
      <c r="J42" s="183">
        <f t="shared" si="3"/>
        <v>6892.12</v>
      </c>
      <c r="K42" s="26" t="s">
        <v>2</v>
      </c>
      <c r="L42" s="190">
        <f>'03'!B460</f>
        <v>0</v>
      </c>
      <c r="M42" s="190">
        <f>SUM('03'!D460:F460)</f>
        <v>0</v>
      </c>
      <c r="N42" s="183">
        <f t="shared" si="4"/>
        <v>6892.12</v>
      </c>
      <c r="O42" s="26" t="s">
        <v>3</v>
      </c>
      <c r="P42" s="190">
        <f>'04'!B460</f>
        <v>0</v>
      </c>
      <c r="Q42" s="190">
        <f>SUM('04'!D460:F460)</f>
        <v>0</v>
      </c>
      <c r="R42" s="183">
        <f t="shared" si="5"/>
        <v>6892.12</v>
      </c>
      <c r="S42" s="26" t="s">
        <v>99</v>
      </c>
      <c r="T42" s="190">
        <f>'05'!B460</f>
        <v>0</v>
      </c>
      <c r="U42" s="190">
        <f>SUM('05'!D460:F460)</f>
        <v>0</v>
      </c>
      <c r="V42" s="183">
        <f t="shared" si="6"/>
        <v>6892.12</v>
      </c>
      <c r="W42" s="26" t="s">
        <v>95</v>
      </c>
      <c r="X42" s="190">
        <f>'06'!B460</f>
        <v>0</v>
      </c>
      <c r="Y42" s="190">
        <f>SUM('06'!D460:F460)</f>
        <v>0</v>
      </c>
      <c r="Z42" s="183">
        <f t="shared" si="7"/>
        <v>6892.12</v>
      </c>
      <c r="AA42" s="26" t="s">
        <v>103</v>
      </c>
      <c r="AB42" s="190">
        <f>'07'!B460</f>
        <v>0</v>
      </c>
      <c r="AC42" s="190">
        <f>SUM('07'!D460:F460)</f>
        <v>0</v>
      </c>
      <c r="AD42" s="183">
        <f t="shared" si="8"/>
        <v>6892.12</v>
      </c>
      <c r="AE42" s="26" t="s">
        <v>104</v>
      </c>
      <c r="AF42" s="190">
        <f>'08'!B460</f>
        <v>0</v>
      </c>
      <c r="AG42" s="190">
        <f>SUM('08'!D460:F460)</f>
        <v>0</v>
      </c>
      <c r="AH42" s="183">
        <f t="shared" si="9"/>
        <v>6892.12</v>
      </c>
      <c r="AI42" s="26" t="s">
        <v>108</v>
      </c>
      <c r="AJ42" s="190">
        <f>'09'!B460</f>
        <v>0</v>
      </c>
      <c r="AK42" s="190">
        <f>SUM('09'!D460:F460)</f>
        <v>0</v>
      </c>
      <c r="AL42" s="183">
        <f t="shared" si="10"/>
        <v>6892.12</v>
      </c>
      <c r="AM42" s="26" t="s">
        <v>109</v>
      </c>
      <c r="AN42" s="190">
        <f>'10'!B460</f>
        <v>0</v>
      </c>
      <c r="AO42" s="190">
        <f>SUM('10'!D460:F460)</f>
        <v>0</v>
      </c>
      <c r="AP42" s="183">
        <f t="shared" si="11"/>
        <v>6892.12</v>
      </c>
      <c r="AQ42" s="26" t="s">
        <v>114</v>
      </c>
      <c r="AR42" s="190">
        <f>'11'!B460</f>
        <v>0</v>
      </c>
      <c r="AS42" s="190">
        <f>SUM('11'!D460:F460)</f>
        <v>0</v>
      </c>
      <c r="AT42" s="183">
        <f t="shared" si="12"/>
        <v>6892.12</v>
      </c>
      <c r="AU42" s="26" t="s">
        <v>118</v>
      </c>
      <c r="AV42" s="190">
        <f>'12'!B460</f>
        <v>0</v>
      </c>
      <c r="AW42" s="190">
        <f>SUM('12'!D460:F460)</f>
        <v>0</v>
      </c>
      <c r="AX42" s="183">
        <f t="shared" si="13"/>
        <v>6892.12</v>
      </c>
      <c r="AY42" s="42">
        <f t="shared" si="22"/>
        <v>0</v>
      </c>
      <c r="AZ42" s="40">
        <f t="shared" si="15"/>
        <v>0</v>
      </c>
      <c r="BA42" s="41">
        <f t="shared" si="18"/>
        <v>23</v>
      </c>
      <c r="BB42" s="41">
        <f t="shared" ca="1" si="16"/>
        <v>0</v>
      </c>
      <c r="BI42" s="39">
        <f t="shared" ca="1" si="19"/>
        <v>6892.12</v>
      </c>
      <c r="BJ42" s="40">
        <f t="shared" ca="1" si="17"/>
        <v>0.1328251171546472</v>
      </c>
      <c r="BK42" s="41">
        <f t="shared" ca="1" si="20"/>
        <v>3</v>
      </c>
      <c r="BL42" s="41">
        <f t="shared" ca="1" si="21"/>
        <v>626.55636363636359</v>
      </c>
    </row>
    <row r="43" spans="1:64" ht="16.5" thickBot="1">
      <c r="A43" s="50" t="s">
        <v>467</v>
      </c>
      <c r="B43" s="208">
        <v>0</v>
      </c>
      <c r="C43" s="27" t="s">
        <v>0</v>
      </c>
      <c r="D43" s="179">
        <f>'01'!B480</f>
        <v>0</v>
      </c>
      <c r="E43" s="179">
        <f>SUM('01'!D480:F480)</f>
        <v>0</v>
      </c>
      <c r="F43" s="181">
        <f t="shared" si="2"/>
        <v>0</v>
      </c>
      <c r="G43" s="27" t="s">
        <v>1</v>
      </c>
      <c r="H43" s="179">
        <f>'02'!B480</f>
        <v>0</v>
      </c>
      <c r="I43" s="179">
        <f>SUM('02'!D480:F480)</f>
        <v>0</v>
      </c>
      <c r="J43" s="181">
        <f t="shared" si="3"/>
        <v>0</v>
      </c>
      <c r="K43" s="27" t="s">
        <v>2</v>
      </c>
      <c r="L43" s="179">
        <f>'03'!B480</f>
        <v>0</v>
      </c>
      <c r="M43" s="179">
        <f>SUM('03'!D480:F480)</f>
        <v>0</v>
      </c>
      <c r="N43" s="181">
        <f t="shared" si="4"/>
        <v>0</v>
      </c>
      <c r="O43" s="27" t="s">
        <v>3</v>
      </c>
      <c r="P43" s="179">
        <f>'04'!B480</f>
        <v>0</v>
      </c>
      <c r="Q43" s="179">
        <f>SUM('04'!D480:F480)</f>
        <v>0</v>
      </c>
      <c r="R43" s="181">
        <f t="shared" si="5"/>
        <v>0</v>
      </c>
      <c r="S43" s="27" t="s">
        <v>99</v>
      </c>
      <c r="T43" s="179">
        <f>'05'!B480</f>
        <v>0</v>
      </c>
      <c r="U43" s="179">
        <f>SUM('05'!D480:F480)</f>
        <v>0</v>
      </c>
      <c r="V43" s="181">
        <f t="shared" si="6"/>
        <v>0</v>
      </c>
      <c r="W43" s="27" t="s">
        <v>95</v>
      </c>
      <c r="X43" s="179">
        <f>'06'!B480</f>
        <v>0</v>
      </c>
      <c r="Y43" s="179">
        <f>SUM('06'!D480:F480)</f>
        <v>0</v>
      </c>
      <c r="Z43" s="181">
        <f t="shared" si="7"/>
        <v>0</v>
      </c>
      <c r="AA43" s="27" t="s">
        <v>103</v>
      </c>
      <c r="AB43" s="179">
        <f>'07'!B480</f>
        <v>0</v>
      </c>
      <c r="AC43" s="179">
        <f>SUM('07'!D480:F480)</f>
        <v>0</v>
      </c>
      <c r="AD43" s="181">
        <f t="shared" si="8"/>
        <v>0</v>
      </c>
      <c r="AE43" s="27" t="s">
        <v>104</v>
      </c>
      <c r="AF43" s="179">
        <f>'08'!B480</f>
        <v>315</v>
      </c>
      <c r="AG43" s="179">
        <f>SUM('08'!D480:F480)</f>
        <v>0</v>
      </c>
      <c r="AH43" s="181">
        <f t="shared" si="9"/>
        <v>315</v>
      </c>
      <c r="AI43" s="27" t="s">
        <v>108</v>
      </c>
      <c r="AJ43" s="179">
        <f>'09'!B480</f>
        <v>56</v>
      </c>
      <c r="AK43" s="179">
        <f>SUM('09'!D480:F480)</f>
        <v>100</v>
      </c>
      <c r="AL43" s="181">
        <f t="shared" si="10"/>
        <v>271</v>
      </c>
      <c r="AM43" s="27" t="s">
        <v>109</v>
      </c>
      <c r="AN43" s="179">
        <f>'10'!B480</f>
        <v>45</v>
      </c>
      <c r="AO43" s="179">
        <f>SUM('10'!D480:F480)</f>
        <v>0</v>
      </c>
      <c r="AP43" s="181">
        <f t="shared" si="11"/>
        <v>316</v>
      </c>
      <c r="AQ43" s="27" t="s">
        <v>114</v>
      </c>
      <c r="AR43" s="179">
        <f>'11'!B480</f>
        <v>50</v>
      </c>
      <c r="AS43" s="179">
        <f>SUM('11'!D480:F480)</f>
        <v>0</v>
      </c>
      <c r="AT43" s="181">
        <f t="shared" si="12"/>
        <v>366</v>
      </c>
      <c r="AU43" s="27" t="s">
        <v>118</v>
      </c>
      <c r="AV43" s="179">
        <f>'12'!B480</f>
        <v>50</v>
      </c>
      <c r="AW43" s="179">
        <f>SUM('12'!D480:F480)</f>
        <v>0</v>
      </c>
      <c r="AX43" s="181">
        <f t="shared" si="13"/>
        <v>416</v>
      </c>
      <c r="AY43" s="44">
        <f t="shared" si="22"/>
        <v>100</v>
      </c>
      <c r="AZ43" s="40">
        <f t="shared" si="15"/>
        <v>2.193413442641361E-3</v>
      </c>
      <c r="BA43" s="41">
        <f t="shared" si="18"/>
        <v>20</v>
      </c>
      <c r="BB43" s="41">
        <f t="shared" ca="1" si="16"/>
        <v>9.0909090909090917</v>
      </c>
      <c r="BI43" s="175">
        <f t="shared" ca="1" si="19"/>
        <v>466</v>
      </c>
      <c r="BJ43" s="40">
        <f t="shared" ca="1" si="17"/>
        <v>8.9807642052177859E-3</v>
      </c>
      <c r="BK43" s="41">
        <f t="shared" ca="1" si="20"/>
        <v>18</v>
      </c>
      <c r="BL43" s="41">
        <f t="shared" ca="1" si="21"/>
        <v>42.363636363636367</v>
      </c>
    </row>
    <row r="44" spans="1:64" ht="16.5" thickBot="1">
      <c r="A44" s="75" t="s">
        <v>31</v>
      </c>
      <c r="B44" s="209">
        <v>0</v>
      </c>
      <c r="C44" s="26" t="s">
        <v>0</v>
      </c>
      <c r="D44" s="191">
        <f>'01'!B500</f>
        <v>0</v>
      </c>
      <c r="E44" s="191">
        <f>SUM('01'!D500:F500)</f>
        <v>0</v>
      </c>
      <c r="F44" s="192">
        <f t="shared" si="2"/>
        <v>0</v>
      </c>
      <c r="G44" s="26" t="s">
        <v>1</v>
      </c>
      <c r="H44" s="191">
        <f>'02'!B500</f>
        <v>0</v>
      </c>
      <c r="I44" s="191">
        <f>SUM('02'!D500:F500)</f>
        <v>0</v>
      </c>
      <c r="J44" s="192">
        <f t="shared" si="3"/>
        <v>0</v>
      </c>
      <c r="K44" s="26" t="s">
        <v>2</v>
      </c>
      <c r="L44" s="191">
        <f>'03'!B500</f>
        <v>0</v>
      </c>
      <c r="M44" s="191">
        <f>SUM('03'!D500:F500)</f>
        <v>0</v>
      </c>
      <c r="N44" s="192">
        <f t="shared" si="4"/>
        <v>0</v>
      </c>
      <c r="O44" s="26" t="s">
        <v>3</v>
      </c>
      <c r="P44" s="191">
        <f>'04'!B500</f>
        <v>0</v>
      </c>
      <c r="Q44" s="191">
        <f>SUM('04'!D500:F500)</f>
        <v>0</v>
      </c>
      <c r="R44" s="192">
        <f t="shared" si="5"/>
        <v>0</v>
      </c>
      <c r="S44" s="26" t="s">
        <v>99</v>
      </c>
      <c r="T44" s="191">
        <f>'05'!B500</f>
        <v>0</v>
      </c>
      <c r="U44" s="191">
        <f>SUM('05'!D500:F500)</f>
        <v>0</v>
      </c>
      <c r="V44" s="192">
        <f t="shared" si="6"/>
        <v>0</v>
      </c>
      <c r="W44" s="26" t="s">
        <v>95</v>
      </c>
      <c r="X44" s="191">
        <f>'06'!B500</f>
        <v>0</v>
      </c>
      <c r="Y44" s="191">
        <f>SUM('06'!D500:F500)</f>
        <v>0</v>
      </c>
      <c r="Z44" s="192">
        <f t="shared" si="7"/>
        <v>0</v>
      </c>
      <c r="AA44" s="26" t="s">
        <v>103</v>
      </c>
      <c r="AB44" s="191">
        <f>'07'!B500</f>
        <v>0</v>
      </c>
      <c r="AC44" s="191">
        <f>SUM('07'!D500:F500)</f>
        <v>0</v>
      </c>
      <c r="AD44" s="192">
        <f t="shared" si="8"/>
        <v>0</v>
      </c>
      <c r="AE44" s="26" t="s">
        <v>104</v>
      </c>
      <c r="AF44" s="191">
        <f>'08'!B500</f>
        <v>0</v>
      </c>
      <c r="AG44" s="191">
        <f>SUM('08'!D500:F500)</f>
        <v>0</v>
      </c>
      <c r="AH44" s="192">
        <f t="shared" si="9"/>
        <v>0</v>
      </c>
      <c r="AI44" s="26" t="s">
        <v>108</v>
      </c>
      <c r="AJ44" s="191">
        <f>'09'!B500</f>
        <v>0</v>
      </c>
      <c r="AK44" s="191">
        <f>SUM('09'!D500:F500)</f>
        <v>0</v>
      </c>
      <c r="AL44" s="192">
        <f t="shared" si="10"/>
        <v>0</v>
      </c>
      <c r="AM44" s="26" t="s">
        <v>109</v>
      </c>
      <c r="AN44" s="191">
        <f>'10'!B500</f>
        <v>0</v>
      </c>
      <c r="AO44" s="191">
        <f>SUM('10'!D500:F500)</f>
        <v>0</v>
      </c>
      <c r="AP44" s="192">
        <f t="shared" si="11"/>
        <v>0</v>
      </c>
      <c r="AQ44" s="26" t="s">
        <v>114</v>
      </c>
      <c r="AR44" s="191">
        <f>'11'!B500</f>
        <v>0</v>
      </c>
      <c r="AS44" s="191">
        <f>SUM('11'!D500:F500)</f>
        <v>0</v>
      </c>
      <c r="AT44" s="192">
        <f t="shared" si="12"/>
        <v>0</v>
      </c>
      <c r="AU44" s="26" t="s">
        <v>118</v>
      </c>
      <c r="AV44" s="191">
        <f>'12'!B500</f>
        <v>0</v>
      </c>
      <c r="AW44" s="191">
        <f>SUM('12'!D500:F500)</f>
        <v>0</v>
      </c>
      <c r="AX44" s="192">
        <f t="shared" si="13"/>
        <v>0</v>
      </c>
      <c r="AY44" s="42">
        <f t="shared" si="22"/>
        <v>0</v>
      </c>
      <c r="AZ44" s="40">
        <f t="shared" si="15"/>
        <v>0</v>
      </c>
      <c r="BA44" s="41">
        <f t="shared" si="18"/>
        <v>23</v>
      </c>
      <c r="BB44" s="41">
        <f t="shared" ca="1" si="16"/>
        <v>0</v>
      </c>
      <c r="BI44" s="39">
        <f t="shared" ca="1" si="19"/>
        <v>0</v>
      </c>
      <c r="BJ44" s="40">
        <f t="shared" ca="1" si="17"/>
        <v>0</v>
      </c>
      <c r="BK44" s="41">
        <f t="shared" ca="1" si="20"/>
        <v>24</v>
      </c>
      <c r="BL44" s="41">
        <f t="shared" ca="1" si="21"/>
        <v>0</v>
      </c>
    </row>
    <row r="45" spans="1:64" ht="16.5" thickBot="1">
      <c r="A45" s="76" t="s">
        <v>30</v>
      </c>
      <c r="B45" s="210">
        <v>68.220000000000027</v>
      </c>
      <c r="C45" s="77" t="s">
        <v>0</v>
      </c>
      <c r="D45" s="193">
        <f>'01'!B520</f>
        <v>10</v>
      </c>
      <c r="E45" s="194">
        <f>SUM('01'!D520:F520)</f>
        <v>0</v>
      </c>
      <c r="F45" s="195">
        <f t="shared" si="2"/>
        <v>78.220000000000027</v>
      </c>
      <c r="G45" s="77" t="s">
        <v>1</v>
      </c>
      <c r="H45" s="193">
        <f>'02'!B520</f>
        <v>10</v>
      </c>
      <c r="I45" s="194">
        <f>SUM('02'!D520:F520)</f>
        <v>0</v>
      </c>
      <c r="J45" s="195">
        <f t="shared" si="3"/>
        <v>88.220000000000027</v>
      </c>
      <c r="K45" s="77" t="s">
        <v>2</v>
      </c>
      <c r="L45" s="193">
        <f>'03'!B520</f>
        <v>10</v>
      </c>
      <c r="M45" s="194">
        <f>SUM('03'!D520:F520)</f>
        <v>3.5</v>
      </c>
      <c r="N45" s="195">
        <f t="shared" si="4"/>
        <v>94.720000000000027</v>
      </c>
      <c r="O45" s="77" t="s">
        <v>3</v>
      </c>
      <c r="P45" s="193">
        <f>'04'!B520</f>
        <v>10</v>
      </c>
      <c r="Q45" s="194">
        <f>SUM('04'!D520:F520)</f>
        <v>0</v>
      </c>
      <c r="R45" s="195">
        <f t="shared" si="5"/>
        <v>104.72000000000003</v>
      </c>
      <c r="S45" s="77" t="s">
        <v>99</v>
      </c>
      <c r="T45" s="193">
        <f>'05'!B520</f>
        <v>0</v>
      </c>
      <c r="U45" s="194">
        <f>SUM('05'!D520:F520)</f>
        <v>0</v>
      </c>
      <c r="V45" s="195">
        <f t="shared" si="6"/>
        <v>104.72000000000003</v>
      </c>
      <c r="W45" s="77" t="s">
        <v>95</v>
      </c>
      <c r="X45" s="193">
        <f>'06'!B520</f>
        <v>0</v>
      </c>
      <c r="Y45" s="194">
        <f>SUM('06'!D520:F520)</f>
        <v>0</v>
      </c>
      <c r="Z45" s="195">
        <f t="shared" si="7"/>
        <v>104.72000000000003</v>
      </c>
      <c r="AA45" s="77" t="s">
        <v>103</v>
      </c>
      <c r="AB45" s="193">
        <f>'07'!B520</f>
        <v>0</v>
      </c>
      <c r="AC45" s="194">
        <f>SUM('07'!D520:F520)</f>
        <v>67.8</v>
      </c>
      <c r="AD45" s="195">
        <f t="shared" si="8"/>
        <v>36.92000000000003</v>
      </c>
      <c r="AE45" s="77" t="s">
        <v>104</v>
      </c>
      <c r="AF45" s="193">
        <f>'08'!B520</f>
        <v>10</v>
      </c>
      <c r="AG45" s="194">
        <f>SUM('08'!D520:F520)</f>
        <v>0</v>
      </c>
      <c r="AH45" s="195">
        <f t="shared" si="9"/>
        <v>46.92000000000003</v>
      </c>
      <c r="AI45" s="77" t="s">
        <v>108</v>
      </c>
      <c r="AJ45" s="193">
        <f>'09'!B520</f>
        <v>49</v>
      </c>
      <c r="AK45" s="194">
        <f>SUM('09'!D520:F520)</f>
        <v>0</v>
      </c>
      <c r="AL45" s="195">
        <f t="shared" si="10"/>
        <v>95.92000000000003</v>
      </c>
      <c r="AM45" s="77" t="s">
        <v>109</v>
      </c>
      <c r="AN45" s="193">
        <f>'10'!B520</f>
        <v>0</v>
      </c>
      <c r="AO45" s="194">
        <f>SUM('10'!D520:F520)</f>
        <v>0</v>
      </c>
      <c r="AP45" s="195">
        <f t="shared" si="11"/>
        <v>95.92000000000003</v>
      </c>
      <c r="AQ45" s="77" t="s">
        <v>114</v>
      </c>
      <c r="AR45" s="193">
        <f>'11'!B520</f>
        <v>0</v>
      </c>
      <c r="AS45" s="194">
        <f>SUM('11'!D520:F520)</f>
        <v>0</v>
      </c>
      <c r="AT45" s="195">
        <f t="shared" si="12"/>
        <v>95.92000000000003</v>
      </c>
      <c r="AU45" s="77" t="s">
        <v>118</v>
      </c>
      <c r="AV45" s="193">
        <f>'12'!B520</f>
        <v>0</v>
      </c>
      <c r="AW45" s="194">
        <f>SUM('12'!D520:F520)</f>
        <v>0</v>
      </c>
      <c r="AX45" s="195">
        <f t="shared" si="13"/>
        <v>95.92000000000003</v>
      </c>
      <c r="AY45" s="78">
        <f t="shared" si="22"/>
        <v>71.3</v>
      </c>
      <c r="AZ45" s="40">
        <f t="shared" si="15"/>
        <v>1.5639037846032903E-3</v>
      </c>
      <c r="BA45" s="41">
        <f t="shared" si="18"/>
        <v>21</v>
      </c>
      <c r="BB45" s="41">
        <f t="shared" ca="1" si="16"/>
        <v>6.4818181818181815</v>
      </c>
      <c r="BI45" s="175">
        <f t="shared" ca="1" si="19"/>
        <v>99</v>
      </c>
      <c r="BJ45" s="40">
        <f t="shared" ca="1" si="17"/>
        <v>1.9079305929539929E-3</v>
      </c>
      <c r="BK45" s="41">
        <f t="shared" ca="1" si="20"/>
        <v>23</v>
      </c>
      <c r="BL45" s="41">
        <f t="shared" ca="1" si="21"/>
        <v>9</v>
      </c>
    </row>
    <row r="46" spans="1:64" ht="17.25" thickTop="1" thickBot="1">
      <c r="A46" s="80" t="s">
        <v>5</v>
      </c>
      <c r="B46" s="211">
        <f>SUM(B20:B45)</f>
        <v>17336.68</v>
      </c>
      <c r="C46" s="81"/>
      <c r="D46" s="196">
        <f>SUM(D20:D45)</f>
        <v>9364.27</v>
      </c>
      <c r="E46" s="196">
        <f>SUM(E20:E45)</f>
        <v>6483.9500000000007</v>
      </c>
      <c r="F46" s="197">
        <f>SUM(F20:F45)</f>
        <v>20217</v>
      </c>
      <c r="G46" s="81"/>
      <c r="H46" s="196">
        <f>SUM(H20:H45)</f>
        <v>5516.34</v>
      </c>
      <c r="I46" s="196">
        <f>SUM(I20:I45)</f>
        <v>4518.7700000000013</v>
      </c>
      <c r="J46" s="197">
        <f>SUM(J20:J45)</f>
        <v>21214.570000000003</v>
      </c>
      <c r="K46" s="81"/>
      <c r="L46" s="196">
        <f>SUM(L20:L45)</f>
        <v>3826.44</v>
      </c>
      <c r="M46" s="196">
        <f>SUM(M20:M45)</f>
        <v>4321.1000000000004</v>
      </c>
      <c r="N46" s="197">
        <f>SUM(N20:N45)</f>
        <v>20719.91</v>
      </c>
      <c r="O46" s="81"/>
      <c r="P46" s="196">
        <f>SUM(P20:P45)</f>
        <v>6525.65</v>
      </c>
      <c r="Q46" s="196">
        <f>SUM(Q20:Q45)</f>
        <v>4339.7</v>
      </c>
      <c r="R46" s="197">
        <f>SUM(R20:R45)</f>
        <v>22905.86</v>
      </c>
      <c r="S46" s="81"/>
      <c r="T46" s="196">
        <f>SUM(T20:T45)</f>
        <v>3996.6700000000005</v>
      </c>
      <c r="U46" s="196">
        <f>SUM(U20:U45)</f>
        <v>3280.39</v>
      </c>
      <c r="V46" s="197">
        <f>SUM(V20:V45)</f>
        <v>23622.14</v>
      </c>
      <c r="W46" s="81"/>
      <c r="X46" s="196">
        <f>SUM(X20:X45)</f>
        <v>5438.31</v>
      </c>
      <c r="Y46" s="196">
        <f>SUM(Y20:Y45)</f>
        <v>4148.8899999999994</v>
      </c>
      <c r="Z46" s="197">
        <f>SUM(Z20:Z45)</f>
        <v>24911.56</v>
      </c>
      <c r="AA46" s="81"/>
      <c r="AB46" s="196">
        <f>SUM(AB20:AB45)</f>
        <v>4427.8999999999996</v>
      </c>
      <c r="AC46" s="196">
        <f>SUM(AC20:AC45)</f>
        <v>4850.7100000000009</v>
      </c>
      <c r="AD46" s="197">
        <f>SUM(AD20:AD45)</f>
        <v>24488.749999999996</v>
      </c>
      <c r="AE46" s="81"/>
      <c r="AF46" s="196">
        <f>SUM(AF20:AF45)</f>
        <v>3385.5500000000006</v>
      </c>
      <c r="AG46" s="196">
        <f>SUM(AG20:AG45)</f>
        <v>3261.04</v>
      </c>
      <c r="AH46" s="197">
        <f>SUM(AH20:AH45)</f>
        <v>24613.26</v>
      </c>
      <c r="AI46" s="81"/>
      <c r="AJ46" s="196">
        <f>SUM(AJ20:AJ45)</f>
        <v>4189.3</v>
      </c>
      <c r="AK46" s="196">
        <f>SUM(AK20:AK45)</f>
        <v>5046.7</v>
      </c>
      <c r="AL46" s="197">
        <f>SUM(AL20:AL45)</f>
        <v>23755.859999999997</v>
      </c>
      <c r="AM46" s="81"/>
      <c r="AN46" s="196">
        <f>SUM(AN20:AN45)</f>
        <v>3755.4000000000005</v>
      </c>
      <c r="AO46" s="196">
        <f>SUM(AO20:AO45)</f>
        <v>4197.3199999999988</v>
      </c>
      <c r="AP46" s="197">
        <f>SUM(AP20:AP45)</f>
        <v>23313.939999999995</v>
      </c>
      <c r="AQ46" s="81"/>
      <c r="AR46" s="196">
        <f>SUM(AR20:AR45)</f>
        <v>1462.85</v>
      </c>
      <c r="AS46" s="196">
        <f>SUM(AS20:AS45)</f>
        <v>1142.47</v>
      </c>
      <c r="AT46" s="197">
        <f>SUM(AT20:AT45)</f>
        <v>23634.32</v>
      </c>
      <c r="AU46" s="81"/>
      <c r="AV46" s="196">
        <f>SUM(AV20:AV45)</f>
        <v>0</v>
      </c>
      <c r="AW46" s="196">
        <f>SUM(AW20:AW45)</f>
        <v>0</v>
      </c>
      <c r="AX46" s="197">
        <f>SUM(AX20:AX45)</f>
        <v>23634.319999999996</v>
      </c>
      <c r="AY46" s="28">
        <f>SUM(AY20:AY45)</f>
        <v>45591.040000000001</v>
      </c>
      <c r="AZ46" s="1"/>
      <c r="BA46" s="1"/>
      <c r="BB46" s="176">
        <f ca="1">SUM(BB20:BB45)</f>
        <v>4144.6400000000003</v>
      </c>
      <c r="BI46" s="28">
        <f ca="1">SUM(BI20:BI45)</f>
        <v>51888.68</v>
      </c>
      <c r="BJ46" s="1"/>
      <c r="BK46" s="1"/>
      <c r="BL46" s="176">
        <f ca="1">SUM(BL20:BL45)</f>
        <v>4717.152727272728</v>
      </c>
    </row>
    <row r="47" spans="1:64" s="68" customFormat="1" ht="12.75">
      <c r="A47" s="67" t="s">
        <v>314</v>
      </c>
      <c r="B47" s="198"/>
      <c r="C47" s="198">
        <f>C5-B46</f>
        <v>0</v>
      </c>
      <c r="D47" s="198">
        <f>C17-D46</f>
        <v>0</v>
      </c>
      <c r="E47" s="198">
        <f>C17-E46</f>
        <v>2880.3199999999997</v>
      </c>
      <c r="F47" s="198"/>
      <c r="G47" s="198">
        <f>G5-F46</f>
        <v>0</v>
      </c>
      <c r="H47" s="198">
        <f>G17-H46</f>
        <v>0</v>
      </c>
      <c r="I47" s="198">
        <f>G17-I46</f>
        <v>997.56999999999971</v>
      </c>
      <c r="J47" s="198"/>
      <c r="K47" s="198">
        <f>K5-J46</f>
        <v>0</v>
      </c>
      <c r="L47" s="198">
        <f>K17-L46</f>
        <v>0</v>
      </c>
      <c r="M47" s="198">
        <f>K17-M46</f>
        <v>-494.66000000000031</v>
      </c>
      <c r="N47" s="198"/>
      <c r="O47" s="198">
        <f>O5-N46</f>
        <v>0</v>
      </c>
      <c r="P47" s="198">
        <f>O17-P46</f>
        <v>0</v>
      </c>
      <c r="Q47" s="198">
        <f>O17-Q46</f>
        <v>2185.9500000000007</v>
      </c>
      <c r="R47" s="198"/>
      <c r="S47" s="198">
        <f>S5-R46</f>
        <v>0</v>
      </c>
      <c r="T47" s="198">
        <f>S17-T46</f>
        <v>0.99999999999954525</v>
      </c>
      <c r="U47" s="198">
        <f>S17-U46</f>
        <v>717.2800000000002</v>
      </c>
      <c r="V47" s="198"/>
      <c r="W47" s="198">
        <f>W5-V46</f>
        <v>0</v>
      </c>
      <c r="X47" s="198">
        <f>W17-X46</f>
        <v>0</v>
      </c>
      <c r="Y47" s="198">
        <f>W17-Y46</f>
        <v>1289.420000000001</v>
      </c>
      <c r="Z47" s="198"/>
      <c r="AA47" s="198">
        <f>AA5-Z46</f>
        <v>0</v>
      </c>
      <c r="AB47" s="198">
        <f>AA17-AB46</f>
        <v>0</v>
      </c>
      <c r="AC47" s="198">
        <f>AA17-AC46</f>
        <v>-422.81000000000131</v>
      </c>
      <c r="AD47" s="198"/>
      <c r="AE47" s="198">
        <f>AE5-AD46</f>
        <v>0</v>
      </c>
      <c r="AF47" s="198">
        <f>AE17-AF46</f>
        <v>0</v>
      </c>
      <c r="AG47" s="198">
        <f>AE17-AG46</f>
        <v>124.50999999999976</v>
      </c>
      <c r="AH47" s="198"/>
      <c r="AI47" s="198">
        <f>AI5-AH46</f>
        <v>0</v>
      </c>
      <c r="AJ47" s="198">
        <f>AI17-AJ46</f>
        <v>0</v>
      </c>
      <c r="AK47" s="198">
        <f>AI17-AK46</f>
        <v>-857.39999999999964</v>
      </c>
      <c r="AL47" s="198"/>
      <c r="AM47" s="198">
        <f>AM5-AL46</f>
        <v>0</v>
      </c>
      <c r="AN47" s="198">
        <f>AM17-AN46</f>
        <v>0</v>
      </c>
      <c r="AO47" s="198">
        <f>AM17-AO46</f>
        <v>-441.91999999999825</v>
      </c>
      <c r="AP47" s="198"/>
      <c r="AQ47" s="198">
        <f>AQ5-AP46</f>
        <v>0</v>
      </c>
      <c r="AR47" s="198">
        <f>AQ17-AR46</f>
        <v>0</v>
      </c>
      <c r="AS47" s="198">
        <f>AQ17-AS46</f>
        <v>320.37999999999988</v>
      </c>
      <c r="AT47" s="227"/>
      <c r="AU47" s="198">
        <f>AU5-AT46</f>
        <v>-8532.4299999999985</v>
      </c>
      <c r="AV47" s="198">
        <f>AU17-AV46</f>
        <v>0</v>
      </c>
      <c r="AW47" s="198">
        <f>AU17-AW46</f>
        <v>0</v>
      </c>
      <c r="AX47" s="198"/>
      <c r="AY47" s="198"/>
      <c r="AZ47" s="67"/>
      <c r="BA47" s="67"/>
      <c r="BB47" s="67"/>
    </row>
    <row r="48" spans="1:64" ht="15.75">
      <c r="A48" s="1"/>
      <c r="B48" s="1"/>
      <c r="C48" s="5"/>
      <c r="D48" s="5"/>
      <c r="E48" s="5"/>
      <c r="F48" s="5"/>
      <c r="G48" s="5"/>
      <c r="H48" s="29"/>
      <c r="I48" s="29"/>
      <c r="J48" s="29"/>
      <c r="K48" s="5"/>
      <c r="L48" s="29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29"/>
      <c r="Y48" s="29"/>
      <c r="Z48" s="29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626</v>
      </c>
      <c r="AW48" s="5"/>
      <c r="AX48" s="5"/>
      <c r="AY48" s="163">
        <v>46128</v>
      </c>
      <c r="AZ48" s="163"/>
      <c r="BA48" s="1" t="s">
        <v>627</v>
      </c>
      <c r="BB48" s="163">
        <f ca="1">12*BB46</f>
        <v>49735.680000000008</v>
      </c>
    </row>
    <row r="49" spans="1:61">
      <c r="C49" s="86"/>
      <c r="AY49" s="86"/>
      <c r="BI49" s="162"/>
    </row>
    <row r="50" spans="1:61">
      <c r="A50" t="s">
        <v>251</v>
      </c>
      <c r="B50" s="170"/>
      <c r="C50" s="170"/>
      <c r="D50" s="170"/>
      <c r="E50" s="170">
        <f>E22+20-60</f>
        <v>406.3</v>
      </c>
      <c r="F50" s="170"/>
      <c r="G50" s="170"/>
      <c r="H50" s="170"/>
      <c r="I50" s="170">
        <f>I22+20+20-75.1</f>
        <v>403.29999999999995</v>
      </c>
      <c r="J50" s="170"/>
      <c r="K50" s="170"/>
      <c r="L50" s="170"/>
      <c r="M50" s="170">
        <f>M22+20+20-61.46</f>
        <v>402.24</v>
      </c>
      <c r="N50" s="170"/>
      <c r="O50" s="170"/>
      <c r="P50" s="170"/>
      <c r="Q50" s="170">
        <f>Q22+20+20</f>
        <v>646.42999999999995</v>
      </c>
      <c r="R50" s="170"/>
      <c r="S50" s="170"/>
      <c r="T50" s="170"/>
      <c r="U50" s="170">
        <f>U22+20+122.9+31.71+66.04</f>
        <v>480.26</v>
      </c>
      <c r="V50" s="170"/>
      <c r="W50" s="170"/>
      <c r="X50" s="170"/>
      <c r="Y50" s="170">
        <f>Y22+28-97.8</f>
        <v>484.27000000000004</v>
      </c>
      <c r="Z50" s="170"/>
      <c r="AA50" s="170"/>
      <c r="AB50" s="170"/>
      <c r="AC50" s="170">
        <f>AC22+28</f>
        <v>417.21999999999997</v>
      </c>
      <c r="AD50" s="170"/>
      <c r="AE50" s="170"/>
      <c r="AF50" s="170"/>
      <c r="AG50" s="170">
        <f>AG22+28</f>
        <v>443.88999999999993</v>
      </c>
      <c r="AH50" s="170"/>
      <c r="AI50" s="170"/>
      <c r="AJ50" s="170"/>
      <c r="AK50" s="170">
        <f>AK22+28</f>
        <v>446.99999999999994</v>
      </c>
      <c r="AL50" s="170"/>
      <c r="AM50" s="170"/>
      <c r="AN50" s="170"/>
      <c r="AO50" s="170">
        <f>AO22+28-83.6</f>
        <v>469.78999999999996</v>
      </c>
      <c r="AP50" s="170"/>
      <c r="AQ50" s="170"/>
      <c r="AR50" s="170"/>
      <c r="AS50" s="170">
        <f>AS22+28</f>
        <v>189.07999999999998</v>
      </c>
      <c r="AT50" s="170"/>
      <c r="AU50" s="170"/>
      <c r="AV50" s="170"/>
      <c r="AW50" s="170">
        <f>AW22+28</f>
        <v>28</v>
      </c>
      <c r="AX50" s="170"/>
      <c r="AY50" s="170"/>
    </row>
    <row r="51" spans="1:61" ht="15.75" thickBot="1"/>
    <row r="52" spans="1:61">
      <c r="C52" s="234" t="s">
        <v>197</v>
      </c>
      <c r="D52" s="235"/>
      <c r="E52" s="235"/>
      <c r="F52" s="236"/>
      <c r="G52" s="234" t="s">
        <v>197</v>
      </c>
      <c r="H52" s="235"/>
      <c r="I52" s="235"/>
      <c r="J52" s="236"/>
      <c r="K52" s="234" t="s">
        <v>197</v>
      </c>
      <c r="L52" s="235"/>
      <c r="M52" s="235"/>
      <c r="N52" s="236"/>
      <c r="O52" s="234" t="s">
        <v>197</v>
      </c>
      <c r="P52" s="235"/>
      <c r="Q52" s="235"/>
      <c r="R52" s="236"/>
      <c r="S52" s="234" t="s">
        <v>197</v>
      </c>
      <c r="T52" s="235"/>
      <c r="U52" s="235"/>
      <c r="V52" s="236"/>
      <c r="W52" s="234" t="s">
        <v>197</v>
      </c>
      <c r="X52" s="235"/>
      <c r="Y52" s="235"/>
      <c r="Z52" s="236"/>
      <c r="AA52" s="234" t="s">
        <v>197</v>
      </c>
      <c r="AB52" s="235"/>
      <c r="AC52" s="235"/>
      <c r="AD52" s="236"/>
      <c r="AE52" s="234" t="s">
        <v>197</v>
      </c>
      <c r="AF52" s="235"/>
      <c r="AG52" s="235"/>
      <c r="AH52" s="236"/>
      <c r="AI52" s="234" t="s">
        <v>197</v>
      </c>
      <c r="AJ52" s="235"/>
      <c r="AK52" s="235"/>
      <c r="AL52" s="236"/>
      <c r="AM52" s="234" t="s">
        <v>197</v>
      </c>
      <c r="AN52" s="235"/>
      <c r="AO52" s="235"/>
      <c r="AP52" s="236"/>
      <c r="AQ52" s="234" t="s">
        <v>197</v>
      </c>
      <c r="AR52" s="235"/>
      <c r="AS52" s="235"/>
      <c r="AT52" s="236"/>
      <c r="AU52" s="234" t="s">
        <v>197</v>
      </c>
      <c r="AV52" s="235"/>
      <c r="AW52" s="235"/>
      <c r="AX52" s="236"/>
    </row>
    <row r="53" spans="1:61" ht="15.75" thickBot="1">
      <c r="C53" s="141" t="s">
        <v>198</v>
      </c>
      <c r="D53" s="237" t="s">
        <v>33</v>
      </c>
      <c r="E53" s="238"/>
      <c r="F53" s="142" t="s">
        <v>134</v>
      </c>
      <c r="G53" s="141" t="s">
        <v>198</v>
      </c>
      <c r="H53" s="237" t="s">
        <v>33</v>
      </c>
      <c r="I53" s="238"/>
      <c r="J53" s="142" t="s">
        <v>134</v>
      </c>
      <c r="K53" s="141" t="s">
        <v>198</v>
      </c>
      <c r="L53" s="237" t="s">
        <v>33</v>
      </c>
      <c r="M53" s="238"/>
      <c r="N53" s="142" t="s">
        <v>134</v>
      </c>
      <c r="O53" s="141" t="s">
        <v>198</v>
      </c>
      <c r="P53" s="237" t="s">
        <v>33</v>
      </c>
      <c r="Q53" s="238"/>
      <c r="R53" s="142" t="s">
        <v>134</v>
      </c>
      <c r="S53" s="141" t="s">
        <v>198</v>
      </c>
      <c r="T53" s="237" t="s">
        <v>33</v>
      </c>
      <c r="U53" s="238"/>
      <c r="V53" s="142" t="s">
        <v>134</v>
      </c>
      <c r="W53" s="141" t="s">
        <v>198</v>
      </c>
      <c r="X53" s="237" t="s">
        <v>33</v>
      </c>
      <c r="Y53" s="238"/>
      <c r="Z53" s="142" t="s">
        <v>134</v>
      </c>
      <c r="AA53" s="141" t="s">
        <v>198</v>
      </c>
      <c r="AB53" s="237" t="s">
        <v>33</v>
      </c>
      <c r="AC53" s="238"/>
      <c r="AD53" s="142" t="s">
        <v>134</v>
      </c>
      <c r="AE53" s="141" t="s">
        <v>198</v>
      </c>
      <c r="AF53" s="237" t="s">
        <v>33</v>
      </c>
      <c r="AG53" s="238"/>
      <c r="AH53" s="142" t="s">
        <v>134</v>
      </c>
      <c r="AI53" s="141" t="s">
        <v>198</v>
      </c>
      <c r="AJ53" s="237" t="s">
        <v>33</v>
      </c>
      <c r="AK53" s="238"/>
      <c r="AL53" s="142" t="s">
        <v>134</v>
      </c>
      <c r="AM53" s="141" t="s">
        <v>198</v>
      </c>
      <c r="AN53" s="237" t="s">
        <v>33</v>
      </c>
      <c r="AO53" s="238"/>
      <c r="AP53" s="142" t="s">
        <v>134</v>
      </c>
      <c r="AQ53" s="141" t="s">
        <v>198</v>
      </c>
      <c r="AR53" s="237" t="s">
        <v>33</v>
      </c>
      <c r="AS53" s="238"/>
      <c r="AT53" s="142" t="s">
        <v>134</v>
      </c>
      <c r="AU53" s="141" t="s">
        <v>198</v>
      </c>
      <c r="AV53" s="237" t="s">
        <v>33</v>
      </c>
      <c r="AW53" s="238"/>
      <c r="AX53" s="142" t="s">
        <v>134</v>
      </c>
    </row>
    <row r="54" spans="1:61">
      <c r="C54" s="143">
        <v>43112</v>
      </c>
      <c r="D54" s="239" t="s">
        <v>199</v>
      </c>
      <c r="E54" s="240"/>
      <c r="F54" s="146">
        <v>10</v>
      </c>
      <c r="G54" s="143">
        <v>43137</v>
      </c>
      <c r="H54" s="239" t="s">
        <v>219</v>
      </c>
      <c r="I54" s="240"/>
      <c r="J54" s="148">
        <v>10</v>
      </c>
      <c r="K54" s="143">
        <v>43166</v>
      </c>
      <c r="L54" s="257" t="s">
        <v>287</v>
      </c>
      <c r="M54" s="258"/>
      <c r="N54" s="148"/>
      <c r="O54" s="143">
        <v>43195</v>
      </c>
      <c r="P54" s="257" t="s">
        <v>219</v>
      </c>
      <c r="Q54" s="258"/>
      <c r="R54" s="153">
        <v>10</v>
      </c>
      <c r="S54" s="143">
        <v>43224</v>
      </c>
      <c r="T54" s="257" t="s">
        <v>287</v>
      </c>
      <c r="U54" s="258"/>
      <c r="V54" s="154"/>
      <c r="W54" s="144">
        <v>43264</v>
      </c>
      <c r="X54" s="245" t="s">
        <v>199</v>
      </c>
      <c r="Y54" s="246"/>
      <c r="Z54" s="155">
        <v>15</v>
      </c>
      <c r="AA54" s="143"/>
      <c r="AB54" s="255" t="s">
        <v>370</v>
      </c>
      <c r="AC54" s="256"/>
      <c r="AD54" s="148">
        <f>1452-580.8</f>
        <v>871.2</v>
      </c>
      <c r="AE54" s="143"/>
      <c r="AF54" s="251"/>
      <c r="AG54" s="252"/>
      <c r="AH54" s="148"/>
      <c r="AI54" s="143">
        <v>43370</v>
      </c>
      <c r="AJ54" s="247" t="s">
        <v>219</v>
      </c>
      <c r="AK54" s="248"/>
      <c r="AL54" s="148">
        <v>10</v>
      </c>
      <c r="AM54" s="143">
        <v>43399</v>
      </c>
      <c r="AN54" s="247" t="s">
        <v>219</v>
      </c>
      <c r="AO54" s="248"/>
      <c r="AP54" s="148" t="s">
        <v>642</v>
      </c>
      <c r="AQ54" s="143">
        <v>43415</v>
      </c>
      <c r="AR54" s="239" t="s">
        <v>667</v>
      </c>
      <c r="AS54" s="240"/>
      <c r="AT54" s="148"/>
      <c r="AU54" s="143"/>
      <c r="AV54" s="239"/>
      <c r="AW54" s="240"/>
      <c r="AX54" s="148"/>
    </row>
    <row r="55" spans="1:61">
      <c r="C55" s="144"/>
      <c r="D55" s="230"/>
      <c r="E55" s="231"/>
      <c r="F55" s="146"/>
      <c r="G55" s="144">
        <v>43146</v>
      </c>
      <c r="H55" s="230" t="s">
        <v>272</v>
      </c>
      <c r="I55" s="231"/>
      <c r="J55" s="148">
        <v>10</v>
      </c>
      <c r="K55" s="144">
        <v>43168</v>
      </c>
      <c r="L55" s="259" t="s">
        <v>272</v>
      </c>
      <c r="M55" s="260"/>
      <c r="N55" s="148">
        <v>15</v>
      </c>
      <c r="O55" s="144">
        <v>43209</v>
      </c>
      <c r="P55" s="245" t="s">
        <v>199</v>
      </c>
      <c r="Q55" s="246"/>
      <c r="R55" s="153">
        <v>15</v>
      </c>
      <c r="S55" s="144">
        <v>43238</v>
      </c>
      <c r="T55" s="245" t="s">
        <v>359</v>
      </c>
      <c r="U55" s="246"/>
      <c r="V55" s="148"/>
      <c r="W55" s="144">
        <v>43253</v>
      </c>
      <c r="X55" s="245" t="s">
        <v>219</v>
      </c>
      <c r="Y55" s="246"/>
      <c r="Z55" s="148">
        <v>10</v>
      </c>
      <c r="AA55" s="144"/>
      <c r="AB55" s="230" t="s">
        <v>371</v>
      </c>
      <c r="AC55" s="231"/>
      <c r="AD55" s="148">
        <f>200-43.62+(76.38*6)</f>
        <v>614.66</v>
      </c>
      <c r="AE55" s="144">
        <v>43318</v>
      </c>
      <c r="AF55" s="245" t="s">
        <v>199</v>
      </c>
      <c r="AG55" s="246"/>
      <c r="AH55" s="148">
        <v>15</v>
      </c>
      <c r="AI55" s="144">
        <v>43361</v>
      </c>
      <c r="AJ55" s="245" t="s">
        <v>199</v>
      </c>
      <c r="AK55" s="246"/>
      <c r="AL55" s="148">
        <v>15</v>
      </c>
      <c r="AM55" s="144">
        <v>43393</v>
      </c>
      <c r="AN55" s="245" t="s">
        <v>199</v>
      </c>
      <c r="AO55" s="246"/>
      <c r="AP55" s="148">
        <v>15</v>
      </c>
      <c r="AQ55" s="144">
        <v>43425</v>
      </c>
      <c r="AR55" s="230" t="s">
        <v>700</v>
      </c>
      <c r="AS55" s="231"/>
      <c r="AT55" s="148"/>
      <c r="AU55" s="144"/>
      <c r="AV55" s="230"/>
      <c r="AW55" s="231"/>
      <c r="AX55" s="148"/>
    </row>
    <row r="56" spans="1:61">
      <c r="C56" s="144">
        <v>43117</v>
      </c>
      <c r="D56" s="230" t="s">
        <v>200</v>
      </c>
      <c r="E56" s="231"/>
      <c r="F56" s="146"/>
      <c r="G56" s="144">
        <v>43147</v>
      </c>
      <c r="H56" s="230" t="s">
        <v>283</v>
      </c>
      <c r="I56" s="231"/>
      <c r="J56" s="148"/>
      <c r="K56" s="144">
        <v>43189</v>
      </c>
      <c r="L56" s="230" t="s">
        <v>292</v>
      </c>
      <c r="M56" s="231"/>
      <c r="N56" s="148"/>
      <c r="O56" s="144">
        <v>43193</v>
      </c>
      <c r="P56" s="245" t="s">
        <v>328</v>
      </c>
      <c r="Q56" s="246"/>
      <c r="R56" s="153">
        <v>258.52</v>
      </c>
      <c r="S56" s="144">
        <v>43249</v>
      </c>
      <c r="T56" s="230" t="s">
        <v>374</v>
      </c>
      <c r="U56" s="231"/>
      <c r="V56" s="148"/>
      <c r="W56" s="144">
        <v>43249</v>
      </c>
      <c r="X56" s="230" t="s">
        <v>379</v>
      </c>
      <c r="Y56" s="231"/>
      <c r="Z56" s="148"/>
      <c r="AA56" s="144"/>
      <c r="AB56" s="230" t="s">
        <v>372</v>
      </c>
      <c r="AC56" s="231"/>
      <c r="AD56" s="148">
        <f>AD54-AD55</f>
        <v>256.54000000000008</v>
      </c>
      <c r="AE56" s="144">
        <v>43341</v>
      </c>
      <c r="AF56" s="245" t="s">
        <v>287</v>
      </c>
      <c r="AG56" s="246"/>
      <c r="AH56" s="148"/>
      <c r="AI56" s="144">
        <v>43347</v>
      </c>
      <c r="AJ56" s="249" t="s">
        <v>378</v>
      </c>
      <c r="AK56" s="250"/>
      <c r="AL56" s="148"/>
      <c r="AM56" s="144">
        <v>43377</v>
      </c>
      <c r="AN56" s="249" t="s">
        <v>378</v>
      </c>
      <c r="AO56" s="250"/>
      <c r="AP56" s="148"/>
      <c r="AQ56" s="144">
        <v>43411</v>
      </c>
      <c r="AR56" s="245" t="s">
        <v>692</v>
      </c>
      <c r="AS56" s="246"/>
      <c r="AT56" s="148"/>
      <c r="AU56" s="144"/>
      <c r="AV56" s="230"/>
      <c r="AW56" s="231"/>
      <c r="AX56" s="148"/>
    </row>
    <row r="57" spans="1:61">
      <c r="C57" s="144"/>
      <c r="D57" s="230" t="s">
        <v>201</v>
      </c>
      <c r="E57" s="231"/>
      <c r="F57" s="146"/>
      <c r="G57" s="144"/>
      <c r="H57" s="230" t="s">
        <v>284</v>
      </c>
      <c r="I57" s="231"/>
      <c r="J57" s="148"/>
      <c r="K57" s="144"/>
      <c r="L57" s="230" t="s">
        <v>293</v>
      </c>
      <c r="M57" s="231"/>
      <c r="N57" s="148"/>
      <c r="O57" s="144"/>
      <c r="P57" s="245" t="s">
        <v>299</v>
      </c>
      <c r="Q57" s="246"/>
      <c r="R57" s="148">
        <v>2290.23</v>
      </c>
      <c r="S57" s="144"/>
      <c r="T57" s="230" t="s">
        <v>375</v>
      </c>
      <c r="U57" s="231"/>
      <c r="V57" s="148"/>
      <c r="W57" s="144"/>
      <c r="X57" s="230" t="s">
        <v>380</v>
      </c>
      <c r="Y57" s="231"/>
      <c r="Z57" s="148"/>
      <c r="AA57" s="144">
        <v>43282</v>
      </c>
      <c r="AB57" s="245" t="s">
        <v>287</v>
      </c>
      <c r="AC57" s="246"/>
      <c r="AD57" s="148"/>
      <c r="AE57" s="144">
        <v>43189</v>
      </c>
      <c r="AF57" s="230" t="s">
        <v>383</v>
      </c>
      <c r="AG57" s="231"/>
      <c r="AH57" s="148"/>
      <c r="AI57" s="144"/>
      <c r="AJ57" s="241"/>
      <c r="AK57" s="242"/>
      <c r="AL57" s="148"/>
      <c r="AM57" s="144">
        <v>43404</v>
      </c>
      <c r="AN57" s="249" t="s">
        <v>378</v>
      </c>
      <c r="AO57" s="250"/>
      <c r="AP57" s="148"/>
      <c r="AQ57" s="144">
        <v>43428</v>
      </c>
      <c r="AR57" s="230" t="s">
        <v>219</v>
      </c>
      <c r="AS57" s="231"/>
      <c r="AT57" s="148">
        <v>10</v>
      </c>
      <c r="AU57" s="144"/>
      <c r="AV57" s="230"/>
      <c r="AW57" s="231"/>
      <c r="AX57" s="148"/>
    </row>
    <row r="58" spans="1:61">
      <c r="C58" s="144"/>
      <c r="D58" s="230" t="s">
        <v>202</v>
      </c>
      <c r="E58" s="231"/>
      <c r="F58" s="146"/>
      <c r="G58" s="144"/>
      <c r="H58" s="230" t="s">
        <v>285</v>
      </c>
      <c r="I58" s="231"/>
      <c r="J58" s="148"/>
      <c r="K58" s="144"/>
      <c r="L58" s="230" t="s">
        <v>294</v>
      </c>
      <c r="M58" s="231"/>
      <c r="N58" s="148"/>
      <c r="O58" s="144"/>
      <c r="P58" s="230"/>
      <c r="Q58" s="231"/>
      <c r="R58" s="148"/>
      <c r="S58" s="144"/>
      <c r="T58" s="230" t="s">
        <v>376</v>
      </c>
      <c r="U58" s="231"/>
      <c r="V58" s="148"/>
      <c r="W58" s="144"/>
      <c r="X58" s="230" t="s">
        <v>381</v>
      </c>
      <c r="Y58" s="231"/>
      <c r="Z58" s="148"/>
      <c r="AA58" s="144"/>
      <c r="AB58" s="245" t="s">
        <v>359</v>
      </c>
      <c r="AC58" s="246"/>
      <c r="AD58" s="148"/>
      <c r="AE58" s="144"/>
      <c r="AF58" s="230" t="s">
        <v>384</v>
      </c>
      <c r="AG58" s="231"/>
      <c r="AH58" s="148"/>
      <c r="AI58" s="144"/>
      <c r="AJ58" s="241"/>
      <c r="AK58" s="242"/>
      <c r="AL58" s="148"/>
      <c r="AM58" s="144"/>
      <c r="AN58" s="241"/>
      <c r="AO58" s="242"/>
      <c r="AP58" s="148"/>
      <c r="AQ58" s="144">
        <v>43414</v>
      </c>
      <c r="AR58" s="230" t="s">
        <v>715</v>
      </c>
      <c r="AS58" s="231"/>
      <c r="AT58" s="148"/>
      <c r="AU58" s="144"/>
      <c r="AV58" s="230"/>
      <c r="AW58" s="231"/>
      <c r="AX58" s="148"/>
    </row>
    <row r="59" spans="1:61">
      <c r="C59" s="144"/>
      <c r="D59" s="230"/>
      <c r="E59" s="231"/>
      <c r="F59" s="146"/>
      <c r="G59" s="144"/>
      <c r="H59" s="230"/>
      <c r="I59" s="231"/>
      <c r="J59" s="148"/>
      <c r="K59" s="144"/>
      <c r="L59" s="230"/>
      <c r="M59" s="231"/>
      <c r="N59" s="148"/>
      <c r="O59" s="144"/>
      <c r="P59" s="230"/>
      <c r="Q59" s="231"/>
      <c r="R59" s="148"/>
      <c r="S59" s="144">
        <v>43236</v>
      </c>
      <c r="T59" s="249" t="s">
        <v>378</v>
      </c>
      <c r="U59" s="250"/>
      <c r="V59" s="148"/>
      <c r="W59" s="144">
        <v>43263</v>
      </c>
      <c r="X59" s="249" t="s">
        <v>378</v>
      </c>
      <c r="Y59" s="250"/>
      <c r="Z59" s="148"/>
      <c r="AA59" s="144"/>
      <c r="AB59" s="249" t="s">
        <v>452</v>
      </c>
      <c r="AC59" s="250"/>
      <c r="AD59" s="148">
        <f>(50*7)-'01'!D13-'03'!E13</f>
        <v>285.02</v>
      </c>
      <c r="AE59" s="144"/>
      <c r="AF59" s="230" t="s">
        <v>385</v>
      </c>
      <c r="AG59" s="231"/>
      <c r="AH59" s="148"/>
      <c r="AI59" s="144"/>
      <c r="AJ59" s="241"/>
      <c r="AK59" s="242"/>
      <c r="AL59" s="148"/>
      <c r="AM59" s="144"/>
      <c r="AN59" s="241"/>
      <c r="AO59" s="242"/>
      <c r="AP59" s="148"/>
      <c r="AQ59" s="144">
        <v>43406</v>
      </c>
      <c r="AR59" s="230" t="s">
        <v>660</v>
      </c>
      <c r="AS59" s="231"/>
      <c r="AT59" s="148"/>
      <c r="AU59" s="144">
        <v>43189</v>
      </c>
      <c r="AV59" s="230" t="s">
        <v>440</v>
      </c>
      <c r="AW59" s="231"/>
      <c r="AX59" s="148"/>
    </row>
    <row r="60" spans="1:61">
      <c r="C60" s="144"/>
      <c r="D60" s="230"/>
      <c r="E60" s="231"/>
      <c r="F60" s="146"/>
      <c r="G60" s="144"/>
      <c r="H60" s="230"/>
      <c r="I60" s="231"/>
      <c r="J60" s="148"/>
      <c r="K60" s="144"/>
      <c r="L60" s="230"/>
      <c r="M60" s="231"/>
      <c r="N60" s="148"/>
      <c r="O60" s="144"/>
      <c r="P60" s="230"/>
      <c r="Q60" s="231"/>
      <c r="R60" s="148"/>
      <c r="S60" s="144"/>
      <c r="T60" s="249"/>
      <c r="U60" s="250"/>
      <c r="V60" s="148"/>
      <c r="W60" s="144"/>
      <c r="X60" s="241" t="s">
        <v>308</v>
      </c>
      <c r="Y60" s="242"/>
      <c r="Z60" s="148">
        <f>622.46*2</f>
        <v>1244.92</v>
      </c>
      <c r="AA60" s="144"/>
      <c r="AB60" s="241"/>
      <c r="AC60" s="242"/>
      <c r="AD60" s="148"/>
      <c r="AE60" s="144">
        <v>43319</v>
      </c>
      <c r="AF60" s="249" t="s">
        <v>378</v>
      </c>
      <c r="AG60" s="250"/>
      <c r="AH60" s="148"/>
      <c r="AI60" s="144"/>
      <c r="AJ60" s="241"/>
      <c r="AK60" s="242"/>
      <c r="AL60" s="148"/>
      <c r="AM60" s="144"/>
      <c r="AN60" s="241"/>
      <c r="AO60" s="242"/>
      <c r="AP60" s="148"/>
      <c r="AQ60" s="144"/>
      <c r="AR60" s="230" t="s">
        <v>380</v>
      </c>
      <c r="AS60" s="231"/>
      <c r="AT60" s="148"/>
      <c r="AU60" s="144"/>
      <c r="AV60" s="230" t="s">
        <v>293</v>
      </c>
      <c r="AW60" s="231"/>
      <c r="AX60" s="148"/>
    </row>
    <row r="61" spans="1:61">
      <c r="C61" s="144"/>
      <c r="D61" s="230"/>
      <c r="E61" s="231"/>
      <c r="F61" s="146"/>
      <c r="G61" s="144"/>
      <c r="H61" s="230"/>
      <c r="I61" s="231"/>
      <c r="J61" s="148"/>
      <c r="K61" s="144"/>
      <c r="L61" s="230"/>
      <c r="M61" s="231"/>
      <c r="N61" s="148"/>
      <c r="O61" s="144"/>
      <c r="P61" s="230"/>
      <c r="Q61" s="231"/>
      <c r="R61" s="148"/>
      <c r="S61" s="144"/>
      <c r="T61" s="249"/>
      <c r="U61" s="250"/>
      <c r="V61" s="148"/>
      <c r="W61" s="144"/>
      <c r="X61" s="241"/>
      <c r="Y61" s="242"/>
      <c r="Z61" s="148"/>
      <c r="AA61" s="144"/>
      <c r="AB61" s="241"/>
      <c r="AC61" s="242"/>
      <c r="AD61" s="148"/>
      <c r="AE61" s="144"/>
      <c r="AF61" s="241"/>
      <c r="AG61" s="242"/>
      <c r="AH61" s="148"/>
      <c r="AI61" s="144"/>
      <c r="AJ61" s="241"/>
      <c r="AK61" s="242"/>
      <c r="AL61" s="148"/>
      <c r="AM61" s="144"/>
      <c r="AN61" s="241"/>
      <c r="AO61" s="242"/>
      <c r="AP61" s="148"/>
      <c r="AQ61" s="144"/>
      <c r="AR61" s="230" t="s">
        <v>661</v>
      </c>
      <c r="AS61" s="231"/>
      <c r="AT61" s="148"/>
      <c r="AU61" s="144"/>
      <c r="AV61" s="230" t="s">
        <v>661</v>
      </c>
      <c r="AW61" s="231"/>
      <c r="AX61" s="148"/>
    </row>
    <row r="62" spans="1:61">
      <c r="C62" s="144"/>
      <c r="D62" s="230"/>
      <c r="E62" s="231"/>
      <c r="F62" s="146"/>
      <c r="G62" s="144"/>
      <c r="H62" s="230"/>
      <c r="I62" s="231"/>
      <c r="J62" s="148"/>
      <c r="K62" s="144"/>
      <c r="L62" s="230"/>
      <c r="M62" s="231"/>
      <c r="N62" s="148"/>
      <c r="O62" s="144"/>
      <c r="P62" s="230"/>
      <c r="Q62" s="231"/>
      <c r="R62" s="148"/>
      <c r="S62" s="144"/>
      <c r="T62" s="249"/>
      <c r="U62" s="250"/>
      <c r="V62" s="148"/>
      <c r="W62" s="144"/>
      <c r="X62" s="241"/>
      <c r="Y62" s="242"/>
      <c r="Z62" s="148"/>
      <c r="AA62" s="144"/>
      <c r="AB62" s="241"/>
      <c r="AC62" s="242"/>
      <c r="AD62" s="148"/>
      <c r="AE62" s="144"/>
      <c r="AF62" s="241"/>
      <c r="AG62" s="242"/>
      <c r="AH62" s="148"/>
      <c r="AI62" s="144"/>
      <c r="AJ62" s="241"/>
      <c r="AK62" s="242"/>
      <c r="AL62" s="148"/>
      <c r="AM62" s="144"/>
      <c r="AN62" s="241"/>
      <c r="AO62" s="242"/>
      <c r="AP62" s="148"/>
      <c r="AQ62" s="144"/>
      <c r="AR62" s="230"/>
      <c r="AS62" s="231"/>
      <c r="AT62" s="148"/>
      <c r="AU62" s="144"/>
      <c r="AV62" s="230"/>
      <c r="AW62" s="231"/>
      <c r="AX62" s="148"/>
    </row>
    <row r="63" spans="1:61">
      <c r="C63" s="144"/>
      <c r="D63" s="230"/>
      <c r="E63" s="231"/>
      <c r="F63" s="146"/>
      <c r="G63" s="144"/>
      <c r="H63" s="230"/>
      <c r="I63" s="231"/>
      <c r="J63" s="148"/>
      <c r="K63" s="144"/>
      <c r="L63" s="230"/>
      <c r="M63" s="231"/>
      <c r="N63" s="148"/>
      <c r="O63" s="144"/>
      <c r="P63" s="230"/>
      <c r="Q63" s="231"/>
      <c r="R63" s="148"/>
      <c r="S63" s="144"/>
      <c r="T63" s="249"/>
      <c r="U63" s="250"/>
      <c r="V63" s="148"/>
      <c r="W63" s="144"/>
      <c r="X63" s="241"/>
      <c r="Y63" s="242"/>
      <c r="Z63" s="148"/>
      <c r="AA63" s="144"/>
      <c r="AB63" s="241"/>
      <c r="AC63" s="242"/>
      <c r="AD63" s="148"/>
      <c r="AE63" s="144"/>
      <c r="AF63" s="241"/>
      <c r="AG63" s="242"/>
      <c r="AH63" s="148"/>
      <c r="AI63" s="144"/>
      <c r="AJ63" s="241"/>
      <c r="AK63" s="242"/>
      <c r="AL63" s="148"/>
      <c r="AM63" s="144"/>
      <c r="AN63" s="241"/>
      <c r="AO63" s="242"/>
      <c r="AP63" s="148"/>
      <c r="AQ63" s="144"/>
      <c r="AR63" s="230"/>
      <c r="AS63" s="231"/>
      <c r="AT63" s="148"/>
      <c r="AU63" s="144"/>
      <c r="AV63" s="230"/>
      <c r="AW63" s="231"/>
      <c r="AX63" s="148"/>
    </row>
    <row r="64" spans="1:61">
      <c r="C64" s="144"/>
      <c r="D64" s="230"/>
      <c r="E64" s="231"/>
      <c r="F64" s="146"/>
      <c r="G64" s="144"/>
      <c r="H64" s="230"/>
      <c r="I64" s="231"/>
      <c r="J64" s="148"/>
      <c r="K64" s="144"/>
      <c r="L64" s="230"/>
      <c r="M64" s="231"/>
      <c r="N64" s="148"/>
      <c r="O64" s="144"/>
      <c r="P64" s="230"/>
      <c r="Q64" s="231"/>
      <c r="R64" s="148"/>
      <c r="S64" s="144"/>
      <c r="T64" s="249"/>
      <c r="U64" s="250"/>
      <c r="V64" s="148"/>
      <c r="W64" s="144"/>
      <c r="X64" s="241"/>
      <c r="Y64" s="242"/>
      <c r="Z64" s="148"/>
      <c r="AA64" s="144"/>
      <c r="AB64" s="241"/>
      <c r="AC64" s="242"/>
      <c r="AD64" s="148"/>
      <c r="AE64" s="144"/>
      <c r="AF64" s="241"/>
      <c r="AG64" s="242"/>
      <c r="AH64" s="148"/>
      <c r="AI64" s="144"/>
      <c r="AJ64" s="241"/>
      <c r="AK64" s="242"/>
      <c r="AL64" s="148"/>
      <c r="AM64" s="144"/>
      <c r="AN64" s="241"/>
      <c r="AO64" s="242"/>
      <c r="AP64" s="148"/>
      <c r="AQ64" s="144"/>
      <c r="AR64" s="230"/>
      <c r="AS64" s="231"/>
      <c r="AT64" s="148"/>
      <c r="AU64" s="144"/>
      <c r="AV64" s="230"/>
      <c r="AW64" s="231"/>
      <c r="AX64" s="148"/>
    </row>
    <row r="65" spans="3:50">
      <c r="C65" s="144"/>
      <c r="D65" s="230"/>
      <c r="E65" s="231"/>
      <c r="F65" s="146"/>
      <c r="G65" s="144"/>
      <c r="H65" s="230"/>
      <c r="I65" s="231"/>
      <c r="J65" s="148"/>
      <c r="K65" s="144"/>
      <c r="L65" s="230"/>
      <c r="M65" s="231"/>
      <c r="N65" s="148"/>
      <c r="O65" s="144"/>
      <c r="P65" s="230"/>
      <c r="Q65" s="231"/>
      <c r="R65" s="148"/>
      <c r="S65" s="144"/>
      <c r="T65" s="249"/>
      <c r="U65" s="250"/>
      <c r="V65" s="148"/>
      <c r="W65" s="144"/>
      <c r="X65" s="241"/>
      <c r="Y65" s="242"/>
      <c r="Z65" s="148"/>
      <c r="AA65" s="144"/>
      <c r="AB65" s="241"/>
      <c r="AC65" s="242"/>
      <c r="AD65" s="148"/>
      <c r="AE65" s="144"/>
      <c r="AF65" s="241"/>
      <c r="AG65" s="242"/>
      <c r="AH65" s="148"/>
      <c r="AI65" s="144"/>
      <c r="AJ65" s="241"/>
      <c r="AK65" s="242"/>
      <c r="AL65" s="148"/>
      <c r="AM65" s="144"/>
      <c r="AN65" s="241"/>
      <c r="AO65" s="242"/>
      <c r="AP65" s="148"/>
      <c r="AQ65" s="144"/>
      <c r="AR65" s="230"/>
      <c r="AS65" s="231"/>
      <c r="AT65" s="148"/>
      <c r="AU65" s="144"/>
      <c r="AV65" s="230"/>
      <c r="AW65" s="231"/>
      <c r="AX65" s="148"/>
    </row>
    <row r="66" spans="3:50">
      <c r="C66" s="144"/>
      <c r="D66" s="230"/>
      <c r="E66" s="231"/>
      <c r="F66" s="146"/>
      <c r="G66" s="144"/>
      <c r="H66" s="230"/>
      <c r="I66" s="231"/>
      <c r="J66" s="148"/>
      <c r="K66" s="144"/>
      <c r="L66" s="230"/>
      <c r="M66" s="231"/>
      <c r="N66" s="148"/>
      <c r="O66" s="144"/>
      <c r="P66" s="230"/>
      <c r="Q66" s="231"/>
      <c r="R66" s="148"/>
      <c r="S66" s="144"/>
      <c r="T66" s="241"/>
      <c r="U66" s="242"/>
      <c r="V66" s="148"/>
      <c r="W66" s="144"/>
      <c r="X66" s="241"/>
      <c r="Y66" s="242"/>
      <c r="Z66" s="148"/>
      <c r="AA66" s="144"/>
      <c r="AB66" s="241"/>
      <c r="AC66" s="242"/>
      <c r="AD66" s="148"/>
      <c r="AE66" s="144"/>
      <c r="AF66" s="241"/>
      <c r="AG66" s="242"/>
      <c r="AH66" s="148"/>
      <c r="AI66" s="144"/>
      <c r="AJ66" s="241"/>
      <c r="AK66" s="242"/>
      <c r="AL66" s="148"/>
      <c r="AM66" s="144"/>
      <c r="AN66" s="241"/>
      <c r="AO66" s="242"/>
      <c r="AP66" s="148"/>
      <c r="AQ66" s="144"/>
      <c r="AR66" s="230"/>
      <c r="AS66" s="231"/>
      <c r="AT66" s="148"/>
      <c r="AU66" s="144"/>
      <c r="AV66" s="230"/>
      <c r="AW66" s="231"/>
      <c r="AX66" s="148"/>
    </row>
    <row r="67" spans="3:50">
      <c r="C67" s="144"/>
      <c r="D67" s="230"/>
      <c r="E67" s="231"/>
      <c r="F67" s="146"/>
      <c r="G67" s="144"/>
      <c r="H67" s="230"/>
      <c r="I67" s="231"/>
      <c r="J67" s="148"/>
      <c r="K67" s="144"/>
      <c r="L67" s="230"/>
      <c r="M67" s="231"/>
      <c r="N67" s="148"/>
      <c r="O67" s="144"/>
      <c r="P67" s="230"/>
      <c r="Q67" s="231"/>
      <c r="R67" s="148"/>
      <c r="S67" s="144"/>
      <c r="T67" s="241"/>
      <c r="U67" s="242"/>
      <c r="V67" s="148"/>
      <c r="W67" s="144"/>
      <c r="X67" s="241"/>
      <c r="Y67" s="242"/>
      <c r="Z67" s="148"/>
      <c r="AA67" s="144"/>
      <c r="AB67" s="241"/>
      <c r="AC67" s="242"/>
      <c r="AD67" s="148"/>
      <c r="AE67" s="144"/>
      <c r="AF67" s="241"/>
      <c r="AG67" s="242"/>
      <c r="AH67" s="148"/>
      <c r="AI67" s="144"/>
      <c r="AJ67" s="241"/>
      <c r="AK67" s="242"/>
      <c r="AL67" s="148"/>
      <c r="AM67" s="144"/>
      <c r="AN67" s="241"/>
      <c r="AO67" s="242"/>
      <c r="AP67" s="148"/>
      <c r="AQ67" s="144"/>
      <c r="AR67" s="230"/>
      <c r="AS67" s="231"/>
      <c r="AT67" s="148"/>
      <c r="AU67" s="144"/>
      <c r="AV67" s="230"/>
      <c r="AW67" s="231"/>
      <c r="AX67" s="148"/>
    </row>
    <row r="68" spans="3:50">
      <c r="C68" s="144"/>
      <c r="D68" s="230"/>
      <c r="E68" s="231"/>
      <c r="F68" s="146"/>
      <c r="G68" s="144"/>
      <c r="H68" s="230"/>
      <c r="I68" s="231"/>
      <c r="J68" s="148"/>
      <c r="K68" s="144"/>
      <c r="L68" s="230"/>
      <c r="M68" s="231"/>
      <c r="N68" s="148"/>
      <c r="O68" s="144"/>
      <c r="P68" s="230"/>
      <c r="Q68" s="231"/>
      <c r="R68" s="148"/>
      <c r="S68" s="144"/>
      <c r="T68" s="241"/>
      <c r="U68" s="242"/>
      <c r="V68" s="148"/>
      <c r="W68" s="144"/>
      <c r="X68" s="241"/>
      <c r="Y68" s="242"/>
      <c r="Z68" s="148"/>
      <c r="AA68" s="144"/>
      <c r="AB68" s="241"/>
      <c r="AC68" s="242"/>
      <c r="AD68" s="148"/>
      <c r="AE68" s="144"/>
      <c r="AF68" s="241"/>
      <c r="AG68" s="242"/>
      <c r="AH68" s="148"/>
      <c r="AI68" s="144"/>
      <c r="AJ68" s="241"/>
      <c r="AK68" s="242"/>
      <c r="AL68" s="148"/>
      <c r="AM68" s="144"/>
      <c r="AN68" s="241"/>
      <c r="AO68" s="242"/>
      <c r="AP68" s="148"/>
      <c r="AQ68" s="144"/>
      <c r="AR68" s="230"/>
      <c r="AS68" s="231"/>
      <c r="AT68" s="148"/>
      <c r="AU68" s="144"/>
      <c r="AV68" s="230"/>
      <c r="AW68" s="231"/>
      <c r="AX68" s="148"/>
    </row>
    <row r="69" spans="3:50">
      <c r="C69" s="144"/>
      <c r="D69" s="230"/>
      <c r="E69" s="231"/>
      <c r="F69" s="146"/>
      <c r="G69" s="144"/>
      <c r="H69" s="230"/>
      <c r="I69" s="231"/>
      <c r="J69" s="148"/>
      <c r="K69" s="144"/>
      <c r="L69" s="230"/>
      <c r="M69" s="231"/>
      <c r="N69" s="148"/>
      <c r="O69" s="144"/>
      <c r="P69" s="230"/>
      <c r="Q69" s="231"/>
      <c r="R69" s="148"/>
      <c r="S69" s="144"/>
      <c r="T69" s="241"/>
      <c r="U69" s="242"/>
      <c r="V69" s="148"/>
      <c r="W69" s="144"/>
      <c r="X69" s="241"/>
      <c r="Y69" s="242"/>
      <c r="Z69" s="148"/>
      <c r="AA69" s="144"/>
      <c r="AB69" s="241"/>
      <c r="AC69" s="242"/>
      <c r="AD69" s="148"/>
      <c r="AE69" s="144"/>
      <c r="AF69" s="241"/>
      <c r="AG69" s="242"/>
      <c r="AH69" s="148"/>
      <c r="AI69" s="144"/>
      <c r="AJ69" s="241"/>
      <c r="AK69" s="242"/>
      <c r="AL69" s="148"/>
      <c r="AM69" s="144"/>
      <c r="AN69" s="241"/>
      <c r="AO69" s="242"/>
      <c r="AP69" s="148"/>
      <c r="AQ69" s="144"/>
      <c r="AR69" s="230"/>
      <c r="AS69" s="231"/>
      <c r="AT69" s="148"/>
      <c r="AU69" s="144"/>
      <c r="AV69" s="230"/>
      <c r="AW69" s="231"/>
      <c r="AX69" s="148"/>
    </row>
    <row r="70" spans="3:50">
      <c r="C70" s="144"/>
      <c r="D70" s="230"/>
      <c r="E70" s="231"/>
      <c r="F70" s="146"/>
      <c r="G70" s="144"/>
      <c r="H70" s="230"/>
      <c r="I70" s="231"/>
      <c r="J70" s="148"/>
      <c r="K70" s="144"/>
      <c r="L70" s="230"/>
      <c r="M70" s="231"/>
      <c r="N70" s="148"/>
      <c r="O70" s="144"/>
      <c r="P70" s="230"/>
      <c r="Q70" s="231"/>
      <c r="R70" s="148"/>
      <c r="S70" s="144"/>
      <c r="T70" s="241"/>
      <c r="U70" s="242"/>
      <c r="V70" s="148"/>
      <c r="W70" s="144"/>
      <c r="X70" s="230" t="s">
        <v>431</v>
      </c>
      <c r="Y70" s="231"/>
      <c r="Z70" s="148">
        <f>3289.11+270.87</f>
        <v>3559.98</v>
      </c>
      <c r="AA70" s="144"/>
      <c r="AB70" s="241"/>
      <c r="AC70" s="242"/>
      <c r="AD70" s="148"/>
      <c r="AE70" s="144"/>
      <c r="AF70" s="241"/>
      <c r="AG70" s="242"/>
      <c r="AH70" s="148"/>
      <c r="AI70" s="144"/>
      <c r="AJ70" s="241"/>
      <c r="AK70" s="242"/>
      <c r="AL70" s="148"/>
      <c r="AM70" s="144"/>
      <c r="AN70" s="241"/>
      <c r="AO70" s="242"/>
      <c r="AP70" s="148"/>
      <c r="AQ70" s="144"/>
      <c r="AR70" s="230"/>
      <c r="AS70" s="231"/>
      <c r="AT70" s="148"/>
      <c r="AU70" s="144"/>
      <c r="AV70" s="230"/>
      <c r="AW70" s="231"/>
      <c r="AX70" s="148"/>
    </row>
    <row r="71" spans="3:50" ht="15.75" thickBot="1">
      <c r="C71" s="145"/>
      <c r="D71" s="232"/>
      <c r="E71" s="233"/>
      <c r="F71" s="147"/>
      <c r="G71" s="145"/>
      <c r="H71" s="232"/>
      <c r="I71" s="233"/>
      <c r="J71" s="149"/>
      <c r="K71" s="145"/>
      <c r="L71" s="232"/>
      <c r="M71" s="233"/>
      <c r="N71" s="149"/>
      <c r="O71" s="145"/>
      <c r="P71" s="232"/>
      <c r="Q71" s="233"/>
      <c r="R71" s="149"/>
      <c r="S71" s="145"/>
      <c r="T71" s="243"/>
      <c r="U71" s="244"/>
      <c r="V71" s="149"/>
      <c r="W71" s="145"/>
      <c r="X71" s="253" t="s">
        <v>432</v>
      </c>
      <c r="Y71" s="254"/>
      <c r="Z71" s="149">
        <f>Z70-1484.91-429.89</f>
        <v>1645.1799999999998</v>
      </c>
      <c r="AA71" s="145"/>
      <c r="AB71" s="243"/>
      <c r="AC71" s="244"/>
      <c r="AD71" s="149">
        <f>550-161.56</f>
        <v>388.44</v>
      </c>
      <c r="AE71" s="145"/>
      <c r="AF71" s="243"/>
      <c r="AG71" s="244"/>
      <c r="AH71" s="149"/>
      <c r="AI71" s="145"/>
      <c r="AJ71" s="243"/>
      <c r="AK71" s="244"/>
      <c r="AL71" s="149"/>
      <c r="AM71" s="145"/>
      <c r="AN71" s="243"/>
      <c r="AO71" s="244"/>
      <c r="AP71" s="149"/>
      <c r="AQ71" s="145"/>
      <c r="AR71" s="232"/>
      <c r="AS71" s="233"/>
      <c r="AT71" s="149"/>
      <c r="AU71" s="145"/>
      <c r="AV71" s="232"/>
      <c r="AW71" s="233"/>
      <c r="AX71" s="149"/>
    </row>
    <row r="72" spans="3:50">
      <c r="Z72">
        <f>Z71/Z70</f>
        <v>0.46213180972926809</v>
      </c>
    </row>
    <row r="75" spans="3:50">
      <c r="Z75" s="162"/>
    </row>
  </sheetData>
  <mergeCells count="408"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20" location="'05'!B2:G20" display="ABRIL" xr:uid="{00000000-0004-0000-0000-000083000000}"/>
    <hyperlink ref="S21" location="'05'!B22:G40" display="ABRIL" xr:uid="{00000000-0004-0000-0000-000084000000}"/>
    <hyperlink ref="S22" location="'05'!B42:G60" display="ABRIL" xr:uid="{00000000-0004-0000-0000-000085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275" workbookViewId="0">
      <selection activeCell="E100" sqref="E100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88" t="s">
        <v>70</v>
      </c>
      <c r="J4" s="156" t="s">
        <v>71</v>
      </c>
      <c r="K4" s="296" t="s">
        <v>72</v>
      </c>
      <c r="L4" s="297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8">
        <v>2037.62</v>
      </c>
      <c r="L5" s="299"/>
      <c r="M5" s="1"/>
      <c r="N5" s="1"/>
      <c r="R5" s="3"/>
    </row>
    <row r="6" spans="1:22" ht="15.75">
      <c r="A6" s="163">
        <f>'08'!A6+B6-E6</f>
        <v>6</v>
      </c>
      <c r="B6" s="54">
        <v>399</v>
      </c>
      <c r="C6" s="36" t="s">
        <v>311</v>
      </c>
      <c r="D6" s="57"/>
      <c r="E6" s="58">
        <f>398.31+398.31</f>
        <v>796.62</v>
      </c>
      <c r="F6" s="58"/>
      <c r="G6" s="33" t="s">
        <v>35</v>
      </c>
      <c r="H6" s="1"/>
      <c r="I6" s="159" t="s">
        <v>73</v>
      </c>
      <c r="J6" s="158" t="s">
        <v>75</v>
      </c>
      <c r="K6" s="288">
        <v>550</v>
      </c>
      <c r="L6" s="289"/>
      <c r="M6" s="1" t="s">
        <v>394</v>
      </c>
      <c r="N6" s="1"/>
      <c r="R6" s="3"/>
    </row>
    <row r="7" spans="1:22" ht="15.75">
      <c r="A7" s="163">
        <f>17.94+3+6.86</f>
        <v>27.8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8">
        <v>6798.75</v>
      </c>
      <c r="L7" s="289"/>
      <c r="M7" s="1"/>
      <c r="N7" s="1"/>
      <c r="R7" s="3"/>
    </row>
    <row r="8" spans="1:22" ht="15.75">
      <c r="A8" s="163">
        <v>0</v>
      </c>
      <c r="B8" s="55">
        <v>108.71</v>
      </c>
      <c r="C8" s="33" t="s">
        <v>38</v>
      </c>
      <c r="D8" s="57"/>
      <c r="E8" s="58"/>
      <c r="F8" s="58"/>
      <c r="G8" s="33" t="s">
        <v>38</v>
      </c>
      <c r="H8" s="1"/>
      <c r="I8" s="159" t="s">
        <v>76</v>
      </c>
      <c r="J8" s="158" t="s">
        <v>78</v>
      </c>
      <c r="K8" s="288">
        <v>7000</v>
      </c>
      <c r="L8" s="289"/>
      <c r="M8" s="1"/>
      <c r="N8" s="1"/>
      <c r="R8" s="3"/>
    </row>
    <row r="9" spans="1:22" ht="15.75">
      <c r="A9" s="163">
        <f>'08'!A9+B9-E9</f>
        <v>-28.14</v>
      </c>
      <c r="B9" s="55">
        <v>0</v>
      </c>
      <c r="C9" s="33" t="s">
        <v>40</v>
      </c>
      <c r="D9" s="57"/>
      <c r="E9" s="58">
        <v>28.14</v>
      </c>
      <c r="F9" s="58"/>
      <c r="G9" s="33" t="s">
        <v>40</v>
      </c>
      <c r="H9" s="1"/>
      <c r="I9" s="159" t="s">
        <v>76</v>
      </c>
      <c r="J9" s="158" t="s">
        <v>267</v>
      </c>
      <c r="K9" s="288">
        <v>659.77</v>
      </c>
      <c r="L9" s="289"/>
      <c r="M9" s="1"/>
      <c r="N9" s="1"/>
      <c r="R9" s="3"/>
    </row>
    <row r="10" spans="1:22" ht="15.75">
      <c r="A10" s="163">
        <f>0</f>
        <v>0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8">
        <v>1800.04</v>
      </c>
      <c r="L10" s="289"/>
      <c r="M10" s="1" t="s">
        <v>265</v>
      </c>
      <c r="N10" s="1"/>
      <c r="R10" s="3"/>
    </row>
    <row r="11" spans="1:22" ht="15.75">
      <c r="A11" s="163">
        <f>0</f>
        <v>0</v>
      </c>
      <c r="B11" s="55">
        <v>31</v>
      </c>
      <c r="C11" s="33" t="s">
        <v>37</v>
      </c>
      <c r="D11" s="57"/>
      <c r="E11" s="58">
        <v>30.23</v>
      </c>
      <c r="F11" s="58"/>
      <c r="G11" s="33" t="s">
        <v>37</v>
      </c>
      <c r="H11" s="1"/>
      <c r="I11" s="159" t="s">
        <v>93</v>
      </c>
      <c r="J11" s="158" t="s">
        <v>94</v>
      </c>
      <c r="K11" s="288">
        <f>400+185+90</f>
        <v>675</v>
      </c>
      <c r="L11" s="289"/>
      <c r="M11" s="1"/>
      <c r="N11" s="1"/>
      <c r="R11" s="3"/>
    </row>
    <row r="12" spans="1:22" ht="15.75">
      <c r="A12" s="163">
        <f>'08'!A14+B12-E12</f>
        <v>225</v>
      </c>
      <c r="B12" s="55">
        <v>25</v>
      </c>
      <c r="C12" s="33" t="s">
        <v>206</v>
      </c>
      <c r="D12" s="57"/>
      <c r="E12" s="58"/>
      <c r="F12" s="58"/>
      <c r="G12" s="33"/>
      <c r="H12" s="1"/>
      <c r="I12" s="159" t="s">
        <v>303</v>
      </c>
      <c r="J12" s="158" t="s">
        <v>304</v>
      </c>
      <c r="K12" s="288">
        <v>5092.08</v>
      </c>
      <c r="L12" s="289"/>
      <c r="M12" s="140"/>
      <c r="N12" s="1"/>
      <c r="R12" s="3"/>
    </row>
    <row r="13" spans="1:22" ht="15.75">
      <c r="A13" s="163">
        <f>'08'!A15+B13-E13</f>
        <v>42</v>
      </c>
      <c r="B13" s="55">
        <v>7</v>
      </c>
      <c r="C13" s="33" t="s">
        <v>352</v>
      </c>
      <c r="D13" s="57"/>
      <c r="E13" s="58"/>
      <c r="F13" s="58"/>
      <c r="G13" s="33"/>
      <c r="H13" s="1"/>
      <c r="I13" s="159"/>
      <c r="J13" s="158"/>
      <c r="K13" s="288"/>
      <c r="L13" s="289"/>
      <c r="M13" s="1"/>
      <c r="N13" s="1"/>
      <c r="R13" s="3"/>
    </row>
    <row r="14" spans="1:22" ht="15.75">
      <c r="A14" s="163"/>
      <c r="B14" s="55"/>
      <c r="C14" s="33"/>
      <c r="D14" s="57"/>
      <c r="E14" s="58"/>
      <c r="F14" s="58"/>
      <c r="G14" s="33"/>
      <c r="H14" s="1"/>
      <c r="I14" s="159"/>
      <c r="J14" s="158"/>
      <c r="K14" s="288"/>
      <c r="L14" s="289"/>
      <c r="M14" s="1"/>
      <c r="N14" s="1"/>
      <c r="R14" s="3"/>
    </row>
    <row r="15" spans="1:22" ht="15.75">
      <c r="A15" s="163"/>
      <c r="B15" s="55"/>
      <c r="C15" s="33"/>
      <c r="D15" s="57"/>
      <c r="E15" s="58"/>
      <c r="F15" s="58"/>
      <c r="G15" s="33"/>
      <c r="H15" s="1"/>
      <c r="I15" s="159"/>
      <c r="J15" s="158"/>
      <c r="K15" s="288"/>
      <c r="L15" s="289"/>
      <c r="M15" s="1"/>
      <c r="N15" s="1"/>
      <c r="R15" s="3"/>
    </row>
    <row r="16" spans="1:22" ht="15.75">
      <c r="A16" s="163"/>
      <c r="B16" s="55"/>
      <c r="C16" s="33"/>
      <c r="D16" s="57"/>
      <c r="E16" s="58"/>
      <c r="F16" s="58"/>
      <c r="G16" s="33"/>
      <c r="H16" s="1"/>
      <c r="I16" s="159"/>
      <c r="J16" s="158"/>
      <c r="K16" s="288"/>
      <c r="L16" s="28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8"/>
      <c r="L17" s="28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4"/>
      <c r="L18" s="30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4">
        <f>SUM(K5:K18)</f>
        <v>24613.260000000002</v>
      </c>
      <c r="L19" s="305"/>
      <c r="M19" s="1"/>
      <c r="N19" s="1"/>
      <c r="R19" s="3"/>
    </row>
    <row r="20" spans="1:18" ht="16.5" thickBot="1">
      <c r="A20" s="163">
        <f>SUM(A6:A15)</f>
        <v>272.65999999999997</v>
      </c>
      <c r="B20" s="56">
        <f>SUM(B6:B19)</f>
        <v>642.71</v>
      </c>
      <c r="C20" s="34" t="s">
        <v>66</v>
      </c>
      <c r="D20" s="56">
        <f>SUM(D6:D19)</f>
        <v>0</v>
      </c>
      <c r="E20" s="56">
        <f>SUM(E6:E19)</f>
        <v>866.99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17721.14</v>
      </c>
      <c r="M20" s="1"/>
      <c r="R20" s="3"/>
    </row>
    <row r="21" spans="1:18" ht="16.5" thickBot="1">
      <c r="A21" s="1">
        <v>272.66000000000003</v>
      </c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63">
        <f>A21-A20</f>
        <v>0</v>
      </c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296" t="s">
        <v>134</v>
      </c>
      <c r="L24" s="297"/>
      <c r="M24" s="1"/>
      <c r="R24" s="3"/>
    </row>
    <row r="25" spans="1:18" ht="15.75">
      <c r="A25" s="1" t="s">
        <v>609</v>
      </c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3</v>
      </c>
      <c r="J25" s="3" t="s">
        <v>576</v>
      </c>
      <c r="K25" s="298">
        <v>300</v>
      </c>
      <c r="L25" s="299"/>
      <c r="M25" s="1"/>
      <c r="R25" s="3"/>
    </row>
    <row r="26" spans="1:18" ht="15.75">
      <c r="A26" s="163">
        <v>0</v>
      </c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336</v>
      </c>
      <c r="K26" s="288">
        <v>280.26</v>
      </c>
      <c r="L26" s="289"/>
      <c r="M26" s="1"/>
      <c r="R26" s="3"/>
    </row>
    <row r="27" spans="1:18" ht="15.75">
      <c r="A27" s="163">
        <f>B27-D27</f>
        <v>3</v>
      </c>
      <c r="B27" s="55">
        <v>170</v>
      </c>
      <c r="C27" s="66" t="s">
        <v>44</v>
      </c>
      <c r="D27" s="57">
        <v>167</v>
      </c>
      <c r="E27" s="58"/>
      <c r="F27" s="58"/>
      <c r="G27" s="33" t="s">
        <v>44</v>
      </c>
      <c r="H27" s="1"/>
      <c r="I27" s="151">
        <v>8</v>
      </c>
      <c r="J27" s="35" t="s">
        <v>581</v>
      </c>
      <c r="K27" s="288">
        <v>586.85</v>
      </c>
      <c r="L27" s="289"/>
      <c r="M27" s="1">
        <f>550+108.71+28.14-100</f>
        <v>586.85</v>
      </c>
      <c r="R27" s="3"/>
    </row>
    <row r="28" spans="1:18" ht="15.75">
      <c r="A28" s="163">
        <f>B28*3-D28</f>
        <v>120</v>
      </c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5</v>
      </c>
      <c r="J28" s="35" t="s">
        <v>645</v>
      </c>
      <c r="K28" s="288">
        <v>500</v>
      </c>
      <c r="L28" s="289"/>
      <c r="M28" s="1"/>
      <c r="R28" s="3"/>
    </row>
    <row r="29" spans="1:18" ht="15.75">
      <c r="A29" s="163">
        <f>B29-D29</f>
        <v>0.53999999999999915</v>
      </c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8"/>
      <c r="L29" s="289"/>
      <c r="M29" s="1"/>
      <c r="R29" s="3"/>
    </row>
    <row r="30" spans="1:18" ht="15.75">
      <c r="A30" s="163">
        <f>593.56+B30-D30</f>
        <v>593.55999999999995</v>
      </c>
      <c r="B30" s="55">
        <v>0</v>
      </c>
      <c r="C30" s="66" t="s">
        <v>46</v>
      </c>
      <c r="D30" s="57"/>
      <c r="E30" s="58"/>
      <c r="F30" s="58"/>
      <c r="G30" s="33"/>
      <c r="H30" s="1"/>
      <c r="I30" s="151"/>
      <c r="J30" s="35"/>
      <c r="K30" s="288"/>
      <c r="L30" s="289"/>
      <c r="M30" s="1"/>
      <c r="R30" s="3"/>
    </row>
    <row r="31" spans="1:18" ht="15.75">
      <c r="A31" s="163"/>
      <c r="B31" s="55"/>
      <c r="C31" s="33"/>
      <c r="D31" s="57"/>
      <c r="E31" s="58"/>
      <c r="F31" s="58"/>
      <c r="G31" s="33"/>
      <c r="H31" s="1"/>
      <c r="I31" s="151"/>
      <c r="J31" s="35"/>
      <c r="K31" s="288"/>
      <c r="L31" s="289"/>
      <c r="M31" s="1"/>
      <c r="R31" s="3"/>
    </row>
    <row r="32" spans="1:18" ht="15.75">
      <c r="A32" s="163"/>
      <c r="B32" s="55"/>
      <c r="C32" s="33"/>
      <c r="D32" s="57"/>
      <c r="E32" s="58"/>
      <c r="F32" s="58"/>
      <c r="G32" s="33"/>
      <c r="H32" s="1"/>
      <c r="I32" s="151"/>
      <c r="J32" s="35"/>
      <c r="K32" s="288"/>
      <c r="L32" s="289"/>
      <c r="M32" s="1"/>
      <c r="R32" s="3"/>
    </row>
    <row r="33" spans="1:18" ht="15.75">
      <c r="A33" s="163"/>
      <c r="B33" s="55"/>
      <c r="C33" s="33"/>
      <c r="D33" s="57"/>
      <c r="E33" s="58"/>
      <c r="F33" s="58"/>
      <c r="G33" s="33"/>
      <c r="H33" s="1"/>
      <c r="I33" s="151"/>
      <c r="J33" s="35"/>
      <c r="K33" s="288"/>
      <c r="L33" s="289"/>
      <c r="M33" s="1"/>
      <c r="R33" s="3"/>
    </row>
    <row r="34" spans="1:18" ht="15.75">
      <c r="A34" s="163"/>
      <c r="B34" s="55"/>
      <c r="C34" s="33"/>
      <c r="D34" s="57"/>
      <c r="E34" s="58"/>
      <c r="F34" s="58"/>
      <c r="G34" s="33"/>
      <c r="H34" s="1"/>
      <c r="I34" s="151"/>
      <c r="J34" s="35"/>
      <c r="K34" s="288"/>
      <c r="L34" s="289"/>
      <c r="M34" s="1"/>
      <c r="R34" s="3"/>
    </row>
    <row r="35" spans="1:18" ht="15.75">
      <c r="A35" s="163"/>
      <c r="B35" s="55"/>
      <c r="C35" s="33"/>
      <c r="D35" s="57"/>
      <c r="E35" s="58"/>
      <c r="F35" s="58"/>
      <c r="G35" s="33"/>
      <c r="H35" s="1"/>
      <c r="I35" s="151"/>
      <c r="J35" s="35"/>
      <c r="K35" s="288"/>
      <c r="L35" s="28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8"/>
      <c r="L36" s="28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8"/>
      <c r="L37" s="28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4"/>
      <c r="L38" s="30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63">
        <f>SUM(A26:A35)</f>
        <v>717.09999999999991</v>
      </c>
      <c r="B40" s="56">
        <f>SUM(B26:B39)</f>
        <v>1128</v>
      </c>
      <c r="C40" s="34" t="s">
        <v>66</v>
      </c>
      <c r="D40" s="56">
        <f>SUM(D26:D39)</f>
        <v>1084.46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63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432</v>
      </c>
      <c r="C46" s="36"/>
      <c r="D46" s="57">
        <f>92.12+4.18</f>
        <v>96.300000000000011</v>
      </c>
      <c r="E46" s="58"/>
      <c r="F46" s="58"/>
      <c r="G46" s="69" t="s">
        <v>589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77.27</f>
        <v>77.27</v>
      </c>
      <c r="E47" s="58"/>
      <c r="F47" s="58"/>
      <c r="G47" s="33" t="s">
        <v>590</v>
      </c>
      <c r="H47" s="1"/>
      <c r="M47" s="1"/>
      <c r="R47" s="3"/>
    </row>
    <row r="48" spans="1:18" ht="15.75">
      <c r="A48" s="1"/>
      <c r="B48" s="55"/>
      <c r="C48" s="33"/>
      <c r="D48" s="57">
        <v>38.07</v>
      </c>
      <c r="E48" s="58"/>
      <c r="F48" s="58"/>
      <c r="G48" s="33" t="s">
        <v>599</v>
      </c>
      <c r="H48" s="1"/>
      <c r="M48" s="1"/>
      <c r="R48" s="3"/>
    </row>
    <row r="49" spans="1:18" ht="15.75">
      <c r="A49" s="1"/>
      <c r="B49" s="55"/>
      <c r="C49" s="33"/>
      <c r="D49" s="57">
        <v>36.090000000000003</v>
      </c>
      <c r="E49" s="58"/>
      <c r="F49" s="58"/>
      <c r="G49" s="33" t="s">
        <v>604</v>
      </c>
      <c r="H49" s="1"/>
      <c r="M49" s="1"/>
      <c r="R49" s="3"/>
    </row>
    <row r="50" spans="1:18" ht="15.75">
      <c r="A50" s="1"/>
      <c r="B50" s="55"/>
      <c r="C50" s="33"/>
      <c r="D50" s="57">
        <v>38.81</v>
      </c>
      <c r="E50" s="58"/>
      <c r="F50" s="58"/>
      <c r="G50" s="33" t="s">
        <v>605</v>
      </c>
      <c r="H50" s="1"/>
      <c r="M50" s="1"/>
      <c r="R50" s="3"/>
    </row>
    <row r="51" spans="1:18" ht="15.75">
      <c r="A51" s="1"/>
      <c r="B51" s="55"/>
      <c r="C51" s="33"/>
      <c r="D51" s="57">
        <f>26.4</f>
        <v>26.4</v>
      </c>
      <c r="E51" s="58"/>
      <c r="F51" s="58"/>
      <c r="G51" s="33" t="s">
        <v>618</v>
      </c>
      <c r="H51" s="1"/>
      <c r="M51" s="1"/>
      <c r="R51" s="3"/>
    </row>
    <row r="52" spans="1:18" ht="15.75">
      <c r="A52" s="1"/>
      <c r="B52" s="55"/>
      <c r="C52" s="33"/>
      <c r="D52" s="57">
        <v>22.93</v>
      </c>
      <c r="E52" s="58"/>
      <c r="F52" s="58"/>
      <c r="G52" s="33" t="s">
        <v>628</v>
      </c>
      <c r="H52" s="1"/>
      <c r="M52" s="1"/>
      <c r="R52" s="3"/>
    </row>
    <row r="53" spans="1:18" ht="15.75">
      <c r="A53" s="1"/>
      <c r="B53" s="55"/>
      <c r="C53" s="33"/>
      <c r="D53" s="57">
        <v>16.27</v>
      </c>
      <c r="E53" s="58"/>
      <c r="F53" s="58"/>
      <c r="G53" s="33" t="s">
        <v>631</v>
      </c>
      <c r="H53" s="1"/>
      <c r="M53" s="1"/>
      <c r="R53" s="3"/>
    </row>
    <row r="54" spans="1:18" ht="15.75">
      <c r="A54" s="1"/>
      <c r="B54" s="55"/>
      <c r="C54" s="33"/>
      <c r="D54" s="57">
        <f>38.95-D327-D187</f>
        <v>10.000000000000004</v>
      </c>
      <c r="E54" s="58"/>
      <c r="F54" s="58"/>
      <c r="G54" s="33" t="s">
        <v>635</v>
      </c>
      <c r="H54" s="1"/>
      <c r="M54" s="1"/>
      <c r="R54" s="3"/>
    </row>
    <row r="55" spans="1:18" ht="15.75">
      <c r="A55" s="1"/>
      <c r="B55" s="55"/>
      <c r="C55" s="33"/>
      <c r="D55" s="57">
        <v>56.86</v>
      </c>
      <c r="E55" s="58"/>
      <c r="F55" s="58"/>
      <c r="G55" s="33" t="s">
        <v>639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460</v>
      </c>
      <c r="C60" s="34" t="s">
        <v>66</v>
      </c>
      <c r="D60" s="56">
        <f>SUM(D46:D59)</f>
        <v>418.99999999999994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v>35.619999999999997</v>
      </c>
      <c r="E66" s="58"/>
      <c r="F66" s="58"/>
      <c r="G66" s="36" t="s">
        <v>573</v>
      </c>
      <c r="H66" s="1"/>
      <c r="M66" s="1"/>
      <c r="R66" s="3"/>
    </row>
    <row r="67" spans="1:18" ht="15.75">
      <c r="A67" s="1"/>
      <c r="B67" s="55">
        <v>97.1</v>
      </c>
      <c r="C67" s="33" t="s">
        <v>646</v>
      </c>
      <c r="D67" s="57">
        <f>29.39</f>
        <v>29.39</v>
      </c>
      <c r="E67" s="58"/>
      <c r="F67" s="58">
        <v>1</v>
      </c>
      <c r="G67" s="70" t="s">
        <v>606</v>
      </c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>
        <v>21</v>
      </c>
      <c r="G68" s="33" t="s">
        <v>629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v>30</v>
      </c>
      <c r="G69" s="33" t="s">
        <v>644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247.1</v>
      </c>
      <c r="C80" s="34" t="s">
        <v>66</v>
      </c>
      <c r="D80" s="56">
        <f>SUM(D66:D79)</f>
        <v>65.009999999999991</v>
      </c>
      <c r="E80" s="56">
        <f>SUM(E66:E79)</f>
        <v>0</v>
      </c>
      <c r="F80" s="56">
        <f>SUM(F66:F79)</f>
        <v>52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/>
      <c r="E86" s="58">
        <v>2</v>
      </c>
      <c r="F86" s="58"/>
      <c r="G86" s="33" t="s">
        <v>571</v>
      </c>
      <c r="H86" s="1"/>
      <c r="M86" s="1"/>
      <c r="R86" s="3"/>
    </row>
    <row r="87" spans="1:18" ht="15.75">
      <c r="A87" s="1"/>
      <c r="B87" s="55">
        <v>2.9</v>
      </c>
      <c r="C87" s="33" t="s">
        <v>646</v>
      </c>
      <c r="D87" s="57">
        <v>53.97</v>
      </c>
      <c r="E87" s="58"/>
      <c r="F87" s="58"/>
      <c r="G87" s="33" t="s">
        <v>591</v>
      </c>
      <c r="H87" s="1"/>
      <c r="M87" s="1"/>
      <c r="R87" s="3"/>
    </row>
    <row r="88" spans="1:18" ht="15.75">
      <c r="A88" s="1"/>
      <c r="B88" s="55"/>
      <c r="C88" s="33"/>
      <c r="D88" s="57">
        <v>2.4</v>
      </c>
      <c r="E88" s="58"/>
      <c r="F88" s="58"/>
      <c r="G88" s="33" t="s">
        <v>601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>
        <v>4.8</v>
      </c>
      <c r="G89" s="33" t="s">
        <v>602</v>
      </c>
      <c r="H89" s="1"/>
      <c r="M89" s="1"/>
      <c r="R89" s="3"/>
    </row>
    <row r="90" spans="1:18" ht="15.75">
      <c r="A90" s="1"/>
      <c r="B90" s="55"/>
      <c r="C90" s="33"/>
      <c r="D90" s="57">
        <v>55.81</v>
      </c>
      <c r="E90" s="58"/>
      <c r="F90" s="58"/>
      <c r="G90" s="33" t="s">
        <v>612</v>
      </c>
      <c r="H90" s="1"/>
      <c r="M90" s="1"/>
      <c r="R90" s="3"/>
    </row>
    <row r="91" spans="1:18" ht="15.75">
      <c r="A91" s="1"/>
      <c r="B91" s="55"/>
      <c r="C91" s="33"/>
      <c r="D91" s="57">
        <v>2.4</v>
      </c>
      <c r="E91" s="58"/>
      <c r="F91" s="58"/>
      <c r="G91" s="33" t="s">
        <v>615</v>
      </c>
      <c r="H91" s="1"/>
      <c r="M91" s="1"/>
      <c r="R91" s="3"/>
    </row>
    <row r="92" spans="1:18" ht="15.75">
      <c r="A92" s="1"/>
      <c r="B92" s="55"/>
      <c r="C92" s="33"/>
      <c r="D92" s="57">
        <v>2.4</v>
      </c>
      <c r="E92" s="58"/>
      <c r="F92" s="58"/>
      <c r="G92" s="33" t="s">
        <v>630</v>
      </c>
      <c r="H92" s="1"/>
      <c r="M92" s="1"/>
      <c r="R92" s="3"/>
    </row>
    <row r="93" spans="1:18" ht="15.75">
      <c r="A93" s="1"/>
      <c r="B93" s="55"/>
      <c r="C93" s="33"/>
      <c r="D93" s="57">
        <v>56.91</v>
      </c>
      <c r="E93" s="58"/>
      <c r="F93" s="58"/>
      <c r="G93" s="33" t="s">
        <v>640</v>
      </c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152.9</v>
      </c>
      <c r="C100" s="34" t="s">
        <v>66</v>
      </c>
      <c r="D100" s="56">
        <f>SUM(D86:D99)</f>
        <v>173.89000000000001</v>
      </c>
      <c r="E100" s="56">
        <f>SUM(E86:E99)</f>
        <v>2</v>
      </c>
      <c r="F100" s="56">
        <f>SUM(F86:F99)</f>
        <v>4.8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37" t="s">
        <v>609</v>
      </c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64">
        <v>0</v>
      </c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64">
        <v>0</v>
      </c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64">
        <f>3713.44-A109</f>
        <v>1000</v>
      </c>
      <c r="B108" s="55">
        <v>50</v>
      </c>
      <c r="C108" s="35" t="s">
        <v>617</v>
      </c>
      <c r="D108" s="57">
        <f>2</f>
        <v>2</v>
      </c>
      <c r="E108" s="58"/>
      <c r="F108" s="58"/>
      <c r="G108" s="73" t="s">
        <v>613</v>
      </c>
      <c r="H108" s="1"/>
      <c r="M108" s="1"/>
      <c r="R108" s="3"/>
    </row>
    <row r="109" spans="1:18" ht="15.75">
      <c r="A109" s="164">
        <v>2713.44</v>
      </c>
      <c r="B109" s="55">
        <v>19</v>
      </c>
      <c r="C109" s="35" t="s">
        <v>616</v>
      </c>
      <c r="D109" s="57"/>
      <c r="E109" s="58"/>
      <c r="F109" s="58"/>
      <c r="G109" s="70"/>
      <c r="H109" s="1"/>
      <c r="M109" s="1"/>
      <c r="R109" s="3"/>
    </row>
    <row r="110" spans="1:18" ht="15.75"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64">
        <f>SUM(A106:A119)</f>
        <v>3713.44</v>
      </c>
      <c r="B120" s="56">
        <f>SUM(B106:B119)</f>
        <v>400</v>
      </c>
      <c r="C120" s="34" t="s">
        <v>66</v>
      </c>
      <c r="D120" s="56">
        <f>SUM(D106:D119)</f>
        <v>330.82000000000005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488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>
        <f>500-100-78</f>
        <v>322</v>
      </c>
      <c r="G166" s="33" t="s">
        <v>570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v>9</v>
      </c>
      <c r="E167" s="58"/>
      <c r="F167" s="58"/>
      <c r="G167" s="33" t="s">
        <v>575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>
        <v>70</v>
      </c>
      <c r="E168" s="58"/>
      <c r="F168" s="58"/>
      <c r="G168" s="33" t="s">
        <v>575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>
        <v>27.57</v>
      </c>
      <c r="E169" s="58"/>
      <c r="F169" s="58"/>
      <c r="G169" s="33" t="s">
        <v>577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>
        <v>52.1</v>
      </c>
      <c r="E170" s="58"/>
      <c r="F170" s="58"/>
      <c r="G170" s="33" t="s">
        <v>578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>
        <v>28</v>
      </c>
      <c r="E171" s="58"/>
      <c r="F171" s="58"/>
      <c r="G171" s="33" t="s">
        <v>579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>
        <v>22</v>
      </c>
      <c r="E172" s="58"/>
      <c r="F172" s="58"/>
      <c r="G172" s="33" t="s">
        <v>579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>
        <v>12.64</v>
      </c>
      <c r="E173" s="58"/>
      <c r="F173" s="58"/>
      <c r="G173" s="33" t="s">
        <v>580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>
        <v>494.9</v>
      </c>
      <c r="E174" s="58"/>
      <c r="F174" s="58"/>
      <c r="G174" s="33" t="s">
        <v>594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716.21</v>
      </c>
      <c r="E180" s="56">
        <f>SUM(E166:E179)</f>
        <v>0</v>
      </c>
      <c r="F180" s="56">
        <f>SUM(F166:F179)</f>
        <v>322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507</v>
      </c>
      <c r="D186" s="57">
        <v>33.799999999999997</v>
      </c>
      <c r="E186" s="58"/>
      <c r="F186" s="58"/>
      <c r="G186" s="33" t="s">
        <v>574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20</v>
      </c>
      <c r="E187" s="58"/>
      <c r="F187" s="58"/>
      <c r="G187" s="33" t="s">
        <v>635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70</v>
      </c>
      <c r="C200" s="34" t="s">
        <v>66</v>
      </c>
      <c r="D200" s="56">
        <f>SUM(D186:D199)</f>
        <v>53.8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f>20+20</f>
        <v>40</v>
      </c>
      <c r="E226" s="58"/>
      <c r="F226" s="58"/>
      <c r="G226" s="58" t="s">
        <v>50</v>
      </c>
    </row>
    <row r="227" spans="2:7">
      <c r="B227" s="55">
        <v>0</v>
      </c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20</v>
      </c>
      <c r="C240" s="34" t="s">
        <v>66</v>
      </c>
      <c r="D240" s="56">
        <f>SUM(D226:D239)</f>
        <v>40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/>
      <c r="D246" s="57">
        <v>10.4</v>
      </c>
      <c r="E246" s="58"/>
      <c r="F246" s="58"/>
      <c r="G246" s="33" t="s">
        <v>586</v>
      </c>
    </row>
    <row r="247" spans="2:7" ht="15" customHeight="1">
      <c r="B247" s="55"/>
      <c r="C247" s="33"/>
      <c r="D247" s="57">
        <v>23.07</v>
      </c>
      <c r="E247" s="58"/>
      <c r="F247" s="58"/>
      <c r="G247" s="33" t="s">
        <v>648</v>
      </c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33.47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7" ht="15" customHeight="1" thickBot="1">
      <c r="B283" s="293"/>
      <c r="C283" s="294"/>
      <c r="D283" s="294"/>
      <c r="E283" s="294"/>
      <c r="F283" s="294"/>
      <c r="G283" s="295"/>
    </row>
    <row r="284" spans="2:7">
      <c r="B284" s="301" t="s">
        <v>10</v>
      </c>
      <c r="C284" s="302"/>
      <c r="D284" s="303" t="s">
        <v>11</v>
      </c>
      <c r="E284" s="303"/>
      <c r="F284" s="303"/>
      <c r="G284" s="302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100</v>
      </c>
      <c r="C286" s="36" t="s">
        <v>36</v>
      </c>
      <c r="D286" s="57"/>
      <c r="E286" s="58">
        <v>38.549999999999997</v>
      </c>
      <c r="F286" s="58"/>
      <c r="G286" s="33" t="s">
        <v>600</v>
      </c>
    </row>
    <row r="287" spans="2:7">
      <c r="B287" s="55">
        <v>399</v>
      </c>
      <c r="C287" s="33" t="s">
        <v>647</v>
      </c>
      <c r="D287" s="57">
        <v>9.6999999999999993</v>
      </c>
      <c r="E287" s="58"/>
      <c r="F287" s="58"/>
      <c r="G287" s="33" t="s">
        <v>632</v>
      </c>
    </row>
    <row r="288" spans="2:7">
      <c r="B288" s="55"/>
      <c r="C288" s="33"/>
      <c r="D288" s="57"/>
      <c r="E288" s="58">
        <v>27.64</v>
      </c>
      <c r="F288" s="58"/>
      <c r="G288" s="33" t="s">
        <v>633</v>
      </c>
    </row>
    <row r="289" spans="2:7">
      <c r="B289" s="55"/>
      <c r="C289" s="33"/>
      <c r="D289" s="57">
        <v>6.49</v>
      </c>
      <c r="E289" s="58"/>
      <c r="F289" s="58"/>
      <c r="G289" s="33" t="s">
        <v>638</v>
      </c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499</v>
      </c>
      <c r="C300" s="34" t="s">
        <v>66</v>
      </c>
      <c r="D300" s="56">
        <f>SUM(D286:D299)</f>
        <v>16.189999999999998</v>
      </c>
      <c r="E300" s="56">
        <f>SUM(E286:E299)</f>
        <v>66.19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110</v>
      </c>
      <c r="C306" s="36" t="s">
        <v>473</v>
      </c>
      <c r="D306" s="57">
        <v>10.81</v>
      </c>
      <c r="E306" s="58"/>
      <c r="F306" s="58"/>
      <c r="G306" s="33" t="s">
        <v>572</v>
      </c>
    </row>
    <row r="307" spans="2:7">
      <c r="B307" s="84"/>
      <c r="C307" s="66"/>
      <c r="D307" s="57">
        <v>49.56</v>
      </c>
      <c r="E307" s="58"/>
      <c r="F307" s="58"/>
      <c r="G307" s="33" t="s">
        <v>585</v>
      </c>
    </row>
    <row r="308" spans="2:7">
      <c r="B308" s="84"/>
      <c r="C308" s="66"/>
      <c r="D308" s="57">
        <v>9.1</v>
      </c>
      <c r="E308" s="58"/>
      <c r="F308" s="58"/>
      <c r="G308" s="33" t="s">
        <v>608</v>
      </c>
    </row>
    <row r="309" spans="2:7">
      <c r="B309" s="55"/>
      <c r="C309" s="33"/>
      <c r="D309" s="57">
        <v>4.1399999999999997</v>
      </c>
      <c r="E309" s="58"/>
      <c r="F309" s="58"/>
      <c r="G309" s="33" t="s">
        <v>614</v>
      </c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110</v>
      </c>
      <c r="C320" s="34" t="s">
        <v>66</v>
      </c>
      <c r="D320" s="56">
        <f>SUM(D306:D319)</f>
        <v>73.61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/>
      <c r="D326" s="57">
        <v>348</v>
      </c>
      <c r="E326" s="58"/>
      <c r="F326" s="58"/>
      <c r="G326" s="33" t="s">
        <v>607</v>
      </c>
    </row>
    <row r="327" spans="2:7">
      <c r="B327" s="55"/>
      <c r="C327" s="33"/>
      <c r="D327" s="57">
        <v>8.9499999999999993</v>
      </c>
      <c r="E327" s="58"/>
      <c r="F327" s="58"/>
      <c r="G327" s="33" t="s">
        <v>635</v>
      </c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90</v>
      </c>
      <c r="C340" s="34" t="s">
        <v>66</v>
      </c>
      <c r="D340" s="56">
        <f>SUM(D326:D339)</f>
        <v>356.95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>
        <v>65</v>
      </c>
      <c r="E346" s="58"/>
      <c r="F346" s="58"/>
      <c r="G346" s="33" t="s">
        <v>593</v>
      </c>
    </row>
    <row r="347" spans="2:7">
      <c r="B347" s="55">
        <v>30</v>
      </c>
      <c r="C347" s="33" t="s">
        <v>559</v>
      </c>
      <c r="D347" s="57">
        <v>83</v>
      </c>
      <c r="E347" s="58"/>
      <c r="F347" s="58"/>
      <c r="G347" s="33" t="s">
        <v>641</v>
      </c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60</v>
      </c>
      <c r="C360" s="34" t="s">
        <v>66</v>
      </c>
      <c r="D360" s="56">
        <f>SUM(D346:D359)</f>
        <v>148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>
        <f>4+4.5+2.8+4.05+3.5+3.4+3.5+4.5</f>
        <v>30.25</v>
      </c>
      <c r="G366" s="70" t="s">
        <v>91</v>
      </c>
    </row>
    <row r="367" spans="2:7">
      <c r="B367" s="55"/>
      <c r="C367" s="33"/>
      <c r="D367" s="57">
        <v>6</v>
      </c>
      <c r="E367" s="58"/>
      <c r="F367" s="58"/>
      <c r="G367" s="174" t="s">
        <v>592</v>
      </c>
    </row>
    <row r="368" spans="2:7">
      <c r="B368" s="55"/>
      <c r="C368" s="33"/>
      <c r="D368" s="57">
        <v>5.78</v>
      </c>
      <c r="E368" s="58"/>
      <c r="F368" s="58"/>
      <c r="G368" s="33" t="s">
        <v>597</v>
      </c>
    </row>
    <row r="369" spans="2:7">
      <c r="B369" s="55"/>
      <c r="C369" s="33"/>
      <c r="D369" s="57">
        <v>15.01</v>
      </c>
      <c r="E369" s="58"/>
      <c r="F369" s="58"/>
      <c r="G369" s="33" t="s">
        <v>603</v>
      </c>
    </row>
    <row r="370" spans="2:7">
      <c r="B370" s="55"/>
      <c r="C370" s="33"/>
      <c r="D370" s="57">
        <v>3.78</v>
      </c>
      <c r="E370" s="58"/>
      <c r="F370" s="58"/>
      <c r="G370" s="33" t="s">
        <v>648</v>
      </c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70</v>
      </c>
      <c r="C380" s="34" t="s">
        <v>66</v>
      </c>
      <c r="D380" s="56">
        <f>SUM(D366:D379)</f>
        <v>30.57</v>
      </c>
      <c r="E380" s="56">
        <f>SUM(E366:E379)</f>
        <v>0</v>
      </c>
      <c r="F380" s="56">
        <f>SUM(F366:F379)</f>
        <v>30.25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20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20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9">
      <c r="B417" s="55"/>
      <c r="C417" s="33"/>
      <c r="D417" s="57"/>
      <c r="E417" s="58"/>
      <c r="F417" s="58"/>
      <c r="G417" s="33"/>
    </row>
    <row r="418" spans="2:9">
      <c r="B418" s="55"/>
      <c r="C418" s="33"/>
      <c r="D418" s="57"/>
      <c r="E418" s="58"/>
      <c r="F418" s="58"/>
      <c r="G418" s="33"/>
    </row>
    <row r="419" spans="2:9" ht="15.75" thickBot="1">
      <c r="B419" s="56"/>
      <c r="C419" s="34"/>
      <c r="D419" s="56"/>
      <c r="E419" s="59"/>
      <c r="F419" s="59"/>
      <c r="G419" s="34"/>
    </row>
    <row r="420" spans="2:9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9" ht="15.75" thickBot="1">
      <c r="B421" s="3"/>
      <c r="C421" s="3"/>
      <c r="D421" s="3"/>
      <c r="E421" s="3"/>
    </row>
    <row r="422" spans="2:9" ht="14.45" customHeight="1">
      <c r="B422" s="300" t="str">
        <f>'2018'!A41</f>
        <v>Ahorros Colchón</v>
      </c>
      <c r="C422" s="306"/>
      <c r="D422" s="306"/>
      <c r="E422" s="306"/>
      <c r="F422" s="306"/>
      <c r="G422" s="307"/>
    </row>
    <row r="423" spans="2:9" ht="15" customHeight="1" thickBot="1">
      <c r="B423" s="308"/>
      <c r="C423" s="309"/>
      <c r="D423" s="309"/>
      <c r="E423" s="309"/>
      <c r="F423" s="309"/>
      <c r="G423" s="310"/>
    </row>
    <row r="424" spans="2:9">
      <c r="B424" s="301" t="s">
        <v>10</v>
      </c>
      <c r="C424" s="302"/>
      <c r="D424" s="303" t="s">
        <v>11</v>
      </c>
      <c r="E424" s="303"/>
      <c r="F424" s="303"/>
      <c r="G424" s="302"/>
    </row>
    <row r="425" spans="2:9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9">
      <c r="B426" s="54">
        <f>'2018'!AI17-4507.71</f>
        <v>-318.40999999999985</v>
      </c>
      <c r="C426" s="36" t="s">
        <v>652</v>
      </c>
      <c r="D426" s="57"/>
      <c r="E426" s="58"/>
      <c r="F426" s="58"/>
      <c r="G426" s="33"/>
      <c r="I426" s="226"/>
    </row>
    <row r="427" spans="2:9">
      <c r="B427" s="55"/>
      <c r="C427" s="33"/>
      <c r="D427" s="57"/>
      <c r="E427" s="58"/>
      <c r="F427" s="58"/>
      <c r="G427" s="33"/>
    </row>
    <row r="428" spans="2:9">
      <c r="B428" s="55"/>
      <c r="C428" s="33"/>
      <c r="D428" s="57"/>
      <c r="E428" s="58"/>
      <c r="F428" s="58"/>
      <c r="G428" s="33"/>
    </row>
    <row r="429" spans="2:9">
      <c r="B429" s="55"/>
      <c r="C429" s="33"/>
      <c r="D429" s="57"/>
      <c r="E429" s="58"/>
      <c r="F429" s="58"/>
      <c r="G429" s="33"/>
    </row>
    <row r="430" spans="2:9">
      <c r="B430" s="55"/>
      <c r="C430" s="33"/>
      <c r="D430" s="57"/>
      <c r="E430" s="58"/>
      <c r="F430" s="58"/>
      <c r="G430" s="33"/>
    </row>
    <row r="431" spans="2:9">
      <c r="B431" s="55"/>
      <c r="C431" s="33"/>
      <c r="D431" s="57"/>
      <c r="E431" s="58"/>
      <c r="F431" s="58"/>
      <c r="G431" s="33"/>
    </row>
    <row r="432" spans="2:9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-318.40999999999985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1:8">
      <c r="A465" s="137" t="s">
        <v>609</v>
      </c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1:8">
      <c r="A466" s="164">
        <v>271</v>
      </c>
      <c r="B466" s="55">
        <v>56</v>
      </c>
      <c r="C466" s="33" t="s">
        <v>485</v>
      </c>
      <c r="D466" s="57"/>
      <c r="E466" s="58"/>
      <c r="F466" s="58">
        <v>100</v>
      </c>
      <c r="G466" s="33" t="s">
        <v>582</v>
      </c>
      <c r="H466" s="137" t="s">
        <v>583</v>
      </c>
    </row>
    <row r="467" spans="1:8">
      <c r="A467" s="164">
        <v>0</v>
      </c>
      <c r="B467" s="55"/>
      <c r="C467" s="33"/>
      <c r="D467" s="57"/>
      <c r="E467" s="58"/>
      <c r="F467" s="58"/>
      <c r="G467" s="33"/>
    </row>
    <row r="468" spans="1:8">
      <c r="A468" s="164">
        <v>0</v>
      </c>
      <c r="B468" s="55"/>
      <c r="C468" s="33"/>
      <c r="D468" s="57"/>
      <c r="E468" s="58"/>
      <c r="F468" s="58"/>
      <c r="G468" s="33"/>
    </row>
    <row r="469" spans="1:8">
      <c r="B469" s="55"/>
      <c r="C469" s="33"/>
      <c r="D469" s="57"/>
      <c r="E469" s="58"/>
      <c r="F469" s="58"/>
      <c r="G469" s="33"/>
    </row>
    <row r="470" spans="1:8">
      <c r="B470" s="55"/>
      <c r="C470" s="33"/>
      <c r="D470" s="57"/>
      <c r="E470" s="58"/>
      <c r="F470" s="58"/>
      <c r="G470" s="33"/>
    </row>
    <row r="471" spans="1:8">
      <c r="B471" s="55"/>
      <c r="C471" s="33"/>
      <c r="D471" s="57"/>
      <c r="E471" s="58"/>
      <c r="F471" s="58"/>
      <c r="G471" s="33"/>
    </row>
    <row r="472" spans="1:8">
      <c r="B472" s="55"/>
      <c r="C472" s="33"/>
      <c r="D472" s="57"/>
      <c r="E472" s="58"/>
      <c r="F472" s="58"/>
      <c r="G472" s="33"/>
    </row>
    <row r="473" spans="1:8">
      <c r="B473" s="55"/>
      <c r="C473" s="33"/>
      <c r="D473" s="57"/>
      <c r="E473" s="58"/>
      <c r="F473" s="58"/>
      <c r="G473" s="33"/>
    </row>
    <row r="474" spans="1:8">
      <c r="B474" s="55"/>
      <c r="C474" s="33"/>
      <c r="D474" s="57"/>
      <c r="E474" s="58"/>
      <c r="F474" s="58"/>
      <c r="G474" s="33"/>
    </row>
    <row r="475" spans="1:8">
      <c r="B475" s="55"/>
      <c r="C475" s="33"/>
      <c r="D475" s="57"/>
      <c r="E475" s="58"/>
      <c r="F475" s="58"/>
      <c r="G475" s="33"/>
    </row>
    <row r="476" spans="1:8">
      <c r="B476" s="55"/>
      <c r="C476" s="33"/>
      <c r="D476" s="57"/>
      <c r="E476" s="58"/>
      <c r="F476" s="58"/>
      <c r="G476" s="33"/>
    </row>
    <row r="477" spans="1:8">
      <c r="B477" s="55"/>
      <c r="C477" s="33"/>
      <c r="D477" s="57"/>
      <c r="E477" s="58"/>
      <c r="F477" s="58"/>
      <c r="G477" s="33"/>
    </row>
    <row r="478" spans="1:8">
      <c r="B478" s="55"/>
      <c r="C478" s="33"/>
      <c r="D478" s="57"/>
      <c r="E478" s="58"/>
      <c r="F478" s="58"/>
      <c r="G478" s="33"/>
    </row>
    <row r="479" spans="1:8" ht="15.75" thickBot="1">
      <c r="B479" s="56"/>
      <c r="C479" s="34"/>
      <c r="D479" s="56"/>
      <c r="E479" s="59"/>
      <c r="F479" s="59"/>
      <c r="G479" s="34"/>
    </row>
    <row r="480" spans="1:8" ht="15.75" thickBot="1">
      <c r="A480" s="164">
        <f>SUM(A466:A468)</f>
        <v>271</v>
      </c>
      <c r="B480" s="56">
        <f>SUM(B466:B479)</f>
        <v>56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100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49</v>
      </c>
      <c r="C506" s="36" t="s">
        <v>527</v>
      </c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49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900-000000000000}"/>
    <hyperlink ref="I22" location="Trimestre!C39:F40" display="TELÉFONO" xr:uid="{00000000-0004-0000-0900-000001000000}"/>
    <hyperlink ref="I22:L23" location="'2018'!AI7:AL7" display="INGRESOS" xr:uid="{00000000-0004-0000-0900-000002000000}"/>
    <hyperlink ref="B2" location="Trimestre!C25:F26" display="HIPOTECA" xr:uid="{00000000-0004-0000-0900-000003000000}"/>
    <hyperlink ref="B2:G3" location="'2018'!AI20:AL20" display="'2018'!AI20:AL20" xr:uid="{00000000-0004-0000-0900-000004000000}"/>
    <hyperlink ref="B22" location="Trimestre!C25:F26" display="HIPOTECA" xr:uid="{00000000-0004-0000-0900-000005000000}"/>
    <hyperlink ref="B22:G23" location="'2018'!AI21:AL21" display="'2018'!AI21:AL21" xr:uid="{00000000-0004-0000-0900-000006000000}"/>
    <hyperlink ref="B42" location="Trimestre!C25:F26" display="HIPOTECA" xr:uid="{00000000-0004-0000-0900-000007000000}"/>
    <hyperlink ref="B42:G43" location="'2018'!AI22:AL22" display="'2018'!AI22:AL22" xr:uid="{00000000-0004-0000-0900-000008000000}"/>
    <hyperlink ref="B62" location="Trimestre!C25:F26" display="HIPOTECA" xr:uid="{00000000-0004-0000-0900-000009000000}"/>
    <hyperlink ref="B62:G63" location="'2018'!AI23:AL23" display="'2018'!AI23:AL23" xr:uid="{00000000-0004-0000-0900-00000A000000}"/>
    <hyperlink ref="B82" location="Trimestre!C25:F26" display="HIPOTECA" xr:uid="{00000000-0004-0000-0900-00000B000000}"/>
    <hyperlink ref="B82:G83" location="'2018'!AI24:AL24" display="'2018'!AI24:AL24" xr:uid="{00000000-0004-0000-0900-00000C000000}"/>
    <hyperlink ref="B102" location="Trimestre!C25:F26" display="HIPOTECA" xr:uid="{00000000-0004-0000-0900-00000D000000}"/>
    <hyperlink ref="B102:G103" location="'2018'!AI25:AL25" display="'2018'!AI25:AL25" xr:uid="{00000000-0004-0000-0900-00000E000000}"/>
    <hyperlink ref="B122" location="Trimestre!C25:F26" display="HIPOTECA" xr:uid="{00000000-0004-0000-0900-00000F000000}"/>
    <hyperlink ref="B122:G123" location="'2018'!AI26:AL26" display="'2018'!AI26:AL26" xr:uid="{00000000-0004-0000-0900-000010000000}"/>
    <hyperlink ref="B142" location="Trimestre!C25:F26" display="HIPOTECA" xr:uid="{00000000-0004-0000-0900-000011000000}"/>
    <hyperlink ref="B142:G143" location="'2018'!AI27:AL27" display="'2018'!AI27:AL27" xr:uid="{00000000-0004-0000-0900-000012000000}"/>
    <hyperlink ref="B162" location="Trimestre!C25:F26" display="HIPOTECA" xr:uid="{00000000-0004-0000-0900-000013000000}"/>
    <hyperlink ref="B162:G163" location="'2018'!AI28:AL28" display="'2018'!AI28:AL28" xr:uid="{00000000-0004-0000-0900-000014000000}"/>
    <hyperlink ref="B182" location="Trimestre!C25:F26" display="HIPOTECA" xr:uid="{00000000-0004-0000-0900-000015000000}"/>
    <hyperlink ref="B182:G183" location="'2018'!AI29:AL29" display="'2018'!AI29:AL29" xr:uid="{00000000-0004-0000-0900-000016000000}"/>
    <hyperlink ref="B202" location="Trimestre!C25:F26" display="HIPOTECA" xr:uid="{00000000-0004-0000-0900-000017000000}"/>
    <hyperlink ref="B202:G203" location="'2018'!AI30:AL30" display="'2018'!AI30:AL30" xr:uid="{00000000-0004-0000-0900-000018000000}"/>
    <hyperlink ref="B222" location="Trimestre!C25:F26" display="HIPOTECA" xr:uid="{00000000-0004-0000-0900-000019000000}"/>
    <hyperlink ref="B222:G223" location="'2018'!AI31:AL31" display="'2018'!AI31:AL31" xr:uid="{00000000-0004-0000-0900-00001A000000}"/>
    <hyperlink ref="B242" location="Trimestre!C25:F26" display="HIPOTECA" xr:uid="{00000000-0004-0000-0900-00001B000000}"/>
    <hyperlink ref="B242:G243" location="'2018'!AI32:AL32" display="'2018'!AI32:AL32" xr:uid="{00000000-0004-0000-0900-00001C000000}"/>
    <hyperlink ref="B262" location="Trimestre!C25:F26" display="HIPOTECA" xr:uid="{00000000-0004-0000-0900-00001D000000}"/>
    <hyperlink ref="B262:G263" location="'2018'!AI33:AL33" display="'2018'!AI33:AL33" xr:uid="{00000000-0004-0000-0900-00001E000000}"/>
    <hyperlink ref="B282" location="Trimestre!C25:F26" display="HIPOTECA" xr:uid="{00000000-0004-0000-0900-00001F000000}"/>
    <hyperlink ref="B282:G283" location="'2018'!AI34:AL34" display="'2018'!AI34:AL34" xr:uid="{00000000-0004-0000-0900-000020000000}"/>
    <hyperlink ref="B302" location="Trimestre!C25:F26" display="HIPOTECA" xr:uid="{00000000-0004-0000-0900-000021000000}"/>
    <hyperlink ref="B302:G303" location="'2018'!AI35:AL35" display="'2018'!AI35:AL35" xr:uid="{00000000-0004-0000-0900-000022000000}"/>
    <hyperlink ref="B322" location="Trimestre!C25:F26" display="HIPOTECA" xr:uid="{00000000-0004-0000-0900-000023000000}"/>
    <hyperlink ref="B322:G323" location="'2018'!AI36:AL36" display="'2018'!AI36:AL36" xr:uid="{00000000-0004-0000-0900-000024000000}"/>
    <hyperlink ref="B342" location="Trimestre!C25:F26" display="HIPOTECA" xr:uid="{00000000-0004-0000-0900-000025000000}"/>
    <hyperlink ref="B342:G343" location="'2018'!AI37:AL37" display="'2018'!AI37:AL37" xr:uid="{00000000-0004-0000-0900-000026000000}"/>
    <hyperlink ref="B362" location="Trimestre!C25:F26" display="HIPOTECA" xr:uid="{00000000-0004-0000-0900-000027000000}"/>
    <hyperlink ref="B362:G363" location="'2018'!AI38:AL38" display="'2018'!AI38:AL38" xr:uid="{00000000-0004-0000-0900-000028000000}"/>
    <hyperlink ref="B382" location="Trimestre!C25:F26" display="HIPOTECA" xr:uid="{00000000-0004-0000-0900-000029000000}"/>
    <hyperlink ref="B382:G383" location="'2018'!AI39:AL39" display="'2018'!AI39:AL39" xr:uid="{00000000-0004-0000-0900-00002A000000}"/>
    <hyperlink ref="B402" location="Trimestre!C25:F26" display="HIPOTECA" xr:uid="{00000000-0004-0000-0900-00002B000000}"/>
    <hyperlink ref="B402:G403" location="'2018'!AI40:AL40" display="'2018'!AI40:AL40" xr:uid="{00000000-0004-0000-0900-00002C000000}"/>
    <hyperlink ref="B422" location="Trimestre!C25:F26" display="HIPOTECA" xr:uid="{00000000-0004-0000-0900-00002D000000}"/>
    <hyperlink ref="B422:G423" location="'2018'!AI41:AL41" display="'2018'!AI41:AL41" xr:uid="{00000000-0004-0000-0900-00002E000000}"/>
    <hyperlink ref="B442" location="Trimestre!C25:F26" display="HIPOTECA" xr:uid="{00000000-0004-0000-0900-00002F000000}"/>
    <hyperlink ref="B442:G443" location="'2018'!AI42:AL42" display="'2018'!AI42:AL42" xr:uid="{00000000-0004-0000-0900-000030000000}"/>
    <hyperlink ref="B462" location="Trimestre!C25:F26" display="HIPOTECA" xr:uid="{00000000-0004-0000-0900-000031000000}"/>
    <hyperlink ref="B462:G463" location="'2018'!AI43:AL43" display="'2018'!AI43:AL43" xr:uid="{00000000-0004-0000-0900-000032000000}"/>
    <hyperlink ref="B482" location="Trimestre!C25:F26" display="HIPOTECA" xr:uid="{00000000-0004-0000-0900-000033000000}"/>
    <hyperlink ref="B482:G483" location="'2018'!AI44:AL44" display="'2018'!AI44:AL44" xr:uid="{00000000-0004-0000-0900-000034000000}"/>
    <hyperlink ref="B502" location="Trimestre!C25:F26" display="HIPOTECA" xr:uid="{00000000-0004-0000-0900-000035000000}"/>
    <hyperlink ref="B502:G503" location="'2018'!AI45:AL45" display="'2018'!AI45:AL45" xr:uid="{00000000-0004-0000-0900-000036000000}"/>
    <hyperlink ref="I2:L3" location="'2018'!AI4:AL4" display="SALDO REAL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11" workbookViewId="0">
      <selection activeCell="I22" sqref="I22:L23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/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88" t="s">
        <v>70</v>
      </c>
      <c r="J4" s="156" t="s">
        <v>71</v>
      </c>
      <c r="K4" s="313" t="s">
        <v>72</v>
      </c>
      <c r="L4" s="314"/>
      <c r="M4" s="1"/>
      <c r="N4" s="1"/>
      <c r="R4" s="3"/>
    </row>
    <row r="5" spans="1:22" ht="15.75">
      <c r="A5" s="1" t="s">
        <v>609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"/>
      <c r="I5" s="157" t="s">
        <v>73</v>
      </c>
      <c r="J5" s="158" t="s">
        <v>74</v>
      </c>
      <c r="K5" s="315">
        <v>2339.39</v>
      </c>
      <c r="L5" s="316"/>
      <c r="M5" s="1">
        <v>622.46</v>
      </c>
      <c r="N5" s="1" t="s">
        <v>308</v>
      </c>
      <c r="O5" s="137">
        <f>M5-500</f>
        <v>122.46000000000004</v>
      </c>
      <c r="R5" s="3"/>
    </row>
    <row r="6" spans="1:22" ht="15.75">
      <c r="A6" s="163">
        <f>'09'!A6+B6-SUM(D6:F6)</f>
        <v>6</v>
      </c>
      <c r="B6" s="219">
        <v>399.59</v>
      </c>
      <c r="C6" s="36" t="s">
        <v>584</v>
      </c>
      <c r="D6" s="223"/>
      <c r="E6" s="224">
        <v>399.59</v>
      </c>
      <c r="F6" s="224"/>
      <c r="G6" s="33" t="s">
        <v>35</v>
      </c>
      <c r="H6" s="1"/>
      <c r="I6" s="159" t="s">
        <v>73</v>
      </c>
      <c r="J6" s="158" t="s">
        <v>75</v>
      </c>
      <c r="K6" s="317">
        <v>550</v>
      </c>
      <c r="L6" s="318"/>
      <c r="M6" s="1" t="s">
        <v>394</v>
      </c>
      <c r="N6" s="1"/>
      <c r="R6" s="3"/>
    </row>
    <row r="7" spans="1:22" ht="15.75">
      <c r="A7" s="163">
        <f>'09'!A7+B7-SUM(D7:F7)</f>
        <v>97.8</v>
      </c>
      <c r="B7" s="220">
        <v>70</v>
      </c>
      <c r="C7" s="33" t="s">
        <v>653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7">
        <f>5618.33+399+8.39+28.86</f>
        <v>6054.58</v>
      </c>
      <c r="L7" s="318"/>
      <c r="M7" s="1"/>
      <c r="N7" s="1"/>
      <c r="R7" s="3"/>
    </row>
    <row r="8" spans="1:22" ht="15.75">
      <c r="A8" s="163">
        <f>'09'!A8+B8-SUM(D8:F8)</f>
        <v>-94.96</v>
      </c>
      <c r="B8" s="220">
        <v>0</v>
      </c>
      <c r="C8" s="33" t="s">
        <v>38</v>
      </c>
      <c r="D8" s="223"/>
      <c r="E8" s="164">
        <v>94.96</v>
      </c>
      <c r="F8" s="224"/>
      <c r="G8" s="33" t="s">
        <v>38</v>
      </c>
      <c r="H8" s="1"/>
      <c r="I8" s="159" t="s">
        <v>76</v>
      </c>
      <c r="J8" s="158" t="s">
        <v>78</v>
      </c>
      <c r="K8" s="317">
        <v>7000</v>
      </c>
      <c r="L8" s="318"/>
      <c r="M8" s="1"/>
      <c r="N8" s="1"/>
      <c r="R8" s="3"/>
    </row>
    <row r="9" spans="1:22" ht="15.75">
      <c r="A9" s="163">
        <f>'09'!A9+B9-SUM(D9:F9)</f>
        <v>0</v>
      </c>
      <c r="B9" s="220">
        <v>28.14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7">
        <v>659.77</v>
      </c>
      <c r="L9" s="318"/>
      <c r="M9" s="1"/>
      <c r="N9" s="1"/>
      <c r="R9" s="3"/>
    </row>
    <row r="10" spans="1:22" ht="15.75">
      <c r="A10" s="163">
        <f>'09'!A10+B10-SUM(D10:F10)</f>
        <v>0</v>
      </c>
      <c r="B10" s="220">
        <v>12</v>
      </c>
      <c r="C10" s="33" t="s">
        <v>39</v>
      </c>
      <c r="D10" s="223"/>
      <c r="E10" s="224">
        <v>12</v>
      </c>
      <c r="F10" s="224"/>
      <c r="G10" s="33" t="s">
        <v>39</v>
      </c>
      <c r="H10" s="1"/>
      <c r="I10" s="159" t="s">
        <v>76</v>
      </c>
      <c r="J10" s="158" t="s">
        <v>115</v>
      </c>
      <c r="K10" s="317">
        <v>1800.04</v>
      </c>
      <c r="L10" s="318"/>
      <c r="M10" s="1" t="s">
        <v>265</v>
      </c>
      <c r="N10" s="1"/>
      <c r="R10" s="3"/>
    </row>
    <row r="11" spans="1:22" ht="15.75">
      <c r="A11" s="163">
        <f>'09'!A11+B11-SUM(D11:F11)</f>
        <v>0.17000000000000171</v>
      </c>
      <c r="B11" s="220">
        <v>30.41</v>
      </c>
      <c r="C11" s="33" t="s">
        <v>37</v>
      </c>
      <c r="D11" s="223"/>
      <c r="E11" s="224">
        <v>30.24</v>
      </c>
      <c r="F11" s="224"/>
      <c r="G11" s="33" t="s">
        <v>37</v>
      </c>
      <c r="H11" s="1"/>
      <c r="I11" s="159" t="s">
        <v>93</v>
      </c>
      <c r="J11" s="158" t="s">
        <v>94</v>
      </c>
      <c r="K11" s="317">
        <v>260</v>
      </c>
      <c r="L11" s="318"/>
      <c r="M11" s="1"/>
      <c r="N11" s="1"/>
      <c r="R11" s="3"/>
    </row>
    <row r="12" spans="1:22" ht="15.75">
      <c r="A12" s="163">
        <f>'09'!A12+B12-SUM(D12:F12)</f>
        <v>-11.95999999999998</v>
      </c>
      <c r="B12" s="220">
        <v>25</v>
      </c>
      <c r="C12" s="33" t="s">
        <v>206</v>
      </c>
      <c r="D12" s="223"/>
      <c r="E12" s="224">
        <v>261.95999999999998</v>
      </c>
      <c r="F12" s="224"/>
      <c r="G12" s="33" t="s">
        <v>687</v>
      </c>
      <c r="H12" s="163"/>
      <c r="I12" s="159" t="s">
        <v>303</v>
      </c>
      <c r="J12" s="158" t="s">
        <v>304</v>
      </c>
      <c r="K12" s="317">
        <v>5092.08</v>
      </c>
      <c r="L12" s="318"/>
      <c r="M12" s="140"/>
      <c r="N12" s="1"/>
      <c r="R12" s="3"/>
    </row>
    <row r="13" spans="1:22" ht="15.75">
      <c r="A13" s="163">
        <f>'09'!A13+B13-SUM(D13:F13)</f>
        <v>49</v>
      </c>
      <c r="B13" s="220">
        <v>7</v>
      </c>
      <c r="C13" s="33" t="s">
        <v>654</v>
      </c>
      <c r="D13" s="223"/>
      <c r="E13" s="224"/>
      <c r="F13" s="224"/>
      <c r="G13" s="33"/>
      <c r="H13" s="1"/>
      <c r="I13" s="159"/>
      <c r="J13" s="158"/>
      <c r="K13" s="317"/>
      <c r="L13" s="318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7"/>
      <c r="L14" s="318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7"/>
      <c r="L15" s="318"/>
      <c r="M15" s="1"/>
      <c r="N15" s="1"/>
      <c r="R15" s="3"/>
    </row>
    <row r="16" spans="1:22" ht="15.75">
      <c r="A16" s="1"/>
      <c r="B16" s="220"/>
      <c r="C16" s="33"/>
      <c r="D16" s="223"/>
      <c r="E16" s="224"/>
      <c r="F16" s="224"/>
      <c r="G16" s="33"/>
      <c r="H16" s="1"/>
      <c r="I16" s="159"/>
      <c r="J16" s="158"/>
      <c r="K16" s="317"/>
      <c r="L16" s="318"/>
      <c r="M16" s="1"/>
      <c r="N16" s="1"/>
      <c r="R16" s="3"/>
    </row>
    <row r="17" spans="1:18" ht="15.75">
      <c r="A17" s="1"/>
      <c r="B17" s="220"/>
      <c r="C17" s="33"/>
      <c r="D17" s="223"/>
      <c r="E17" s="224"/>
      <c r="F17" s="224"/>
      <c r="G17" s="33"/>
      <c r="H17" s="1"/>
      <c r="I17" s="159"/>
      <c r="J17" s="158"/>
      <c r="K17" s="317"/>
      <c r="L17" s="318"/>
      <c r="M17" s="1"/>
      <c r="N17" s="1"/>
      <c r="R17" s="3"/>
    </row>
    <row r="18" spans="1:18" ht="16.5" thickBot="1">
      <c r="A18" s="1"/>
      <c r="B18" s="220"/>
      <c r="C18" s="33"/>
      <c r="D18" s="223"/>
      <c r="E18" s="224"/>
      <c r="F18" s="224"/>
      <c r="G18" s="33"/>
      <c r="H18" s="1"/>
      <c r="I18" s="160"/>
      <c r="J18" s="161"/>
      <c r="K18" s="311"/>
      <c r="L18" s="312"/>
      <c r="M18" s="1"/>
      <c r="N18" s="1"/>
      <c r="R18" s="3"/>
    </row>
    <row r="19" spans="1:18" ht="16.5" thickBot="1">
      <c r="A19" s="1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1">
        <f>SUM(K5:K18)</f>
        <v>23755.86</v>
      </c>
      <c r="L19" s="312"/>
      <c r="M19" s="1"/>
      <c r="N19" s="1"/>
      <c r="R19" s="3"/>
    </row>
    <row r="20" spans="1:18" ht="16.5" thickBot="1">
      <c r="A20" s="163">
        <f>SUM(A6:A15)</f>
        <v>46.050000000000026</v>
      </c>
      <c r="B20" s="221">
        <f>SUM(B6:B19)</f>
        <v>572.14</v>
      </c>
      <c r="C20" s="34" t="s">
        <v>66</v>
      </c>
      <c r="D20" s="221">
        <f>SUM(D6:D19)</f>
        <v>0</v>
      </c>
      <c r="E20" s="221">
        <f>SUM(E6:E19)</f>
        <v>798.75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16863.739999999998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313" t="s">
        <v>134</v>
      </c>
      <c r="L24" s="314"/>
      <c r="M24" s="1"/>
      <c r="R24" s="3"/>
    </row>
    <row r="25" spans="1:18" ht="15.75">
      <c r="A25" s="1" t="s">
        <v>609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>
        <v>2</v>
      </c>
      <c r="J25" s="3" t="s">
        <v>656</v>
      </c>
      <c r="K25" s="315">
        <v>209.32</v>
      </c>
      <c r="L25" s="316"/>
      <c r="M25" s="1"/>
      <c r="R25" s="3"/>
    </row>
    <row r="26" spans="1:18" ht="15.75">
      <c r="A26" s="163">
        <f>'09'!A26+B26-D26</f>
        <v>0</v>
      </c>
      <c r="B26" s="219">
        <v>900</v>
      </c>
      <c r="C26" s="66" t="s">
        <v>42</v>
      </c>
      <c r="D26" s="223">
        <v>900</v>
      </c>
      <c r="E26" s="224"/>
      <c r="F26" s="224"/>
      <c r="G26" s="33" t="s">
        <v>42</v>
      </c>
      <c r="H26" s="1"/>
      <c r="I26" s="151">
        <v>8</v>
      </c>
      <c r="J26" s="35" t="s">
        <v>42</v>
      </c>
      <c r="K26" s="317">
        <v>550</v>
      </c>
      <c r="L26" s="318"/>
      <c r="M26" s="1"/>
      <c r="R26" s="3"/>
    </row>
    <row r="27" spans="1:18" ht="15.75">
      <c r="A27" s="163">
        <f>'09'!A27+B27-D27</f>
        <v>6</v>
      </c>
      <c r="B27" s="220">
        <v>170</v>
      </c>
      <c r="C27" s="66" t="s">
        <v>44</v>
      </c>
      <c r="D27" s="223">
        <v>167</v>
      </c>
      <c r="E27" s="224"/>
      <c r="F27" s="224"/>
      <c r="G27" s="33" t="s">
        <v>44</v>
      </c>
      <c r="H27" s="1"/>
      <c r="I27" s="151">
        <v>4</v>
      </c>
      <c r="J27" s="35" t="s">
        <v>689</v>
      </c>
      <c r="K27" s="317">
        <v>0.06</v>
      </c>
      <c r="L27" s="318"/>
      <c r="M27" s="1"/>
      <c r="R27" s="3"/>
    </row>
    <row r="28" spans="1:18" ht="15.75">
      <c r="A28" s="163">
        <f>'09'!A28+B28-D28</f>
        <v>63.06</v>
      </c>
      <c r="B28" s="220">
        <v>40</v>
      </c>
      <c r="C28" s="66" t="s">
        <v>45</v>
      </c>
      <c r="D28" s="223">
        <v>96.94</v>
      </c>
      <c r="E28" s="224"/>
      <c r="F28" s="224"/>
      <c r="G28" s="33" t="s">
        <v>45</v>
      </c>
      <c r="H28" s="1"/>
      <c r="I28" s="151">
        <v>2</v>
      </c>
      <c r="J28" s="35" t="s">
        <v>694</v>
      </c>
      <c r="K28" s="317">
        <v>201.21</v>
      </c>
      <c r="L28" s="318"/>
      <c r="M28" s="1"/>
      <c r="R28" s="3"/>
    </row>
    <row r="29" spans="1:18" ht="15.75">
      <c r="A29" s="163">
        <f>'09'!A29+B29-D29</f>
        <v>1.0799999999999983</v>
      </c>
      <c r="B29" s="220">
        <v>18</v>
      </c>
      <c r="C29" s="66" t="s">
        <v>41</v>
      </c>
      <c r="D29" s="223">
        <v>17.46</v>
      </c>
      <c r="E29" s="224"/>
      <c r="F29" s="224"/>
      <c r="G29" s="33" t="s">
        <v>41</v>
      </c>
      <c r="H29" s="1"/>
      <c r="I29" s="151">
        <v>2</v>
      </c>
      <c r="J29" s="35" t="s">
        <v>705</v>
      </c>
      <c r="K29" s="317">
        <v>124</v>
      </c>
      <c r="L29" s="318"/>
      <c r="M29" s="1"/>
      <c r="R29" s="3"/>
    </row>
    <row r="30" spans="1:18" ht="15.75">
      <c r="A30" s="163">
        <f>'09'!A30+B30-D30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7"/>
      <c r="L30" s="318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7"/>
      <c r="L31" s="318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7"/>
      <c r="L32" s="318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7"/>
      <c r="L33" s="318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7"/>
      <c r="L34" s="318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7"/>
      <c r="L35" s="318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7"/>
      <c r="L36" s="318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7"/>
      <c r="L37" s="318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1"/>
      <c r="L38" s="312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663.69999999999993</v>
      </c>
      <c r="B40" s="221">
        <f>SUM(B26:B39)</f>
        <v>1128</v>
      </c>
      <c r="C40" s="34" t="s">
        <v>66</v>
      </c>
      <c r="D40" s="221">
        <f>SUM(D26:D39)</f>
        <v>1181.4000000000001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>
        <f>28.92</f>
        <v>28.92</v>
      </c>
      <c r="E46" s="224"/>
      <c r="F46" s="224"/>
      <c r="G46" s="69" t="s">
        <v>657</v>
      </c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>
        <v>45.49</v>
      </c>
      <c r="E47" s="224"/>
      <c r="F47" s="224"/>
      <c r="G47" s="33" t="s">
        <v>666</v>
      </c>
      <c r="H47" s="1"/>
      <c r="M47" s="1"/>
      <c r="R47" s="3"/>
    </row>
    <row r="48" spans="1:18" ht="15.75">
      <c r="A48" s="1"/>
      <c r="B48" s="220"/>
      <c r="C48" s="33"/>
      <c r="D48" s="223">
        <v>23.12</v>
      </c>
      <c r="E48" s="224"/>
      <c r="F48" s="224"/>
      <c r="G48" s="33" t="s">
        <v>671</v>
      </c>
      <c r="H48" s="1"/>
      <c r="M48" s="1"/>
      <c r="R48" s="3"/>
    </row>
    <row r="49" spans="1:18" ht="15.75">
      <c r="A49" s="1"/>
      <c r="B49" s="220"/>
      <c r="C49" s="33"/>
      <c r="D49" s="223"/>
      <c r="E49" s="224">
        <v>29.64</v>
      </c>
      <c r="F49" s="224"/>
      <c r="G49" s="33" t="s">
        <v>677</v>
      </c>
      <c r="H49" s="1"/>
      <c r="M49" s="1"/>
      <c r="R49" s="3"/>
    </row>
    <row r="50" spans="1:18" ht="15.75">
      <c r="A50" s="1"/>
      <c r="B50" s="220"/>
      <c r="C50" s="33"/>
      <c r="D50" s="223">
        <v>61.2</v>
      </c>
      <c r="E50" s="224"/>
      <c r="F50" s="224"/>
      <c r="G50" s="33" t="s">
        <v>679</v>
      </c>
      <c r="H50" s="1"/>
      <c r="M50" s="1"/>
      <c r="R50" s="3"/>
    </row>
    <row r="51" spans="1:18" ht="15.75">
      <c r="A51" s="1"/>
      <c r="B51" s="220"/>
      <c r="C51" s="33"/>
      <c r="D51" s="223">
        <v>13.93</v>
      </c>
      <c r="E51" s="224"/>
      <c r="F51" s="224"/>
      <c r="G51" s="33" t="s">
        <v>680</v>
      </c>
      <c r="H51" s="1"/>
      <c r="M51" s="1"/>
      <c r="R51" s="3"/>
    </row>
    <row r="52" spans="1:18" ht="15.75">
      <c r="A52" s="1"/>
      <c r="B52" s="220"/>
      <c r="C52" s="33"/>
      <c r="D52" s="223">
        <v>83.6</v>
      </c>
      <c r="E52" s="224"/>
      <c r="F52" s="224"/>
      <c r="G52" s="33" t="s">
        <v>681</v>
      </c>
      <c r="H52" s="1"/>
      <c r="M52" s="1"/>
      <c r="R52" s="3"/>
    </row>
    <row r="53" spans="1:18" ht="15.75">
      <c r="A53" s="1"/>
      <c r="B53" s="220"/>
      <c r="C53" s="33"/>
      <c r="D53" s="223">
        <v>22.68</v>
      </c>
      <c r="E53" s="224"/>
      <c r="F53" s="224"/>
      <c r="G53" s="33" t="s">
        <v>683</v>
      </c>
      <c r="H53" s="1"/>
      <c r="M53" s="1"/>
      <c r="R53" s="3"/>
    </row>
    <row r="54" spans="1:18" ht="15.75">
      <c r="A54" s="1"/>
      <c r="B54" s="220"/>
      <c r="C54" s="33"/>
      <c r="D54" s="223">
        <f>17.02</f>
        <v>17.02</v>
      </c>
      <c r="E54" s="224"/>
      <c r="F54" s="224"/>
      <c r="G54" s="33" t="s">
        <v>684</v>
      </c>
      <c r="H54" s="1"/>
      <c r="M54" s="1"/>
      <c r="R54" s="3"/>
    </row>
    <row r="55" spans="1:18" ht="15.75">
      <c r="A55" s="1"/>
      <c r="B55" s="220"/>
      <c r="C55" s="33"/>
      <c r="D55" s="223">
        <f>21.82</f>
        <v>21.82</v>
      </c>
      <c r="E55" s="224"/>
      <c r="F55" s="224"/>
      <c r="G55" s="33" t="s">
        <v>695</v>
      </c>
      <c r="H55" s="1"/>
      <c r="M55" s="1"/>
      <c r="R55" s="3"/>
    </row>
    <row r="56" spans="1:18" ht="15.75">
      <c r="A56" s="1"/>
      <c r="B56" s="220"/>
      <c r="C56" s="33"/>
      <c r="D56" s="223">
        <f>50.16</f>
        <v>50.16</v>
      </c>
      <c r="E56" s="224"/>
      <c r="F56" s="224"/>
      <c r="G56" s="33" t="s">
        <v>699</v>
      </c>
      <c r="H56" s="1"/>
      <c r="M56" s="1"/>
      <c r="R56" s="3"/>
    </row>
    <row r="57" spans="1:18" ht="15.75">
      <c r="A57" s="1"/>
      <c r="B57" s="220"/>
      <c r="C57" s="33"/>
      <c r="D57" s="223">
        <f>19.52</f>
        <v>19.52</v>
      </c>
      <c r="E57" s="224"/>
      <c r="F57" s="224"/>
      <c r="G57" s="33" t="s">
        <v>701</v>
      </c>
      <c r="H57" s="1"/>
      <c r="M57" s="1"/>
      <c r="R57" s="3"/>
    </row>
    <row r="58" spans="1:18" ht="15.75">
      <c r="A58" s="1"/>
      <c r="B58" s="220"/>
      <c r="C58" s="33"/>
      <c r="D58" s="223">
        <f>33.87</f>
        <v>33.869999999999997</v>
      </c>
      <c r="E58" s="224"/>
      <c r="F58" s="224"/>
      <c r="G58" s="33" t="s">
        <v>706</v>
      </c>
      <c r="H58" s="1"/>
      <c r="M58" s="1"/>
      <c r="R58" s="3"/>
    </row>
    <row r="59" spans="1:18" ht="16.5" thickBot="1">
      <c r="A59" s="1"/>
      <c r="B59" s="221"/>
      <c r="C59" s="34"/>
      <c r="D59" s="221">
        <f>74.42</f>
        <v>74.42</v>
      </c>
      <c r="E59" s="225"/>
      <c r="F59" s="225"/>
      <c r="G59" s="34" t="s">
        <v>708</v>
      </c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495.74999999999994</v>
      </c>
      <c r="E60" s="221">
        <f>SUM(E46:E59)</f>
        <v>29.64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>
        <v>8.39</v>
      </c>
      <c r="E66" s="224"/>
      <c r="F66" s="224"/>
      <c r="G66" s="36" t="s">
        <v>649</v>
      </c>
      <c r="H66" s="1"/>
      <c r="M66" s="1"/>
      <c r="R66" s="3"/>
    </row>
    <row r="67" spans="1:18" ht="15.75">
      <c r="A67" s="1"/>
      <c r="B67" s="220"/>
      <c r="C67" s="33"/>
      <c r="D67" s="223">
        <v>67.099999999999994</v>
      </c>
      <c r="E67" s="224"/>
      <c r="F67" s="224"/>
      <c r="G67" s="70" t="s">
        <v>655</v>
      </c>
      <c r="H67" s="1"/>
      <c r="M67" s="1"/>
      <c r="R67" s="3"/>
    </row>
    <row r="68" spans="1:18" ht="15.75">
      <c r="A68" s="1"/>
      <c r="B68" s="220"/>
      <c r="C68" s="33"/>
      <c r="D68" s="223">
        <v>38.25</v>
      </c>
      <c r="E68" s="224"/>
      <c r="F68" s="224">
        <v>1</v>
      </c>
      <c r="G68" s="33" t="s">
        <v>658</v>
      </c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>
        <v>6.25</v>
      </c>
      <c r="G69" s="33" t="s">
        <v>669</v>
      </c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>
        <f>26.5</f>
        <v>26.5</v>
      </c>
      <c r="G70" s="33" t="s">
        <v>686</v>
      </c>
      <c r="H70" s="1"/>
      <c r="M70" s="1"/>
      <c r="R70" s="3"/>
    </row>
    <row r="71" spans="1:18" ht="15.75">
      <c r="A71" s="1"/>
      <c r="B71" s="220"/>
      <c r="C71" s="33"/>
      <c r="D71" s="223">
        <v>30.65</v>
      </c>
      <c r="E71" s="224"/>
      <c r="F71" s="224"/>
      <c r="G71" s="33" t="s">
        <v>697</v>
      </c>
      <c r="H71" s="1"/>
      <c r="M71" s="1"/>
      <c r="R71" s="3"/>
    </row>
    <row r="72" spans="1:18" ht="15.75">
      <c r="A72" s="1"/>
      <c r="B72" s="220"/>
      <c r="C72" s="33"/>
      <c r="D72" s="223">
        <v>33.65</v>
      </c>
      <c r="E72" s="224"/>
      <c r="F72" s="224"/>
      <c r="G72" s="33" t="s">
        <v>713</v>
      </c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178.04</v>
      </c>
      <c r="E80" s="221">
        <f>SUM(E66:E79)</f>
        <v>0</v>
      </c>
      <c r="F80" s="221">
        <f>SUM(F66:F79)</f>
        <v>33.75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160</v>
      </c>
      <c r="C86" s="36" t="s">
        <v>659</v>
      </c>
      <c r="D86" s="164">
        <v>2.4</v>
      </c>
      <c r="E86" s="224"/>
      <c r="F86" s="224"/>
      <c r="G86" s="33" t="s">
        <v>664</v>
      </c>
      <c r="H86" s="1"/>
      <c r="M86" s="1"/>
      <c r="R86" s="3"/>
    </row>
    <row r="87" spans="1:18" ht="15.75">
      <c r="A87" s="1"/>
      <c r="B87" s="220"/>
      <c r="C87" s="33"/>
      <c r="D87" s="223">
        <v>50.3</v>
      </c>
      <c r="E87" s="224"/>
      <c r="F87" s="224"/>
      <c r="G87" s="33" t="s">
        <v>674</v>
      </c>
      <c r="H87" s="1"/>
      <c r="M87" s="1"/>
      <c r="R87" s="3"/>
    </row>
    <row r="88" spans="1:18" ht="15.75">
      <c r="A88" s="1"/>
      <c r="B88" s="220"/>
      <c r="C88" s="33"/>
      <c r="D88" s="223"/>
      <c r="E88" s="224">
        <v>5.6</v>
      </c>
      <c r="F88" s="224"/>
      <c r="G88" s="33" t="s">
        <v>676</v>
      </c>
      <c r="H88" s="1"/>
      <c r="M88" s="1"/>
      <c r="R88" s="3"/>
    </row>
    <row r="89" spans="1:18" ht="15.75">
      <c r="A89" s="1"/>
      <c r="B89" s="220"/>
      <c r="C89" s="33"/>
      <c r="D89" s="223">
        <v>57.31</v>
      </c>
      <c r="E89" s="224"/>
      <c r="F89" s="224"/>
      <c r="G89" s="33" t="s">
        <v>696</v>
      </c>
      <c r="H89" s="1"/>
      <c r="M89" s="1"/>
      <c r="R89" s="3"/>
    </row>
    <row r="90" spans="1:18" ht="15.75">
      <c r="A90" s="1"/>
      <c r="B90" s="220"/>
      <c r="C90" s="33"/>
      <c r="D90" s="223">
        <v>13.5</v>
      </c>
      <c r="E90" s="224"/>
      <c r="F90" s="224"/>
      <c r="G90" s="33" t="s">
        <v>709</v>
      </c>
      <c r="H90" s="1"/>
      <c r="M90" s="1"/>
      <c r="R90" s="3"/>
    </row>
    <row r="91" spans="1:18" ht="15.75">
      <c r="A91" s="1"/>
      <c r="B91" s="220"/>
      <c r="C91" s="33"/>
      <c r="D91" s="223">
        <v>43.01</v>
      </c>
      <c r="E91" s="224"/>
      <c r="F91" s="224"/>
      <c r="G91" s="33" t="s">
        <v>710</v>
      </c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160</v>
      </c>
      <c r="C100" s="34" t="s">
        <v>66</v>
      </c>
      <c r="D100" s="221">
        <f>SUM(D86:D99)</f>
        <v>166.51999999999998</v>
      </c>
      <c r="E100" s="221">
        <f>SUM(E86:E99)</f>
        <v>5.6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37" t="s">
        <v>609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'09'!A106+B106-D106</f>
        <v>0</v>
      </c>
      <c r="B106" s="219">
        <v>258.47000000000003</v>
      </c>
      <c r="C106" s="35" t="s">
        <v>55</v>
      </c>
      <c r="D106" s="223">
        <v>258.47000000000003</v>
      </c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'09'!A107+B107-D107</f>
        <v>0.65000000000000568</v>
      </c>
      <c r="B107" s="220">
        <v>71</v>
      </c>
      <c r="C107" s="35" t="s">
        <v>56</v>
      </c>
      <c r="D107" s="223">
        <v>70.349999999999994</v>
      </c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'09'!A108+B108-D108</f>
        <v>1000</v>
      </c>
      <c r="B108" s="220">
        <v>50</v>
      </c>
      <c r="C108" s="35" t="s">
        <v>617</v>
      </c>
      <c r="D108" s="223">
        <v>50</v>
      </c>
      <c r="E108" s="224"/>
      <c r="F108" s="224"/>
      <c r="G108" s="73" t="s">
        <v>698</v>
      </c>
      <c r="H108" s="1"/>
      <c r="M108" s="1"/>
      <c r="R108" s="3"/>
    </row>
    <row r="109" spans="1:18" ht="15.75">
      <c r="A109" s="163">
        <f>'09'!A109+B109</f>
        <v>2733.9700000000003</v>
      </c>
      <c r="B109" s="220">
        <v>20.53</v>
      </c>
      <c r="C109" s="35" t="s">
        <v>616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SUM(A106:A119)</f>
        <v>3734.6200000000003</v>
      </c>
      <c r="B120" s="221">
        <f>SUM(B106:B119)</f>
        <v>400</v>
      </c>
      <c r="C120" s="34" t="s">
        <v>66</v>
      </c>
      <c r="D120" s="221">
        <f>SUM(D106:D119)</f>
        <v>378.82000000000005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>
        <v>27.5</v>
      </c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>
        <v>15</v>
      </c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>
        <v>7.99</v>
      </c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42.5</v>
      </c>
      <c r="E140" s="221">
        <f>SUM(E126:E139)</f>
        <v>7.99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488</v>
      </c>
      <c r="D146" s="223">
        <v>28.86</v>
      </c>
      <c r="E146" s="224"/>
      <c r="F146" s="224"/>
      <c r="G146" s="33" t="s">
        <v>650</v>
      </c>
      <c r="H146" s="1"/>
      <c r="M146" s="1"/>
      <c r="R146" s="3"/>
    </row>
    <row r="147" spans="1:22" ht="15.75">
      <c r="A147" s="1"/>
      <c r="B147" s="220"/>
      <c r="C147" s="33"/>
      <c r="D147" s="223">
        <v>31.56</v>
      </c>
      <c r="E147" s="224"/>
      <c r="F147" s="224"/>
      <c r="G147" s="33" t="s">
        <v>685</v>
      </c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60.42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>
        <v>40</v>
      </c>
      <c r="C167" s="33" t="s">
        <v>596</v>
      </c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240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507</v>
      </c>
      <c r="D186" s="223"/>
      <c r="E186" s="224"/>
      <c r="F186" s="224">
        <v>45</v>
      </c>
      <c r="G186" s="33" t="s">
        <v>668</v>
      </c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>
        <v>25.49</v>
      </c>
      <c r="E187" s="224"/>
      <c r="F187" s="224"/>
      <c r="G187" s="33" t="s">
        <v>672</v>
      </c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>
        <f>25.55-D367</f>
        <v>21</v>
      </c>
      <c r="E188" s="224"/>
      <c r="F188" s="224"/>
      <c r="G188" s="33" t="s">
        <v>699</v>
      </c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46.489999999999995</v>
      </c>
      <c r="E200" s="221">
        <f>SUM(E186:E199)</f>
        <v>0</v>
      </c>
      <c r="F200" s="221">
        <f>SUM(F186:F199)</f>
        <v>45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>
        <v>25.35</v>
      </c>
      <c r="E206" s="224"/>
      <c r="F206" s="224"/>
      <c r="G206" s="33" t="s">
        <v>707</v>
      </c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25.35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>
        <v>19.989999999999998</v>
      </c>
      <c r="E226" s="224"/>
      <c r="F226" s="224"/>
      <c r="G226" s="58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19.989999999999998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>
        <v>51.38</v>
      </c>
      <c r="E246" s="224"/>
      <c r="F246" s="224"/>
      <c r="G246" s="33" t="s">
        <v>675</v>
      </c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51.38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7" ht="15" customHeight="1" thickBot="1">
      <c r="B283" s="293"/>
      <c r="C283" s="294"/>
      <c r="D283" s="294"/>
      <c r="E283" s="294"/>
      <c r="F283" s="294"/>
      <c r="G283" s="295"/>
    </row>
    <row r="284" spans="2:7">
      <c r="B284" s="301" t="s">
        <v>10</v>
      </c>
      <c r="C284" s="302"/>
      <c r="D284" s="303" t="s">
        <v>11</v>
      </c>
      <c r="E284" s="303"/>
      <c r="F284" s="303"/>
      <c r="G284" s="302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100</v>
      </c>
      <c r="C286" s="36" t="s">
        <v>36</v>
      </c>
      <c r="D286" s="223">
        <v>399</v>
      </c>
      <c r="E286" s="224"/>
      <c r="F286" s="224"/>
      <c r="G286" s="33" t="s">
        <v>651</v>
      </c>
    </row>
    <row r="287" spans="2:7">
      <c r="B287" s="220">
        <v>-40</v>
      </c>
      <c r="C287" s="33" t="s">
        <v>595</v>
      </c>
      <c r="D287" s="223">
        <v>20.5</v>
      </c>
      <c r="E287" s="224"/>
      <c r="F287" s="224"/>
      <c r="G287" s="33" t="s">
        <v>665</v>
      </c>
    </row>
    <row r="288" spans="2:7">
      <c r="B288" s="220"/>
      <c r="C288" s="33"/>
      <c r="D288" s="223"/>
      <c r="E288" s="224">
        <v>11.99</v>
      </c>
      <c r="F288" s="224"/>
      <c r="G288" s="33" t="s">
        <v>678</v>
      </c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60</v>
      </c>
      <c r="C300" s="34" t="s">
        <v>66</v>
      </c>
      <c r="D300" s="221">
        <f>SUM(D286:D299)</f>
        <v>419.5</v>
      </c>
      <c r="E300" s="221">
        <f>SUM(E286:E299)</f>
        <v>11.99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110</v>
      </c>
      <c r="C306" s="36" t="s">
        <v>473</v>
      </c>
      <c r="D306" s="223">
        <f>34.5+34.5</f>
        <v>69</v>
      </c>
      <c r="E306" s="224"/>
      <c r="F306" s="224"/>
      <c r="G306" s="33" t="s">
        <v>670</v>
      </c>
    </row>
    <row r="307" spans="2:7">
      <c r="B307" s="220"/>
      <c r="C307" s="66"/>
      <c r="D307" s="223">
        <v>38.39</v>
      </c>
      <c r="E307" s="224"/>
      <c r="F307" s="224"/>
      <c r="G307" s="33" t="s">
        <v>682</v>
      </c>
    </row>
    <row r="308" spans="2:7">
      <c r="B308" s="220"/>
      <c r="C308" s="66"/>
      <c r="D308" s="223">
        <v>4.4000000000000004</v>
      </c>
      <c r="E308" s="224"/>
      <c r="F308" s="224"/>
      <c r="G308" s="33" t="s">
        <v>711</v>
      </c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110</v>
      </c>
      <c r="C320" s="34" t="s">
        <v>66</v>
      </c>
      <c r="D320" s="221">
        <f>SUM(D306:D319)</f>
        <v>111.79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>
        <v>8.25</v>
      </c>
      <c r="E326" s="224"/>
      <c r="F326" s="224"/>
      <c r="G326" s="33" t="s">
        <v>712</v>
      </c>
    </row>
    <row r="327" spans="2:7">
      <c r="B327" s="220">
        <v>0.06</v>
      </c>
      <c r="C327" s="33" t="s">
        <v>690</v>
      </c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90.06</v>
      </c>
      <c r="C340" s="34" t="s">
        <v>66</v>
      </c>
      <c r="D340" s="221">
        <f>SUM(D326:D339)</f>
        <v>8.25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30</v>
      </c>
      <c r="C346" s="36" t="s">
        <v>119</v>
      </c>
      <c r="D346" s="223">
        <v>25</v>
      </c>
      <c r="E346" s="224"/>
      <c r="F346" s="224"/>
      <c r="G346" s="33" t="s">
        <v>714</v>
      </c>
    </row>
    <row r="347" spans="2:7">
      <c r="B347" s="220">
        <v>30</v>
      </c>
      <c r="C347" s="33" t="s">
        <v>561</v>
      </c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60</v>
      </c>
      <c r="C360" s="34" t="s">
        <v>66</v>
      </c>
      <c r="D360" s="221">
        <f>SUM(D346:D359)</f>
        <v>25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>
        <f>4+2.8+4+2.8+4.5+4.45+2.8+3.5</f>
        <v>28.85</v>
      </c>
      <c r="G366" s="70" t="s">
        <v>91</v>
      </c>
    </row>
    <row r="367" spans="2:7">
      <c r="B367" s="220"/>
      <c r="C367" s="33"/>
      <c r="D367" s="223">
        <v>4.55</v>
      </c>
      <c r="E367" s="224"/>
      <c r="F367" s="224"/>
      <c r="G367" s="33" t="s">
        <v>699</v>
      </c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4.55</v>
      </c>
      <c r="E380" s="221">
        <f>SUM(E366:E379)</f>
        <v>0</v>
      </c>
      <c r="F380" s="221">
        <f>SUM(F366:F379)</f>
        <v>28.85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10</v>
      </c>
      <c r="C406" s="36"/>
      <c r="D406" s="223"/>
      <c r="E406" s="224">
        <v>20</v>
      </c>
      <c r="F406" s="224"/>
      <c r="G406" s="33" t="s">
        <v>688</v>
      </c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10</v>
      </c>
      <c r="C420" s="34" t="s">
        <v>66</v>
      </c>
      <c r="D420" s="221">
        <f>SUM(D406:D419)</f>
        <v>0</v>
      </c>
      <c r="E420" s="221">
        <f>SUM(E406:E419)</f>
        <v>20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300" t="str">
        <f>'2018'!A41</f>
        <v>Ahorros Colchón</v>
      </c>
      <c r="C422" s="291"/>
      <c r="D422" s="291"/>
      <c r="E422" s="291"/>
      <c r="F422" s="291"/>
      <c r="G422" s="292"/>
    </row>
    <row r="423" spans="1:7" ht="15" customHeight="1" thickBot="1">
      <c r="B423" s="293"/>
      <c r="C423" s="294"/>
      <c r="D423" s="294"/>
      <c r="E423" s="294"/>
      <c r="F423" s="294"/>
      <c r="G423" s="295"/>
    </row>
    <row r="424" spans="1:7">
      <c r="B424" s="301" t="s">
        <v>10</v>
      </c>
      <c r="C424" s="302"/>
      <c r="D424" s="303" t="s">
        <v>11</v>
      </c>
      <c r="E424" s="303"/>
      <c r="F424" s="303"/>
      <c r="G424" s="302"/>
    </row>
    <row r="425" spans="1:7">
      <c r="A425" s="137" t="s">
        <v>702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>
      <c r="A426" s="137">
        <v>3928.2</v>
      </c>
      <c r="B426" s="220">
        <f>'2018'!AM17 -A426</f>
        <v>-172.79999999999927</v>
      </c>
      <c r="C426" s="36" t="s">
        <v>560</v>
      </c>
      <c r="D426" s="223"/>
      <c r="E426" s="224"/>
      <c r="F426" s="224"/>
      <c r="G426" s="33"/>
    </row>
    <row r="427" spans="1:7">
      <c r="B427" s="220"/>
      <c r="C427" s="33"/>
      <c r="D427" s="223"/>
      <c r="E427" s="224"/>
      <c r="F427" s="224"/>
      <c r="G427" s="33"/>
    </row>
    <row r="428" spans="1:7">
      <c r="A428" s="164"/>
      <c r="B428" s="220"/>
      <c r="C428" s="33"/>
      <c r="D428" s="223"/>
      <c r="E428" s="224"/>
      <c r="F428" s="224"/>
      <c r="G428" s="33"/>
    </row>
    <row r="429" spans="1:7">
      <c r="B429" s="220"/>
      <c r="C429" s="33"/>
      <c r="D429" s="223"/>
      <c r="E429" s="224"/>
      <c r="F429" s="224"/>
      <c r="G429" s="33"/>
    </row>
    <row r="430" spans="1:7"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-172.79999999999927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1:7">
      <c r="A465" s="137" t="s">
        <v>609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7" ht="15.75">
      <c r="A466" s="163">
        <f>'09'!A466+B466-E466</f>
        <v>296</v>
      </c>
      <c r="B466" s="220">
        <v>25</v>
      </c>
      <c r="C466" s="33" t="s">
        <v>485</v>
      </c>
      <c r="D466" s="223"/>
      <c r="E466" s="224"/>
      <c r="F466" s="224"/>
      <c r="G466" s="33"/>
    </row>
    <row r="467" spans="1:7" ht="15.75">
      <c r="A467" s="163">
        <f>'09'!A467+B467-E467</f>
        <v>15</v>
      </c>
      <c r="B467" s="220">
        <v>15</v>
      </c>
      <c r="C467" s="33" t="s">
        <v>610</v>
      </c>
      <c r="D467" s="223"/>
      <c r="E467" s="224"/>
      <c r="F467" s="224"/>
      <c r="G467" s="33"/>
    </row>
    <row r="468" spans="1:7" ht="15.75">
      <c r="A468" s="163">
        <f>'09'!A468+B468-E468</f>
        <v>5</v>
      </c>
      <c r="B468" s="220">
        <v>5</v>
      </c>
      <c r="C468" s="33" t="s">
        <v>611</v>
      </c>
      <c r="D468" s="223"/>
      <c r="E468" s="224"/>
      <c r="F468" s="224"/>
      <c r="G468" s="33"/>
    </row>
    <row r="469" spans="1:7">
      <c r="B469" s="220"/>
      <c r="C469" s="33"/>
      <c r="D469" s="223"/>
      <c r="E469" s="224"/>
      <c r="F469" s="224"/>
      <c r="G469" s="33"/>
    </row>
    <row r="470" spans="1:7">
      <c r="B470" s="220"/>
      <c r="C470" s="33"/>
      <c r="D470" s="223"/>
      <c r="E470" s="224"/>
      <c r="F470" s="224"/>
      <c r="G470" s="33"/>
    </row>
    <row r="471" spans="1:7">
      <c r="B471" s="220"/>
      <c r="C471" s="33"/>
      <c r="D471" s="223"/>
      <c r="E471" s="224"/>
      <c r="F471" s="224"/>
      <c r="G471" s="33"/>
    </row>
    <row r="472" spans="1:7">
      <c r="B472" s="220"/>
      <c r="C472" s="33"/>
      <c r="D472" s="223"/>
      <c r="E472" s="224"/>
      <c r="F472" s="224"/>
      <c r="G472" s="33"/>
    </row>
    <row r="473" spans="1:7">
      <c r="B473" s="220"/>
      <c r="C473" s="33"/>
      <c r="D473" s="223"/>
      <c r="E473" s="224"/>
      <c r="F473" s="224"/>
      <c r="G473" s="33"/>
    </row>
    <row r="474" spans="1:7">
      <c r="B474" s="220"/>
      <c r="C474" s="33"/>
      <c r="D474" s="223"/>
      <c r="E474" s="224"/>
      <c r="F474" s="224"/>
      <c r="G474" s="33"/>
    </row>
    <row r="475" spans="1:7">
      <c r="B475" s="220"/>
      <c r="C475" s="33"/>
      <c r="D475" s="223"/>
      <c r="E475" s="224"/>
      <c r="F475" s="224"/>
      <c r="G475" s="33"/>
    </row>
    <row r="476" spans="1:7">
      <c r="B476" s="220"/>
      <c r="C476" s="33"/>
      <c r="D476" s="223"/>
      <c r="E476" s="224"/>
      <c r="F476" s="224"/>
      <c r="G476" s="33"/>
    </row>
    <row r="477" spans="1:7">
      <c r="B477" s="220"/>
      <c r="C477" s="33"/>
      <c r="D477" s="223"/>
      <c r="E477" s="224"/>
      <c r="F477" s="224"/>
      <c r="G477" s="33"/>
    </row>
    <row r="478" spans="1:7">
      <c r="B478" s="220"/>
      <c r="C478" s="33"/>
      <c r="D478" s="223"/>
      <c r="E478" s="224"/>
      <c r="F478" s="224"/>
      <c r="G478" s="33"/>
    </row>
    <row r="479" spans="1:7" ht="15.75" thickBot="1">
      <c r="B479" s="221"/>
      <c r="C479" s="34"/>
      <c r="D479" s="221"/>
      <c r="E479" s="225"/>
      <c r="F479" s="225"/>
      <c r="G479" s="34"/>
    </row>
    <row r="480" spans="1:7" ht="15.75" thickBot="1">
      <c r="A480" s="164">
        <f>SUM(A466:A468)</f>
        <v>316</v>
      </c>
      <c r="B480" s="221">
        <f>SUM(B466:B479)</f>
        <v>45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A00-000000000000}"/>
    <hyperlink ref="I22" location="Trimestre!C39:F40" display="TELÉFONO" xr:uid="{00000000-0004-0000-0A00-000001000000}"/>
    <hyperlink ref="I22:L23" location="'2018'!AM7:AP7" display="INGRESOS" xr:uid="{00000000-0004-0000-0A00-000002000000}"/>
    <hyperlink ref="B2" location="Trimestre!C25:F26" display="HIPOTECA" xr:uid="{00000000-0004-0000-0A00-000003000000}"/>
    <hyperlink ref="B2:G3" location="'2018'!AM20:AP20" display="'2018'!AM20:AP20" xr:uid="{00000000-0004-0000-0A00-000004000000}"/>
    <hyperlink ref="B22" location="Trimestre!C25:F26" display="HIPOTECA" xr:uid="{00000000-0004-0000-0A00-000005000000}"/>
    <hyperlink ref="B22:G23" location="'2018'!AM21:AP21" display="'2018'!AM21:AP21" xr:uid="{00000000-0004-0000-0A00-000006000000}"/>
    <hyperlink ref="B42" location="Trimestre!C25:F26" display="HIPOTECA" xr:uid="{00000000-0004-0000-0A00-000007000000}"/>
    <hyperlink ref="B42:G43" location="'2018'!AM22:AP22" display="'2018'!AM22:AP22" xr:uid="{00000000-0004-0000-0A00-000008000000}"/>
    <hyperlink ref="B62" location="Trimestre!C25:F26" display="HIPOTECA" xr:uid="{00000000-0004-0000-0A00-000009000000}"/>
    <hyperlink ref="B62:G63" location="'2018'!AM23:AP23" display="'2018'!AM23:AP23" xr:uid="{00000000-0004-0000-0A00-00000A000000}"/>
    <hyperlink ref="B82" location="Trimestre!C25:F26" display="HIPOTECA" xr:uid="{00000000-0004-0000-0A00-00000B000000}"/>
    <hyperlink ref="B82:G83" location="'2018'!AM24:AP24" display="'2018'!AM24:AP24" xr:uid="{00000000-0004-0000-0A00-00000C000000}"/>
    <hyperlink ref="B102" location="Trimestre!C25:F26" display="HIPOTECA" xr:uid="{00000000-0004-0000-0A00-00000D000000}"/>
    <hyperlink ref="B102:G103" location="'2018'!AM25:AP25" display="'2018'!AM25:AP25" xr:uid="{00000000-0004-0000-0A00-00000E000000}"/>
    <hyperlink ref="B122" location="Trimestre!C25:F26" display="HIPOTECA" xr:uid="{00000000-0004-0000-0A00-00000F000000}"/>
    <hyperlink ref="B122:G123" location="'2018'!AM26:AP26" display="'2018'!AM26:AP26" xr:uid="{00000000-0004-0000-0A00-000010000000}"/>
    <hyperlink ref="B142" location="Trimestre!C25:F26" display="HIPOTECA" xr:uid="{00000000-0004-0000-0A00-000011000000}"/>
    <hyperlink ref="B142:G143" location="'2018'!AM27:AP27" display="'2018'!AM27:AP27" xr:uid="{00000000-0004-0000-0A00-000012000000}"/>
    <hyperlink ref="B162" location="Trimestre!C25:F26" display="HIPOTECA" xr:uid="{00000000-0004-0000-0A00-000013000000}"/>
    <hyperlink ref="B162:G163" location="'2018'!AM28:AP28" display="'2018'!AM28:AP28" xr:uid="{00000000-0004-0000-0A00-000014000000}"/>
    <hyperlink ref="B182" location="Trimestre!C25:F26" display="HIPOTECA" xr:uid="{00000000-0004-0000-0A00-000015000000}"/>
    <hyperlink ref="B182:G183" location="'2018'!AM29:AP29" display="'2018'!AM29:AP29" xr:uid="{00000000-0004-0000-0A00-000016000000}"/>
    <hyperlink ref="B202" location="Trimestre!C25:F26" display="HIPOTECA" xr:uid="{00000000-0004-0000-0A00-000017000000}"/>
    <hyperlink ref="B202:G203" location="'2018'!AM30:AP30" display="'2018'!AM30:AP30" xr:uid="{00000000-0004-0000-0A00-000018000000}"/>
    <hyperlink ref="B222" location="Trimestre!C25:F26" display="HIPOTECA" xr:uid="{00000000-0004-0000-0A00-000019000000}"/>
    <hyperlink ref="B222:G223" location="'2018'!AM31:AP31" display="'2018'!AM31:AP31" xr:uid="{00000000-0004-0000-0A00-00001A000000}"/>
    <hyperlink ref="B242" location="Trimestre!C25:F26" display="HIPOTECA" xr:uid="{00000000-0004-0000-0A00-00001B000000}"/>
    <hyperlink ref="B242:G243" location="'2018'!AM32:AP32" display="'2018'!AM32:AP32" xr:uid="{00000000-0004-0000-0A00-00001C000000}"/>
    <hyperlink ref="B262" location="Trimestre!C25:F26" display="HIPOTECA" xr:uid="{00000000-0004-0000-0A00-00001D000000}"/>
    <hyperlink ref="B262:G263" location="'2018'!AM33:AP33" display="'2018'!AM33:AP33" xr:uid="{00000000-0004-0000-0A00-00001E000000}"/>
    <hyperlink ref="B282" location="Trimestre!C25:F26" display="HIPOTECA" xr:uid="{00000000-0004-0000-0A00-00001F000000}"/>
    <hyperlink ref="B282:G283" location="'2018'!AM34:AP34" display="'2018'!AM34:AP34" xr:uid="{00000000-0004-0000-0A00-000020000000}"/>
    <hyperlink ref="B302" location="Trimestre!C25:F26" display="HIPOTECA" xr:uid="{00000000-0004-0000-0A00-000021000000}"/>
    <hyperlink ref="B302:G303" location="'2018'!AM35:AP35" display="'2018'!AM35:AP35" xr:uid="{00000000-0004-0000-0A00-000022000000}"/>
    <hyperlink ref="B322" location="Trimestre!C25:F26" display="HIPOTECA" xr:uid="{00000000-0004-0000-0A00-000023000000}"/>
    <hyperlink ref="B322:G323" location="'2018'!AM36:AP36" display="'2018'!AM36:AP36" xr:uid="{00000000-0004-0000-0A00-000024000000}"/>
    <hyperlink ref="B342" location="Trimestre!C25:F26" display="HIPOTECA" xr:uid="{00000000-0004-0000-0A00-000025000000}"/>
    <hyperlink ref="B342:G343" location="'2018'!AM37:AP37" display="'2018'!AM37:AP37" xr:uid="{00000000-0004-0000-0A00-000026000000}"/>
    <hyperlink ref="B362" location="Trimestre!C25:F26" display="HIPOTECA" xr:uid="{00000000-0004-0000-0A00-000027000000}"/>
    <hyperlink ref="B362:G363" location="'2018'!AM38:AP38" display="'2018'!AM38:AP38" xr:uid="{00000000-0004-0000-0A00-000028000000}"/>
    <hyperlink ref="B382" location="Trimestre!C25:F26" display="HIPOTECA" xr:uid="{00000000-0004-0000-0A00-000029000000}"/>
    <hyperlink ref="B382:G383" location="'2018'!AM39:AP39" display="'2018'!AM39:AP39" xr:uid="{00000000-0004-0000-0A00-00002A000000}"/>
    <hyperlink ref="B402" location="Trimestre!C25:F26" display="HIPOTECA" xr:uid="{00000000-0004-0000-0A00-00002B000000}"/>
    <hyperlink ref="B402:G403" location="'2018'!AM40:AP40" display="'2018'!AM40:AP40" xr:uid="{00000000-0004-0000-0A00-00002C000000}"/>
    <hyperlink ref="B442" location="Trimestre!C25:F26" display="HIPOTECA" xr:uid="{00000000-0004-0000-0A00-00002D000000}"/>
    <hyperlink ref="B442:G443" location="'2018'!AM42:AP42" display="'2018'!AM42:AP42" xr:uid="{00000000-0004-0000-0A00-00002E000000}"/>
    <hyperlink ref="B462" location="Trimestre!C25:F26" display="HIPOTECA" xr:uid="{00000000-0004-0000-0A00-00002F000000}"/>
    <hyperlink ref="B462:G463" location="'2018'!AM43:AP43" display="'2018'!AM43:AP43" xr:uid="{00000000-0004-0000-0A00-000030000000}"/>
    <hyperlink ref="B482" location="Trimestre!C25:F26" display="HIPOTECA" xr:uid="{00000000-0004-0000-0A00-000031000000}"/>
    <hyperlink ref="B482:G483" location="'2018'!AM44:AP44" display="'2018'!AM44:AP44" xr:uid="{00000000-0004-0000-0A00-000032000000}"/>
    <hyperlink ref="B502" location="Trimestre!C25:F26" display="HIPOTECA" xr:uid="{00000000-0004-0000-0A00-000033000000}"/>
    <hyperlink ref="B502:G503" location="'2018'!AM45:AP45" display="'2018'!AM45:AP45" xr:uid="{00000000-0004-0000-0A00-000034000000}"/>
    <hyperlink ref="I2:L3" location="'2018'!AM4:AP4" display="SALDO REAL" xr:uid="{00000000-0004-0000-0A00-000035000000}"/>
    <hyperlink ref="B422" location="Trimestre!C25:F26" display="HIPOTECA" xr:uid="{00000000-0004-0000-0A00-000036000000}"/>
    <hyperlink ref="B422:G423" location="'2018'!AM41:AP41" display="'2018'!AM41:AP41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abSelected="1" workbookViewId="0">
      <selection activeCell="E6" sqref="E6"/>
    </sheetView>
  </sheetViews>
  <sheetFormatPr defaultColWidth="11.42578125" defaultRowHeight="15"/>
  <cols>
    <col min="1" max="1" width="11.42578125" style="137"/>
    <col min="2" max="2" width="12.7109375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 t="s">
        <v>625</v>
      </c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88" t="s">
        <v>70</v>
      </c>
      <c r="J4" s="156" t="s">
        <v>71</v>
      </c>
      <c r="K4" s="313" t="s">
        <v>72</v>
      </c>
      <c r="L4" s="314"/>
      <c r="M4" s="1"/>
      <c r="N4" s="1"/>
      <c r="R4" s="3"/>
    </row>
    <row r="5" spans="1:22" ht="15.75">
      <c r="A5" s="1" t="s">
        <v>609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"/>
      <c r="I5" s="157" t="s">
        <v>73</v>
      </c>
      <c r="J5" s="158" t="s">
        <v>74</v>
      </c>
      <c r="K5" s="315">
        <v>2513.6799999999998</v>
      </c>
      <c r="L5" s="316"/>
      <c r="M5" s="1"/>
      <c r="N5" s="1"/>
      <c r="R5" s="3"/>
    </row>
    <row r="6" spans="1:22" ht="15.75">
      <c r="A6" s="163">
        <f>'10'!A6+B6-E6</f>
        <v>405.59</v>
      </c>
      <c r="B6" s="219">
        <v>399.59</v>
      </c>
      <c r="C6" s="36" t="s">
        <v>584</v>
      </c>
      <c r="D6" s="223"/>
      <c r="E6" s="224"/>
      <c r="F6" s="224"/>
      <c r="G6" s="33" t="s">
        <v>35</v>
      </c>
      <c r="H6" s="1"/>
      <c r="I6" s="159" t="s">
        <v>73</v>
      </c>
      <c r="J6" s="158" t="s">
        <v>75</v>
      </c>
      <c r="K6" s="317">
        <v>550.05999999999995</v>
      </c>
      <c r="L6" s="318"/>
      <c r="M6" s="1" t="s">
        <v>394</v>
      </c>
      <c r="N6" s="1"/>
      <c r="R6" s="3"/>
    </row>
    <row r="7" spans="1:22" ht="15.75">
      <c r="A7" s="163">
        <f>'10'!A7+B7-E7</f>
        <v>168.14999999999998</v>
      </c>
      <c r="B7" s="220">
        <v>70.349999999999994</v>
      </c>
      <c r="C7" s="33" t="s">
        <v>653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7">
        <v>5258.31</v>
      </c>
      <c r="L7" s="318"/>
      <c r="M7" s="1"/>
      <c r="N7" s="1"/>
      <c r="R7" s="3"/>
    </row>
    <row r="8" spans="1:22" ht="15.75">
      <c r="A8" s="163">
        <f>'10'!A8+B8-E8</f>
        <v>0</v>
      </c>
      <c r="B8" s="220">
        <v>94.96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17">
        <v>7000</v>
      </c>
      <c r="L8" s="318"/>
      <c r="M8" s="1"/>
      <c r="N8" s="1"/>
      <c r="R8" s="3"/>
    </row>
    <row r="9" spans="1:22" ht="15.75">
      <c r="A9" s="163">
        <f>'10'!A9+B9-E9</f>
        <v>0</v>
      </c>
      <c r="B9" s="220">
        <v>0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7">
        <v>659.77</v>
      </c>
      <c r="L9" s="318"/>
      <c r="M9" s="1"/>
      <c r="N9" s="1"/>
      <c r="R9" s="3"/>
    </row>
    <row r="10" spans="1:22" ht="15.75">
      <c r="A10" s="163">
        <f>'10'!A10+B10-E10</f>
        <v>0</v>
      </c>
      <c r="B10" s="220">
        <v>12</v>
      </c>
      <c r="C10" s="33" t="s">
        <v>39</v>
      </c>
      <c r="D10" s="223"/>
      <c r="E10" s="224">
        <v>12</v>
      </c>
      <c r="F10" s="224"/>
      <c r="G10" s="33" t="s">
        <v>39</v>
      </c>
      <c r="H10" s="1"/>
      <c r="I10" s="159" t="s">
        <v>76</v>
      </c>
      <c r="J10" s="158" t="s">
        <v>115</v>
      </c>
      <c r="K10" s="317">
        <v>1800.04</v>
      </c>
      <c r="L10" s="318"/>
      <c r="M10" s="1" t="s">
        <v>265</v>
      </c>
      <c r="N10" s="1"/>
      <c r="R10" s="3"/>
    </row>
    <row r="11" spans="1:22" ht="15.75">
      <c r="A11" s="163">
        <f>'10'!A11+B11-E11</f>
        <v>0</v>
      </c>
      <c r="B11" s="220">
        <v>30.06</v>
      </c>
      <c r="C11" s="33" t="s">
        <v>37</v>
      </c>
      <c r="D11" s="223"/>
      <c r="E11" s="224">
        <v>30.23</v>
      </c>
      <c r="F11" s="224"/>
      <c r="G11" s="33" t="s">
        <v>37</v>
      </c>
      <c r="H11" s="1"/>
      <c r="I11" s="159" t="s">
        <v>93</v>
      </c>
      <c r="J11" s="158" t="s">
        <v>94</v>
      </c>
      <c r="K11" s="317">
        <f>380+60</f>
        <v>440</v>
      </c>
      <c r="L11" s="318"/>
      <c r="M11" s="1"/>
      <c r="N11" s="1"/>
      <c r="R11" s="3"/>
    </row>
    <row r="12" spans="1:22" ht="15.75">
      <c r="A12" s="163">
        <f>'10'!A12+B12-E12</f>
        <v>13.04000000000002</v>
      </c>
      <c r="B12" s="220">
        <v>25</v>
      </c>
      <c r="C12" s="33" t="s">
        <v>691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17">
        <v>5092.08</v>
      </c>
      <c r="L12" s="318"/>
      <c r="M12" s="140"/>
      <c r="N12" s="1"/>
      <c r="R12" s="3"/>
    </row>
    <row r="13" spans="1:22" ht="15.75">
      <c r="A13" s="163">
        <f>'10'!A13+B13-E13</f>
        <v>56</v>
      </c>
      <c r="B13" s="220">
        <v>7</v>
      </c>
      <c r="C13" s="33" t="s">
        <v>654</v>
      </c>
      <c r="D13" s="223"/>
      <c r="E13" s="224"/>
      <c r="F13" s="224"/>
      <c r="G13" s="33"/>
      <c r="H13" s="1"/>
      <c r="I13" s="159"/>
      <c r="J13" s="158"/>
      <c r="K13" s="317"/>
      <c r="L13" s="318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7"/>
      <c r="L14" s="318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7"/>
      <c r="L15" s="318"/>
      <c r="M15" s="1"/>
      <c r="N15" s="1"/>
      <c r="R15" s="3"/>
    </row>
    <row r="16" spans="1:22" ht="15.75">
      <c r="A16" s="1"/>
      <c r="B16" s="220"/>
      <c r="C16" s="33"/>
      <c r="D16" s="223"/>
      <c r="E16" s="224"/>
      <c r="F16" s="224"/>
      <c r="G16" s="33"/>
      <c r="H16" s="1"/>
      <c r="I16" s="159"/>
      <c r="J16" s="158"/>
      <c r="K16" s="317"/>
      <c r="L16" s="318"/>
      <c r="M16" s="1"/>
      <c r="N16" s="1"/>
      <c r="R16" s="3"/>
    </row>
    <row r="17" spans="1:18" ht="15.75">
      <c r="A17" s="1"/>
      <c r="B17" s="220"/>
      <c r="C17" s="33"/>
      <c r="D17" s="223"/>
      <c r="E17" s="224"/>
      <c r="F17" s="224"/>
      <c r="G17" s="33"/>
      <c r="H17" s="1"/>
      <c r="I17" s="159"/>
      <c r="J17" s="158"/>
      <c r="K17" s="317"/>
      <c r="L17" s="318"/>
      <c r="M17" s="1"/>
      <c r="N17" s="1"/>
      <c r="R17" s="3"/>
    </row>
    <row r="18" spans="1:18" ht="16.5" thickBot="1">
      <c r="A18" s="1"/>
      <c r="B18" s="220"/>
      <c r="C18" s="33"/>
      <c r="D18" s="223"/>
      <c r="E18" s="224"/>
      <c r="F18" s="224"/>
      <c r="G18" s="33"/>
      <c r="H18" s="1"/>
      <c r="I18" s="160"/>
      <c r="J18" s="161"/>
      <c r="K18" s="311"/>
      <c r="L18" s="312"/>
      <c r="M18" s="1"/>
      <c r="N18" s="1"/>
      <c r="R18" s="3"/>
    </row>
    <row r="19" spans="1:18" ht="16.5" thickBot="1">
      <c r="A19" s="1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1">
        <f>SUM(K5:K18)</f>
        <v>23313.940000000002</v>
      </c>
      <c r="L19" s="312"/>
      <c r="M19" s="1"/>
      <c r="N19" s="1"/>
      <c r="R19" s="3"/>
    </row>
    <row r="20" spans="1:18" ht="16.5" thickBot="1">
      <c r="A20" s="163">
        <f>SUM(A6:A15)</f>
        <v>642.78</v>
      </c>
      <c r="B20" s="221">
        <f>SUM(B6:B19)</f>
        <v>638.95999999999992</v>
      </c>
      <c r="C20" s="34" t="s">
        <v>66</v>
      </c>
      <c r="D20" s="221">
        <f>SUM(D6:D19)</f>
        <v>0</v>
      </c>
      <c r="E20" s="221">
        <f>SUM(E6:E19)</f>
        <v>42.230000000000004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16421.82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313" t="s">
        <v>134</v>
      </c>
      <c r="L24" s="314"/>
      <c r="M24" s="1"/>
      <c r="R24" s="3"/>
    </row>
    <row r="25" spans="1:18" ht="15.75">
      <c r="A25" s="1" t="s">
        <v>609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>
        <v>5</v>
      </c>
      <c r="J25" s="3" t="s">
        <v>361</v>
      </c>
      <c r="K25" s="315">
        <f>15.31+20.31</f>
        <v>35.619999999999997</v>
      </c>
      <c r="L25" s="316"/>
      <c r="M25" s="1"/>
      <c r="R25" s="3"/>
    </row>
    <row r="26" spans="1:18" ht="15.75">
      <c r="A26" s="163">
        <f>'10'!A26+B26-D26</f>
        <v>900</v>
      </c>
      <c r="B26" s="219">
        <v>900</v>
      </c>
      <c r="C26" s="66" t="s">
        <v>42</v>
      </c>
      <c r="D26" s="223"/>
      <c r="E26" s="224"/>
      <c r="F26" s="224"/>
      <c r="G26" s="33" t="s">
        <v>42</v>
      </c>
      <c r="H26" s="1"/>
      <c r="I26" s="151">
        <v>2</v>
      </c>
      <c r="J26" s="35" t="s">
        <v>705</v>
      </c>
      <c r="K26" s="317">
        <v>340</v>
      </c>
      <c r="L26" s="318"/>
      <c r="M26" s="1"/>
      <c r="R26" s="3"/>
    </row>
    <row r="27" spans="1:18" ht="15.75">
      <c r="A27" s="163">
        <f>'10'!A27+B27-D27</f>
        <v>176</v>
      </c>
      <c r="B27" s="220">
        <v>170</v>
      </c>
      <c r="C27" s="66" t="s">
        <v>44</v>
      </c>
      <c r="D27" s="223"/>
      <c r="E27" s="224"/>
      <c r="F27" s="224"/>
      <c r="G27" s="33" t="s">
        <v>44</v>
      </c>
      <c r="H27" s="1"/>
      <c r="I27" s="151">
        <v>2</v>
      </c>
      <c r="J27" s="35" t="s">
        <v>276</v>
      </c>
      <c r="K27" s="317">
        <v>346.47</v>
      </c>
      <c r="L27" s="318"/>
      <c r="M27" s="1"/>
      <c r="R27" s="3"/>
    </row>
    <row r="28" spans="1:18" ht="15.75">
      <c r="A28" s="163">
        <f>'10'!A28+B28-D28</f>
        <v>103.06</v>
      </c>
      <c r="B28" s="220">
        <v>40</v>
      </c>
      <c r="C28" s="66" t="s">
        <v>45</v>
      </c>
      <c r="D28" s="223"/>
      <c r="E28" s="224"/>
      <c r="F28" s="224"/>
      <c r="G28" s="33" t="s">
        <v>45</v>
      </c>
      <c r="H28" s="1"/>
      <c r="I28" s="151"/>
      <c r="J28" s="35"/>
      <c r="K28" s="317"/>
      <c r="L28" s="318"/>
      <c r="M28" s="1"/>
      <c r="R28" s="3"/>
    </row>
    <row r="29" spans="1:18" ht="15.75">
      <c r="A29" s="163">
        <f>'10'!A29+B29-D29</f>
        <v>19.079999999999998</v>
      </c>
      <c r="B29" s="220">
        <v>18</v>
      </c>
      <c r="C29" s="66" t="s">
        <v>41</v>
      </c>
      <c r="D29" s="223"/>
      <c r="E29" s="224"/>
      <c r="F29" s="224"/>
      <c r="G29" s="33" t="s">
        <v>41</v>
      </c>
      <c r="H29" s="1"/>
      <c r="I29" s="151"/>
      <c r="J29" s="35"/>
      <c r="K29" s="317"/>
      <c r="L29" s="318"/>
      <c r="M29" s="1"/>
      <c r="R29" s="3"/>
    </row>
    <row r="30" spans="1:18" ht="15.75">
      <c r="A30" s="163">
        <f>'10'!A30+B30-D30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7"/>
      <c r="L30" s="318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7"/>
      <c r="L31" s="318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7"/>
      <c r="L32" s="318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7"/>
      <c r="L33" s="318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7"/>
      <c r="L34" s="318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7"/>
      <c r="L35" s="318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7"/>
      <c r="L36" s="318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7"/>
      <c r="L37" s="318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1"/>
      <c r="L38" s="312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1791.6999999999998</v>
      </c>
      <c r="B40" s="221">
        <f>SUM(B26:B39)</f>
        <v>1128</v>
      </c>
      <c r="C40" s="34" t="s">
        <v>66</v>
      </c>
      <c r="D40" s="221">
        <f>SUM(D26:D39)</f>
        <v>0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>
        <v>25.15</v>
      </c>
      <c r="E46" s="224"/>
      <c r="F46" s="224"/>
      <c r="G46" s="69" t="s">
        <v>716</v>
      </c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/>
      <c r="E47" s="224"/>
      <c r="F47" s="224">
        <v>2</v>
      </c>
      <c r="G47" s="33" t="s">
        <v>720</v>
      </c>
      <c r="H47" s="1"/>
      <c r="M47" s="1"/>
      <c r="R47" s="3"/>
    </row>
    <row r="48" spans="1:18" ht="15.75">
      <c r="A48" s="1"/>
      <c r="B48" s="220"/>
      <c r="C48" s="33"/>
      <c r="D48" s="223">
        <v>66.3</v>
      </c>
      <c r="E48" s="224"/>
      <c r="F48" s="224"/>
      <c r="G48" s="33" t="s">
        <v>722</v>
      </c>
      <c r="H48" s="1"/>
      <c r="M48" s="1"/>
      <c r="R48" s="3"/>
    </row>
    <row r="49" spans="1:18" ht="15.75">
      <c r="A49" s="1"/>
      <c r="B49" s="220"/>
      <c r="C49" s="33"/>
      <c r="D49" s="223">
        <f>60.56-D146</f>
        <v>46</v>
      </c>
      <c r="E49" s="224"/>
      <c r="F49" s="224"/>
      <c r="G49" s="33" t="s">
        <v>725</v>
      </c>
      <c r="H49" s="1"/>
      <c r="M49" s="1"/>
      <c r="R49" s="3"/>
    </row>
    <row r="50" spans="1:18" ht="15.75">
      <c r="A50" s="1"/>
      <c r="B50" s="220"/>
      <c r="C50" s="33"/>
      <c r="D50" s="223"/>
      <c r="E50" s="224"/>
      <c r="F50" s="224">
        <f>3.3</f>
        <v>3.3</v>
      </c>
      <c r="G50" s="33" t="s">
        <v>726</v>
      </c>
      <c r="H50" s="1"/>
      <c r="M50" s="1"/>
      <c r="R50" s="3"/>
    </row>
    <row r="51" spans="1:18" ht="15.75">
      <c r="A51" s="1"/>
      <c r="B51" s="220"/>
      <c r="C51" s="33"/>
      <c r="D51" s="223">
        <v>18.329999999999998</v>
      </c>
      <c r="E51" s="224"/>
      <c r="F51" s="224"/>
      <c r="G51" s="33" t="s">
        <v>728</v>
      </c>
      <c r="H51" s="1"/>
      <c r="M51" s="1"/>
      <c r="R51" s="3"/>
    </row>
    <row r="52" spans="1:18" ht="15.75">
      <c r="A52" s="1"/>
      <c r="B52" s="220"/>
      <c r="C52" s="33"/>
      <c r="D52" s="223"/>
      <c r="E52" s="224"/>
      <c r="F52" s="224"/>
      <c r="G52" s="33"/>
      <c r="H52" s="1"/>
      <c r="M52" s="1"/>
      <c r="R52" s="3"/>
    </row>
    <row r="53" spans="1:18" ht="15.75">
      <c r="A53" s="1"/>
      <c r="B53" s="220"/>
      <c r="C53" s="33"/>
      <c r="D53" s="223"/>
      <c r="E53" s="224"/>
      <c r="F53" s="224"/>
      <c r="G53" s="33"/>
      <c r="H53" s="1"/>
      <c r="M53" s="1"/>
      <c r="R53" s="3"/>
    </row>
    <row r="54" spans="1:18" ht="15.75">
      <c r="A54" s="1"/>
      <c r="B54" s="220"/>
      <c r="C54" s="33"/>
      <c r="D54" s="223"/>
      <c r="E54" s="224"/>
      <c r="F54" s="224"/>
      <c r="G54" s="33"/>
      <c r="H54" s="1"/>
      <c r="M54" s="1"/>
      <c r="R54" s="3"/>
    </row>
    <row r="55" spans="1:18" ht="15.75">
      <c r="A55" s="1"/>
      <c r="B55" s="220"/>
      <c r="C55" s="33"/>
      <c r="D55" s="223"/>
      <c r="E55" s="224"/>
      <c r="F55" s="224"/>
      <c r="G55" s="33"/>
      <c r="H55" s="1"/>
      <c r="M55" s="1"/>
      <c r="R55" s="3"/>
    </row>
    <row r="56" spans="1:18" ht="15.75">
      <c r="A56" s="1"/>
      <c r="B56" s="220"/>
      <c r="C56" s="33"/>
      <c r="D56" s="223"/>
      <c r="E56" s="224"/>
      <c r="F56" s="224"/>
      <c r="G56" s="33"/>
      <c r="H56" s="1"/>
      <c r="M56" s="1"/>
      <c r="R56" s="3"/>
    </row>
    <row r="57" spans="1:18" ht="15.75">
      <c r="A57" s="1"/>
      <c r="B57" s="220"/>
      <c r="C57" s="33"/>
      <c r="D57" s="223"/>
      <c r="E57" s="224"/>
      <c r="F57" s="224"/>
      <c r="G57" s="33"/>
      <c r="H57" s="1"/>
      <c r="M57" s="1"/>
      <c r="R57" s="3"/>
    </row>
    <row r="58" spans="1:18" ht="15.75">
      <c r="A58" s="1"/>
      <c r="B58" s="220"/>
      <c r="C58" s="33"/>
      <c r="D58" s="223"/>
      <c r="E58" s="224"/>
      <c r="F58" s="224"/>
      <c r="G58" s="33"/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155.77999999999997</v>
      </c>
      <c r="E60" s="221">
        <f>SUM(E46:E59)</f>
        <v>0</v>
      </c>
      <c r="F60" s="221">
        <f>SUM(F46:F59)</f>
        <v>5.3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/>
      <c r="E66" s="224"/>
      <c r="F66" s="224">
        <v>75</v>
      </c>
      <c r="G66" s="36" t="s">
        <v>720</v>
      </c>
      <c r="H66" s="1"/>
      <c r="M66" s="1"/>
      <c r="R66" s="3"/>
    </row>
    <row r="67" spans="1:18" ht="15.75">
      <c r="A67" s="1"/>
      <c r="B67" s="220"/>
      <c r="C67" s="33"/>
      <c r="D67" s="223">
        <v>35</v>
      </c>
      <c r="E67" s="224"/>
      <c r="F67" s="224"/>
      <c r="G67" s="70" t="s">
        <v>727</v>
      </c>
      <c r="H67" s="1"/>
      <c r="M67" s="1"/>
      <c r="R67" s="3"/>
    </row>
    <row r="68" spans="1:18" ht="15.75">
      <c r="A68" s="1"/>
      <c r="B68" s="220"/>
      <c r="C68" s="33"/>
      <c r="D68" s="223"/>
      <c r="E68" s="224"/>
      <c r="F68" s="224"/>
      <c r="G68" s="33"/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/>
      <c r="G69" s="33"/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35</v>
      </c>
      <c r="E80" s="221">
        <f>SUM(E66:E79)</f>
        <v>0</v>
      </c>
      <c r="F80" s="221">
        <f>SUM(F66:F79)</f>
        <v>75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165</v>
      </c>
      <c r="C86" s="36" t="s">
        <v>659</v>
      </c>
      <c r="D86" s="164">
        <v>13.5</v>
      </c>
      <c r="E86" s="224"/>
      <c r="F86" s="224"/>
      <c r="G86" s="33" t="s">
        <v>717</v>
      </c>
      <c r="H86" s="1"/>
      <c r="M86" s="1"/>
      <c r="R86" s="3"/>
    </row>
    <row r="87" spans="1:18" ht="15.75">
      <c r="A87" s="1"/>
      <c r="B87" s="220"/>
      <c r="C87" s="33"/>
      <c r="D87" s="223">
        <v>66.73</v>
      </c>
      <c r="E87" s="224"/>
      <c r="F87" s="224"/>
      <c r="G87" s="33" t="s">
        <v>718</v>
      </c>
      <c r="H87" s="1"/>
      <c r="M87" s="1"/>
      <c r="R87" s="3"/>
    </row>
    <row r="88" spans="1:18" ht="15.75">
      <c r="A88" s="1"/>
      <c r="B88" s="220"/>
      <c r="C88" s="33"/>
      <c r="D88" s="223">
        <v>3.5</v>
      </c>
      <c r="E88" s="224"/>
      <c r="F88" s="224"/>
      <c r="G88" s="33" t="s">
        <v>719</v>
      </c>
      <c r="H88" s="1"/>
      <c r="M88" s="1"/>
      <c r="R88" s="3"/>
    </row>
    <row r="89" spans="1:18" ht="15.75">
      <c r="A89" s="1"/>
      <c r="B89" s="220"/>
      <c r="C89" s="33"/>
      <c r="D89" s="223"/>
      <c r="E89" s="224"/>
      <c r="F89" s="224"/>
      <c r="G89" s="33"/>
      <c r="H89" s="1"/>
      <c r="M89" s="1"/>
      <c r="R89" s="3"/>
    </row>
    <row r="90" spans="1:18" ht="15.75">
      <c r="A90" s="1"/>
      <c r="B90" s="220"/>
      <c r="C90" s="33"/>
      <c r="D90" s="223"/>
      <c r="E90" s="224"/>
      <c r="F90" s="224"/>
      <c r="G90" s="33"/>
      <c r="H90" s="1"/>
      <c r="M90" s="1"/>
      <c r="R90" s="3"/>
    </row>
    <row r="91" spans="1:18" ht="15.75">
      <c r="A91" s="1"/>
      <c r="B91" s="220"/>
      <c r="C91" s="33"/>
      <c r="D91" s="223"/>
      <c r="E91" s="224"/>
      <c r="F91" s="224"/>
      <c r="G91" s="33"/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165</v>
      </c>
      <c r="C100" s="34" t="s">
        <v>66</v>
      </c>
      <c r="D100" s="221">
        <f>SUM(D86:D99)</f>
        <v>83.73</v>
      </c>
      <c r="E100" s="221">
        <f>SUM(E86:E99)</f>
        <v>0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37" t="s">
        <v>609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'10'!A106+B106-D106</f>
        <v>0</v>
      </c>
      <c r="B106" s="219">
        <v>258.47000000000003</v>
      </c>
      <c r="C106" s="35" t="s">
        <v>55</v>
      </c>
      <c r="D106" s="223">
        <v>258.47000000000003</v>
      </c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'10'!A107+B107-D107</f>
        <v>1.3000000000000114</v>
      </c>
      <c r="B107" s="220">
        <v>71</v>
      </c>
      <c r="C107" s="35" t="s">
        <v>56</v>
      </c>
      <c r="D107" s="223">
        <v>70.349999999999994</v>
      </c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'10'!A108+B108-SUM(D108:F119)</f>
        <v>729.94</v>
      </c>
      <c r="B108" s="220">
        <v>50</v>
      </c>
      <c r="C108" s="35" t="s">
        <v>617</v>
      </c>
      <c r="D108" s="223">
        <v>320.06</v>
      </c>
      <c r="E108" s="224"/>
      <c r="F108" s="224"/>
      <c r="G108" s="73" t="s">
        <v>721</v>
      </c>
      <c r="H108" s="1"/>
      <c r="M108" s="1"/>
      <c r="R108" s="3"/>
    </row>
    <row r="109" spans="1:18" ht="15.75">
      <c r="A109" s="163">
        <f>'10'!A109+B109</f>
        <v>2754.5000000000005</v>
      </c>
      <c r="B109" s="220">
        <v>20.53</v>
      </c>
      <c r="C109" s="35" t="s">
        <v>616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SUM(A106:A108)</f>
        <v>731.24</v>
      </c>
      <c r="B120" s="221">
        <f>SUM(B106:B119)</f>
        <v>400</v>
      </c>
      <c r="C120" s="34" t="s">
        <v>66</v>
      </c>
      <c r="D120" s="221">
        <f>SUM(D106:D119)</f>
        <v>648.88000000000011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/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/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>
        <v>7.99</v>
      </c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0</v>
      </c>
      <c r="E140" s="221">
        <f>SUM(E126:E139)</f>
        <v>7.99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488</v>
      </c>
      <c r="D146" s="223">
        <v>14.56</v>
      </c>
      <c r="E146" s="224"/>
      <c r="F146" s="224"/>
      <c r="G146" s="33" t="s">
        <v>725</v>
      </c>
      <c r="H146" s="1"/>
      <c r="M146" s="1"/>
      <c r="R146" s="3"/>
    </row>
    <row r="147" spans="1:22" ht="15.75">
      <c r="A147" s="1"/>
      <c r="B147" s="220"/>
      <c r="C147" s="33"/>
      <c r="D147" s="223"/>
      <c r="E147" s="224"/>
      <c r="F147" s="224"/>
      <c r="G147" s="33"/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14.56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>
        <v>10</v>
      </c>
      <c r="C167" s="33"/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210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507</v>
      </c>
      <c r="D186" s="223"/>
      <c r="E186" s="224"/>
      <c r="F186" s="224"/>
      <c r="G186" s="33"/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/>
      <c r="E187" s="224"/>
      <c r="F187" s="224"/>
      <c r="G187" s="33"/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/>
      <c r="E188" s="224"/>
      <c r="F188" s="224"/>
      <c r="G188" s="33"/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0</v>
      </c>
      <c r="E200" s="221">
        <f>SUM(E186:E199)</f>
        <v>0</v>
      </c>
      <c r="F200" s="221">
        <f>SUM(F186:F199)</f>
        <v>0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/>
      <c r="E206" s="224"/>
      <c r="F206" s="224">
        <f>5.58-F47</f>
        <v>3.58</v>
      </c>
      <c r="G206" s="33" t="s">
        <v>720</v>
      </c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0</v>
      </c>
      <c r="E220" s="221">
        <f>SUM(E206:E219)</f>
        <v>0</v>
      </c>
      <c r="F220" s="221">
        <f>SUM(F206:F219)</f>
        <v>3.58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/>
      <c r="E226" s="224"/>
      <c r="F226" s="224"/>
      <c r="G226" s="58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0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>
        <v>35</v>
      </c>
      <c r="E246" s="224"/>
      <c r="F246" s="224"/>
      <c r="G246" s="33" t="s">
        <v>729</v>
      </c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35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7" ht="15" customHeight="1" thickBot="1">
      <c r="B283" s="293"/>
      <c r="C283" s="294"/>
      <c r="D283" s="294"/>
      <c r="E283" s="294"/>
      <c r="F283" s="294"/>
      <c r="G283" s="295"/>
    </row>
    <row r="284" spans="2:7">
      <c r="B284" s="301" t="s">
        <v>10</v>
      </c>
      <c r="C284" s="302"/>
      <c r="D284" s="303" t="s">
        <v>11</v>
      </c>
      <c r="E284" s="303"/>
      <c r="F284" s="303"/>
      <c r="G284" s="302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95</v>
      </c>
      <c r="C286" s="36" t="s">
        <v>36</v>
      </c>
      <c r="D286" s="223"/>
      <c r="E286" s="224"/>
      <c r="F286" s="224"/>
      <c r="G286" s="33"/>
    </row>
    <row r="287" spans="2:7">
      <c r="B287" s="220">
        <v>-15</v>
      </c>
      <c r="C287" s="33" t="s">
        <v>21</v>
      </c>
      <c r="D287" s="223"/>
      <c r="E287" s="224"/>
      <c r="F287" s="224"/>
      <c r="G287" s="33"/>
    </row>
    <row r="288" spans="2:7">
      <c r="B288" s="220"/>
      <c r="C288" s="33"/>
      <c r="D288" s="223"/>
      <c r="E288" s="224"/>
      <c r="F288" s="224"/>
      <c r="G288" s="33"/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80</v>
      </c>
      <c r="C300" s="34" t="s">
        <v>66</v>
      </c>
      <c r="D300" s="221">
        <f>SUM(D286:D299)</f>
        <v>0</v>
      </c>
      <c r="E300" s="221">
        <f>SUM(E286:E299)</f>
        <v>0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100</v>
      </c>
      <c r="C306" s="36" t="s">
        <v>473</v>
      </c>
      <c r="D306" s="223">
        <v>16.22</v>
      </c>
      <c r="E306" s="224"/>
      <c r="F306" s="224"/>
      <c r="G306" s="33" t="s">
        <v>723</v>
      </c>
    </row>
    <row r="307" spans="2:7">
      <c r="B307" s="220">
        <v>15</v>
      </c>
      <c r="C307" s="66"/>
      <c r="D307" s="223"/>
      <c r="E307" s="224"/>
      <c r="F307" s="224"/>
      <c r="G307" s="33"/>
    </row>
    <row r="308" spans="2:7">
      <c r="B308" s="220"/>
      <c r="C308" s="66"/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115</v>
      </c>
      <c r="C320" s="34" t="s">
        <v>66</v>
      </c>
      <c r="D320" s="221">
        <f>SUM(D306:D319)</f>
        <v>16.22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/>
      <c r="E326" s="224"/>
      <c r="F326" s="224"/>
      <c r="G326" s="33"/>
    </row>
    <row r="327" spans="2:7">
      <c r="B327" s="220"/>
      <c r="C327" s="33"/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</v>
      </c>
      <c r="C340" s="34" t="s">
        <v>66</v>
      </c>
      <c r="D340" s="221">
        <f>SUM(D326:D339)</f>
        <v>0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30</v>
      </c>
      <c r="C346" s="36" t="s">
        <v>119</v>
      </c>
      <c r="D346" s="223"/>
      <c r="E346" s="224"/>
      <c r="F346" s="224"/>
      <c r="G346" s="33"/>
    </row>
    <row r="347" spans="2:7">
      <c r="B347" s="220">
        <v>15</v>
      </c>
      <c r="C347" s="33" t="s">
        <v>588</v>
      </c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45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>
        <f>4.7+4.45</f>
        <v>9.15</v>
      </c>
      <c r="G366" s="70" t="s">
        <v>91</v>
      </c>
    </row>
    <row r="367" spans="2:7">
      <c r="B367" s="220"/>
      <c r="C367" s="33"/>
      <c r="D367" s="223">
        <v>10.050000000000001</v>
      </c>
      <c r="E367" s="224"/>
      <c r="F367" s="224"/>
      <c r="G367" s="70" t="s">
        <v>724</v>
      </c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10.050000000000001</v>
      </c>
      <c r="E380" s="221">
        <f>SUM(E366:E379)</f>
        <v>0</v>
      </c>
      <c r="F380" s="221">
        <f>SUM(F366:F379)</f>
        <v>9.15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20</v>
      </c>
      <c r="C406" s="36"/>
      <c r="D406" s="223"/>
      <c r="E406" s="224"/>
      <c r="F406" s="224"/>
      <c r="G406" s="33"/>
    </row>
    <row r="407" spans="2:7">
      <c r="B407" s="220">
        <v>35.619999999999997</v>
      </c>
      <c r="C407" s="33" t="s">
        <v>361</v>
      </c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55.62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300" t="str">
        <f>'2018'!A41</f>
        <v>Ahorros Colchón</v>
      </c>
      <c r="C422" s="291"/>
      <c r="D422" s="291"/>
      <c r="E422" s="291"/>
      <c r="F422" s="291"/>
      <c r="G422" s="292"/>
    </row>
    <row r="423" spans="1:7" ht="15" customHeight="1" thickBot="1">
      <c r="B423" s="293"/>
      <c r="C423" s="294"/>
      <c r="D423" s="294"/>
      <c r="E423" s="294"/>
      <c r="F423" s="294"/>
      <c r="G423" s="295"/>
    </row>
    <row r="424" spans="1:7">
      <c r="B424" s="301" t="s">
        <v>10</v>
      </c>
      <c r="C424" s="302"/>
      <c r="D424" s="303" t="s">
        <v>11</v>
      </c>
      <c r="E424" s="303"/>
      <c r="F424" s="303"/>
      <c r="G424" s="302"/>
    </row>
    <row r="425" spans="1:7">
      <c r="A425" s="137" t="s">
        <v>703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>
      <c r="A426" s="137">
        <f>3900+94.96+35.62</f>
        <v>4030.58</v>
      </c>
      <c r="B426" s="220">
        <f>'2018'!AQ17 -A426</f>
        <v>-2567.73</v>
      </c>
      <c r="C426" s="36" t="s">
        <v>637</v>
      </c>
      <c r="D426" s="223"/>
      <c r="E426" s="224"/>
      <c r="F426" s="224"/>
      <c r="G426" s="33"/>
    </row>
    <row r="427" spans="1:7">
      <c r="B427" s="220"/>
      <c r="C427" s="33"/>
      <c r="D427" s="223"/>
      <c r="E427" s="224"/>
      <c r="F427" s="224"/>
      <c r="G427" s="33"/>
    </row>
    <row r="428" spans="1:7">
      <c r="B428" s="220"/>
      <c r="C428" s="33"/>
      <c r="D428" s="223"/>
      <c r="E428" s="224"/>
      <c r="F428" s="224"/>
      <c r="G428" s="33"/>
    </row>
    <row r="429" spans="1:7">
      <c r="B429" s="220"/>
      <c r="C429" s="33"/>
      <c r="D429" s="223"/>
      <c r="E429" s="224"/>
      <c r="F429" s="224"/>
      <c r="G429" s="33"/>
    </row>
    <row r="430" spans="1:7"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-2567.73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1:7">
      <c r="A465" s="137" t="s">
        <v>609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7" ht="15.75">
      <c r="A466" s="163">
        <f>'10'!A466+B466-E466</f>
        <v>321</v>
      </c>
      <c r="B466" s="220">
        <v>25</v>
      </c>
      <c r="C466" s="33" t="s">
        <v>485</v>
      </c>
      <c r="D466" s="223"/>
      <c r="E466" s="224"/>
      <c r="F466" s="224"/>
      <c r="G466" s="33"/>
    </row>
    <row r="467" spans="1:7" ht="15.75">
      <c r="A467" s="163">
        <f>'10'!A467+'11'!B467</f>
        <v>35</v>
      </c>
      <c r="B467" s="220">
        <v>20</v>
      </c>
      <c r="C467" s="33" t="s">
        <v>610</v>
      </c>
      <c r="D467" s="223"/>
      <c r="E467" s="224"/>
      <c r="F467" s="224"/>
      <c r="G467" s="33"/>
    </row>
    <row r="468" spans="1:7" ht="15.75">
      <c r="A468" s="163">
        <f>'10'!A468+'11'!B468</f>
        <v>10</v>
      </c>
      <c r="B468" s="220">
        <v>5</v>
      </c>
      <c r="C468" s="33" t="s">
        <v>611</v>
      </c>
      <c r="D468" s="223"/>
      <c r="E468" s="224"/>
      <c r="F468" s="224"/>
      <c r="G468" s="33"/>
    </row>
    <row r="469" spans="1:7">
      <c r="B469" s="220"/>
      <c r="C469" s="33"/>
      <c r="D469" s="223"/>
      <c r="E469" s="224"/>
      <c r="F469" s="224"/>
      <c r="G469" s="33"/>
    </row>
    <row r="470" spans="1:7">
      <c r="B470" s="220"/>
      <c r="C470" s="33"/>
      <c r="D470" s="223"/>
      <c r="E470" s="224"/>
      <c r="F470" s="224"/>
      <c r="G470" s="33"/>
    </row>
    <row r="471" spans="1:7">
      <c r="B471" s="220"/>
      <c r="C471" s="33"/>
      <c r="D471" s="223"/>
      <c r="E471" s="224"/>
      <c r="F471" s="224"/>
      <c r="G471" s="33"/>
    </row>
    <row r="472" spans="1:7">
      <c r="B472" s="220"/>
      <c r="C472" s="33"/>
      <c r="D472" s="223"/>
      <c r="E472" s="224"/>
      <c r="F472" s="224"/>
      <c r="G472" s="33"/>
    </row>
    <row r="473" spans="1:7">
      <c r="B473" s="220"/>
      <c r="C473" s="33"/>
      <c r="D473" s="223"/>
      <c r="E473" s="224"/>
      <c r="F473" s="224"/>
      <c r="G473" s="33"/>
    </row>
    <row r="474" spans="1:7">
      <c r="B474" s="220"/>
      <c r="C474" s="33"/>
      <c r="D474" s="223"/>
      <c r="E474" s="224"/>
      <c r="F474" s="224"/>
      <c r="G474" s="33"/>
    </row>
    <row r="475" spans="1:7">
      <c r="B475" s="220"/>
      <c r="C475" s="33"/>
      <c r="D475" s="223"/>
      <c r="E475" s="224"/>
      <c r="F475" s="224"/>
      <c r="G475" s="33"/>
    </row>
    <row r="476" spans="1:7">
      <c r="B476" s="220"/>
      <c r="C476" s="33"/>
      <c r="D476" s="223"/>
      <c r="E476" s="224"/>
      <c r="F476" s="224"/>
      <c r="G476" s="33"/>
    </row>
    <row r="477" spans="1:7">
      <c r="B477" s="220"/>
      <c r="C477" s="33"/>
      <c r="D477" s="223"/>
      <c r="E477" s="224"/>
      <c r="F477" s="224"/>
      <c r="G477" s="33"/>
    </row>
    <row r="478" spans="1:7">
      <c r="B478" s="220"/>
      <c r="C478" s="33"/>
      <c r="D478" s="223"/>
      <c r="E478" s="224"/>
      <c r="F478" s="224"/>
      <c r="G478" s="33"/>
    </row>
    <row r="479" spans="1:7" ht="15.75" thickBot="1">
      <c r="B479" s="221"/>
      <c r="C479" s="34"/>
      <c r="D479" s="221"/>
      <c r="E479" s="225"/>
      <c r="F479" s="225"/>
      <c r="G479" s="34"/>
    </row>
    <row r="480" spans="1:7" ht="15.75" thickBot="1">
      <c r="A480" s="164">
        <f>SUM(A466:A468)</f>
        <v>366</v>
      </c>
      <c r="B480" s="221">
        <f>SUM(B466:B479)</f>
        <v>50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B00-000000000000}"/>
    <hyperlink ref="I22" location="Trimestre!C39:F40" display="TELÉFONO" xr:uid="{00000000-0004-0000-0B00-000001000000}"/>
    <hyperlink ref="I22:L23" location="'2018'!AQ7:AT7" display="INGRESOS" xr:uid="{00000000-0004-0000-0B00-000002000000}"/>
    <hyperlink ref="B2" location="Trimestre!C25:F26" display="HIPOTECA" xr:uid="{00000000-0004-0000-0B00-000003000000}"/>
    <hyperlink ref="B2:G3" location="'2018'!AQ20:AT20" display="'2018'!AQ20:AT20" xr:uid="{00000000-0004-0000-0B00-000004000000}"/>
    <hyperlink ref="B22" location="Trimestre!C25:F26" display="HIPOTECA" xr:uid="{00000000-0004-0000-0B00-000005000000}"/>
    <hyperlink ref="B22:G23" location="'2018'!AQ21:AT21" display="'2018'!AQ21:AT21" xr:uid="{00000000-0004-0000-0B00-000006000000}"/>
    <hyperlink ref="B42" location="Trimestre!C25:F26" display="HIPOTECA" xr:uid="{00000000-0004-0000-0B00-000007000000}"/>
    <hyperlink ref="B42:G43" location="'2018'!AQ22:AT22" display="'2018'!AQ22:AT22" xr:uid="{00000000-0004-0000-0B00-000008000000}"/>
    <hyperlink ref="B62" location="Trimestre!C25:F26" display="HIPOTECA" xr:uid="{00000000-0004-0000-0B00-000009000000}"/>
    <hyperlink ref="B62:G63" location="'2018'!AQ23:AT23" display="'2018'!AQ23:AT23" xr:uid="{00000000-0004-0000-0B00-00000A000000}"/>
    <hyperlink ref="B82" location="Trimestre!C25:F26" display="HIPOTECA" xr:uid="{00000000-0004-0000-0B00-00000B000000}"/>
    <hyperlink ref="B82:G83" location="'2018'!AQ24:AT24" display="'2018'!AQ24:AT24" xr:uid="{00000000-0004-0000-0B00-00000C000000}"/>
    <hyperlink ref="B102" location="Trimestre!C25:F26" display="HIPOTECA" xr:uid="{00000000-0004-0000-0B00-00000D000000}"/>
    <hyperlink ref="B102:G103" location="'2018'!AQ25:AT25" display="'2018'!AQ25:AT25" xr:uid="{00000000-0004-0000-0B00-00000E000000}"/>
    <hyperlink ref="B122" location="Trimestre!C25:F26" display="HIPOTECA" xr:uid="{00000000-0004-0000-0B00-00000F000000}"/>
    <hyperlink ref="B122:G123" location="'2018'!AQ26:AT26" display="'2018'!AQ26:AT26" xr:uid="{00000000-0004-0000-0B00-000010000000}"/>
    <hyperlink ref="B142" location="Trimestre!C25:F26" display="HIPOTECA" xr:uid="{00000000-0004-0000-0B00-000011000000}"/>
    <hyperlink ref="B142:G143" location="'2018'!AQ27:AT27" display="'2018'!AQ27:AT27" xr:uid="{00000000-0004-0000-0B00-000012000000}"/>
    <hyperlink ref="B162" location="Trimestre!C25:F26" display="HIPOTECA" xr:uid="{00000000-0004-0000-0B00-000013000000}"/>
    <hyperlink ref="B162:G163" location="'2018'!AQ28:AT28" display="'2018'!AQ28:AT28" xr:uid="{00000000-0004-0000-0B00-000014000000}"/>
    <hyperlink ref="B182" location="Trimestre!C25:F26" display="HIPOTECA" xr:uid="{00000000-0004-0000-0B00-000015000000}"/>
    <hyperlink ref="B182:G183" location="'2018'!AQ29:AT29" display="'2018'!AQ29:AT29" xr:uid="{00000000-0004-0000-0B00-000016000000}"/>
    <hyperlink ref="B202" location="Trimestre!C25:F26" display="HIPOTECA" xr:uid="{00000000-0004-0000-0B00-000017000000}"/>
    <hyperlink ref="B202:G203" location="'2018'!AQ30:AT30" display="'2018'!AQ30:AT30" xr:uid="{00000000-0004-0000-0B00-000018000000}"/>
    <hyperlink ref="B222" location="Trimestre!C25:F26" display="HIPOTECA" xr:uid="{00000000-0004-0000-0B00-000019000000}"/>
    <hyperlink ref="B222:G223" location="'2018'!AQ31:AT31" display="'2018'!AQ31:AT31" xr:uid="{00000000-0004-0000-0B00-00001A000000}"/>
    <hyperlink ref="B242" location="Trimestre!C25:F26" display="HIPOTECA" xr:uid="{00000000-0004-0000-0B00-00001B000000}"/>
    <hyperlink ref="B242:G243" location="'2018'!AQ32:AT32" display="'2018'!AQ32:AT32" xr:uid="{00000000-0004-0000-0B00-00001C000000}"/>
    <hyperlink ref="B262" location="Trimestre!C25:F26" display="HIPOTECA" xr:uid="{00000000-0004-0000-0B00-00001D000000}"/>
    <hyperlink ref="B262:G263" location="'2018'!AQ33:AT33" display="'2018'!AQ33:AT33" xr:uid="{00000000-0004-0000-0B00-00001E000000}"/>
    <hyperlink ref="B282" location="Trimestre!C25:F26" display="HIPOTECA" xr:uid="{00000000-0004-0000-0B00-00001F000000}"/>
    <hyperlink ref="B282:G283" location="'2018'!AQ34:AT34" display="'2018'!AQ34:AT34" xr:uid="{00000000-0004-0000-0B00-000020000000}"/>
    <hyperlink ref="B302" location="Trimestre!C25:F26" display="HIPOTECA" xr:uid="{00000000-0004-0000-0B00-000021000000}"/>
    <hyperlink ref="B302:G303" location="'2018'!AQ35:AT35" display="'2018'!AQ35:AT35" xr:uid="{00000000-0004-0000-0B00-000022000000}"/>
    <hyperlink ref="B322" location="Trimestre!C25:F26" display="HIPOTECA" xr:uid="{00000000-0004-0000-0B00-000023000000}"/>
    <hyperlink ref="B322:G323" location="'2018'!AQ36:AT36" display="'2018'!AQ36:AT36" xr:uid="{00000000-0004-0000-0B00-000024000000}"/>
    <hyperlink ref="B342" location="Trimestre!C25:F26" display="HIPOTECA" xr:uid="{00000000-0004-0000-0B00-000025000000}"/>
    <hyperlink ref="B342:G343" location="'2018'!AQ37:AT37" display="'2018'!AQ37:AT37" xr:uid="{00000000-0004-0000-0B00-000026000000}"/>
    <hyperlink ref="B362" location="Trimestre!C25:F26" display="HIPOTECA" xr:uid="{00000000-0004-0000-0B00-000027000000}"/>
    <hyperlink ref="B362:G363" location="'2018'!AQ38:AT38" display="'2018'!AQ38:AT38" xr:uid="{00000000-0004-0000-0B00-000028000000}"/>
    <hyperlink ref="B382" location="Trimestre!C25:F26" display="HIPOTECA" xr:uid="{00000000-0004-0000-0B00-000029000000}"/>
    <hyperlink ref="B382:G383" location="'2018'!AQ39:AT39" display="'2018'!AQ39:AT39" xr:uid="{00000000-0004-0000-0B00-00002A000000}"/>
    <hyperlink ref="B402" location="Trimestre!C25:F26" display="HIPOTECA" xr:uid="{00000000-0004-0000-0B00-00002B000000}"/>
    <hyperlink ref="B402:G403" location="'2018'!AQ40:AT40" display="'2018'!AQ40:AT40" xr:uid="{00000000-0004-0000-0B00-00002C000000}"/>
    <hyperlink ref="B422" location="Trimestre!C25:F26" display="HIPOTECA" xr:uid="{00000000-0004-0000-0B00-00002D000000}"/>
    <hyperlink ref="B422:G423" location="'2018'!AQ41:AT41" display="'2018'!AQ41:AT41" xr:uid="{00000000-0004-0000-0B00-00002E000000}"/>
    <hyperlink ref="B442" location="Trimestre!C25:F26" display="HIPOTECA" xr:uid="{00000000-0004-0000-0B00-00002F000000}"/>
    <hyperlink ref="B442:G443" location="'2018'!AQ42:AT42" display="'2018'!AQ42:AT42" xr:uid="{00000000-0004-0000-0B00-000030000000}"/>
    <hyperlink ref="B462" location="Trimestre!C25:F26" display="HIPOTECA" xr:uid="{00000000-0004-0000-0B00-000031000000}"/>
    <hyperlink ref="B462:G463" location="'2018'!AQ43:AT43" display="'2018'!AQ43:AT43" xr:uid="{00000000-0004-0000-0B00-000032000000}"/>
    <hyperlink ref="B482" location="Trimestre!C25:F26" display="HIPOTECA" xr:uid="{00000000-0004-0000-0B00-000033000000}"/>
    <hyperlink ref="B482:G483" location="'2018'!AQ44:AT44" display="'2018'!AQ44:AT44" xr:uid="{00000000-0004-0000-0B00-000034000000}"/>
    <hyperlink ref="B502" location="Trimestre!C25:F26" display="HIPOTECA" xr:uid="{00000000-0004-0000-0B00-000035000000}"/>
    <hyperlink ref="B502:G503" location="'2018'!AQ45:AT45" display="'2018'!AQ45:AT45" xr:uid="{00000000-0004-0000-0B00-000036000000}"/>
    <hyperlink ref="I2:L3" location="'2018'!AQ4:AT4" display="SALDO REAL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2" workbookViewId="0">
      <selection activeCell="B2" sqref="B2:G3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 t="s">
        <v>634</v>
      </c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88" t="s">
        <v>70</v>
      </c>
      <c r="J4" s="156" t="s">
        <v>71</v>
      </c>
      <c r="K4" s="313" t="s">
        <v>72</v>
      </c>
      <c r="L4" s="314"/>
      <c r="M4" s="1"/>
      <c r="N4" s="1"/>
      <c r="R4" s="3"/>
    </row>
    <row r="5" spans="1:22" ht="15.75">
      <c r="A5" s="1" t="s">
        <v>609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63"/>
      <c r="I5" s="157" t="s">
        <v>73</v>
      </c>
      <c r="J5" s="158" t="s">
        <v>74</v>
      </c>
      <c r="K5" s="315"/>
      <c r="L5" s="316"/>
      <c r="M5" s="1"/>
      <c r="N5" s="1"/>
      <c r="R5" s="3"/>
    </row>
    <row r="6" spans="1:22" ht="15.75">
      <c r="A6" s="163">
        <f>'11'!A6+B6-E6</f>
        <v>805.18</v>
      </c>
      <c r="B6" s="219">
        <v>399.59</v>
      </c>
      <c r="C6" s="36" t="s">
        <v>584</v>
      </c>
      <c r="D6" s="223"/>
      <c r="E6" s="224"/>
      <c r="F6" s="224"/>
      <c r="G6" s="33" t="s">
        <v>35</v>
      </c>
      <c r="H6" s="163"/>
      <c r="I6" s="159" t="s">
        <v>73</v>
      </c>
      <c r="J6" s="158" t="s">
        <v>75</v>
      </c>
      <c r="K6" s="317">
        <v>550</v>
      </c>
      <c r="L6" s="318"/>
      <c r="M6" s="1" t="s">
        <v>394</v>
      </c>
      <c r="N6" s="1"/>
      <c r="R6" s="3"/>
    </row>
    <row r="7" spans="1:22" ht="15.75">
      <c r="A7" s="163">
        <f>'11'!A7+B7-E7</f>
        <v>238.32999999999998</v>
      </c>
      <c r="B7" s="220">
        <v>70.180000000000007</v>
      </c>
      <c r="C7" s="33" t="s">
        <v>653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7"/>
      <c r="L7" s="318"/>
      <c r="M7" s="1"/>
      <c r="N7" s="1"/>
      <c r="R7" s="3"/>
    </row>
    <row r="8" spans="1:22" ht="15.75">
      <c r="A8" s="163">
        <f>'11'!A8+B8-E8</f>
        <v>0</v>
      </c>
      <c r="B8" s="220">
        <v>0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17">
        <v>7000</v>
      </c>
      <c r="L8" s="318"/>
      <c r="M8" s="1"/>
      <c r="N8" s="1"/>
      <c r="R8" s="3"/>
    </row>
    <row r="9" spans="1:22" ht="15.75">
      <c r="A9" s="163">
        <f>'11'!A9+B9-E9</f>
        <v>0</v>
      </c>
      <c r="B9" s="220">
        <v>0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7">
        <v>659.77</v>
      </c>
      <c r="L9" s="318"/>
      <c r="M9" s="1"/>
      <c r="N9" s="1"/>
      <c r="R9" s="3"/>
    </row>
    <row r="10" spans="1:22" ht="15.75">
      <c r="A10" s="163">
        <f>'11'!A10+B10-E10</f>
        <v>12</v>
      </c>
      <c r="B10" s="220">
        <v>12</v>
      </c>
      <c r="C10" s="33" t="s">
        <v>39</v>
      </c>
      <c r="D10" s="223"/>
      <c r="E10" s="224"/>
      <c r="F10" s="224"/>
      <c r="G10" s="33" t="s">
        <v>39</v>
      </c>
      <c r="H10" s="1"/>
      <c r="I10" s="159" t="s">
        <v>76</v>
      </c>
      <c r="J10" s="158" t="s">
        <v>115</v>
      </c>
      <c r="K10" s="317">
        <v>1800.04</v>
      </c>
      <c r="L10" s="318"/>
      <c r="M10" s="1" t="s">
        <v>265</v>
      </c>
      <c r="N10" s="1"/>
      <c r="R10" s="3"/>
    </row>
    <row r="11" spans="1:22" ht="15.75">
      <c r="A11" s="163">
        <f>'11'!A11+B11-E11</f>
        <v>30.23</v>
      </c>
      <c r="B11" s="220">
        <v>30.23</v>
      </c>
      <c r="C11" s="33" t="s">
        <v>37</v>
      </c>
      <c r="D11" s="223"/>
      <c r="E11" s="224"/>
      <c r="F11" s="224"/>
      <c r="G11" s="33" t="s">
        <v>37</v>
      </c>
      <c r="H11" s="1"/>
      <c r="I11" s="159" t="s">
        <v>93</v>
      </c>
      <c r="J11" s="158" t="s">
        <v>94</v>
      </c>
      <c r="K11" s="317"/>
      <c r="L11" s="318"/>
      <c r="M11" s="1"/>
      <c r="N11" s="1"/>
      <c r="R11" s="3"/>
    </row>
    <row r="12" spans="1:22" ht="15.75">
      <c r="A12" s="163">
        <f>'11'!A12+B12-E12</f>
        <v>38.04000000000002</v>
      </c>
      <c r="B12" s="220">
        <v>25</v>
      </c>
      <c r="C12" s="33" t="s">
        <v>691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17">
        <v>5092.08</v>
      </c>
      <c r="L12" s="318"/>
      <c r="M12" s="140"/>
      <c r="N12" s="1"/>
      <c r="R12" s="3"/>
    </row>
    <row r="13" spans="1:22" ht="15.75">
      <c r="A13" s="163">
        <f>'11'!A13+B13-E13</f>
        <v>63</v>
      </c>
      <c r="B13" s="220">
        <v>7</v>
      </c>
      <c r="C13" s="33" t="s">
        <v>654</v>
      </c>
      <c r="D13" s="223"/>
      <c r="E13" s="224"/>
      <c r="F13" s="224"/>
      <c r="G13" s="33"/>
      <c r="H13" s="1"/>
      <c r="I13" s="159"/>
      <c r="J13" s="158"/>
      <c r="K13" s="317"/>
      <c r="L13" s="318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7"/>
      <c r="L14" s="318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7"/>
      <c r="L15" s="318"/>
      <c r="M15" s="1"/>
      <c r="N15" s="1"/>
      <c r="R15" s="3"/>
    </row>
    <row r="16" spans="1:22" ht="15.75">
      <c r="A16" s="163"/>
      <c r="B16" s="220"/>
      <c r="C16" s="33"/>
      <c r="D16" s="223"/>
      <c r="E16" s="224"/>
      <c r="F16" s="224"/>
      <c r="G16" s="33"/>
      <c r="H16" s="1"/>
      <c r="I16" s="159"/>
      <c r="J16" s="158"/>
      <c r="K16" s="317"/>
      <c r="L16" s="318"/>
      <c r="M16" s="1"/>
      <c r="N16" s="1"/>
      <c r="R16" s="3"/>
    </row>
    <row r="17" spans="1:18" ht="15.75">
      <c r="A17" s="163"/>
      <c r="B17" s="220"/>
      <c r="C17" s="33"/>
      <c r="D17" s="223"/>
      <c r="E17" s="224"/>
      <c r="F17" s="224"/>
      <c r="G17" s="33"/>
      <c r="H17" s="1"/>
      <c r="I17" s="159"/>
      <c r="J17" s="158"/>
      <c r="K17" s="317"/>
      <c r="L17" s="318"/>
      <c r="M17" s="1"/>
      <c r="N17" s="1"/>
      <c r="R17" s="3"/>
    </row>
    <row r="18" spans="1:18" ht="16.5" thickBot="1">
      <c r="A18" s="163"/>
      <c r="B18" s="220"/>
      <c r="C18" s="33"/>
      <c r="D18" s="223"/>
      <c r="E18" s="224"/>
      <c r="F18" s="224"/>
      <c r="G18" s="33"/>
      <c r="H18" s="1"/>
      <c r="I18" s="160"/>
      <c r="J18" s="161"/>
      <c r="K18" s="311"/>
      <c r="L18" s="312"/>
      <c r="M18" s="1"/>
      <c r="N18" s="1"/>
      <c r="R18" s="3"/>
    </row>
    <row r="19" spans="1:18" ht="16.5" thickBot="1">
      <c r="A19" s="163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1">
        <f>SUM(K5:K18)</f>
        <v>15101.890000000001</v>
      </c>
      <c r="L19" s="312"/>
      <c r="M19" s="1"/>
      <c r="N19" s="1"/>
      <c r="R19" s="3"/>
    </row>
    <row r="20" spans="1:18" ht="16.5" thickBot="1">
      <c r="A20" s="163">
        <f>SUM(A6:A15)</f>
        <v>1186.78</v>
      </c>
      <c r="B20" s="221">
        <f>SUM(B6:B19)</f>
        <v>544</v>
      </c>
      <c r="C20" s="34" t="s">
        <v>66</v>
      </c>
      <c r="D20" s="221">
        <f>SUM(D6:D19)</f>
        <v>0</v>
      </c>
      <c r="E20" s="221">
        <f>SUM(E6:E19)</f>
        <v>0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8209.7700000000023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313" t="s">
        <v>134</v>
      </c>
      <c r="L24" s="314"/>
      <c r="M24" s="1"/>
      <c r="R24" s="3"/>
    </row>
    <row r="25" spans="1:18" ht="15.75">
      <c r="A25" s="1" t="s">
        <v>609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/>
      <c r="J25" s="3"/>
      <c r="K25" s="315"/>
      <c r="L25" s="316"/>
      <c r="M25" s="1"/>
      <c r="R25" s="3"/>
    </row>
    <row r="26" spans="1:18" ht="15.75">
      <c r="A26" s="163">
        <f>'11'!A26+B26-D26</f>
        <v>1800</v>
      </c>
      <c r="B26" s="219">
        <v>900</v>
      </c>
      <c r="C26" s="66" t="s">
        <v>42</v>
      </c>
      <c r="D26" s="223"/>
      <c r="E26" s="224"/>
      <c r="F26" s="224"/>
      <c r="G26" s="33" t="s">
        <v>42</v>
      </c>
      <c r="H26" s="1"/>
      <c r="I26" s="151"/>
      <c r="J26" s="35"/>
      <c r="K26" s="317"/>
      <c r="L26" s="318"/>
      <c r="M26" s="1"/>
      <c r="R26" s="3"/>
    </row>
    <row r="27" spans="1:18" ht="15.75">
      <c r="A27" s="163">
        <f>'11'!A27+B27-D27</f>
        <v>346</v>
      </c>
      <c r="B27" s="220">
        <v>170</v>
      </c>
      <c r="C27" s="66" t="s">
        <v>44</v>
      </c>
      <c r="D27" s="223"/>
      <c r="E27" s="224"/>
      <c r="F27" s="224"/>
      <c r="G27" s="33" t="s">
        <v>44</v>
      </c>
      <c r="H27" s="1"/>
      <c r="I27" s="151"/>
      <c r="J27" s="35"/>
      <c r="K27" s="317"/>
      <c r="L27" s="318"/>
      <c r="M27" s="1"/>
      <c r="R27" s="3"/>
    </row>
    <row r="28" spans="1:18" ht="15.75">
      <c r="A28" s="163">
        <f>'11'!A28+B28-D28</f>
        <v>143.06</v>
      </c>
      <c r="B28" s="220">
        <v>40</v>
      </c>
      <c r="C28" s="66" t="s">
        <v>45</v>
      </c>
      <c r="D28" s="223"/>
      <c r="E28" s="224"/>
      <c r="F28" s="224"/>
      <c r="G28" s="33" t="s">
        <v>45</v>
      </c>
      <c r="H28" s="1"/>
      <c r="I28" s="151"/>
      <c r="J28" s="35"/>
      <c r="K28" s="317"/>
      <c r="L28" s="318"/>
      <c r="M28" s="1"/>
      <c r="R28" s="3"/>
    </row>
    <row r="29" spans="1:18" ht="15.75">
      <c r="A29" s="163">
        <f>'11'!A29+B29-D29</f>
        <v>37.08</v>
      </c>
      <c r="B29" s="220">
        <v>18</v>
      </c>
      <c r="C29" s="66" t="s">
        <v>41</v>
      </c>
      <c r="D29" s="223"/>
      <c r="E29" s="224"/>
      <c r="F29" s="224"/>
      <c r="G29" s="33" t="s">
        <v>41</v>
      </c>
      <c r="H29" s="1"/>
      <c r="I29" s="151"/>
      <c r="J29" s="35"/>
      <c r="K29" s="317"/>
      <c r="L29" s="318"/>
      <c r="M29" s="1"/>
      <c r="R29" s="3"/>
    </row>
    <row r="30" spans="1:18" ht="15.75">
      <c r="A30" s="163">
        <f>'11'!A30+B30-D30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7"/>
      <c r="L30" s="318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7"/>
      <c r="L31" s="318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7"/>
      <c r="L32" s="318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7"/>
      <c r="L33" s="318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7"/>
      <c r="L34" s="318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7"/>
      <c r="L35" s="318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7"/>
      <c r="L36" s="318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7"/>
      <c r="L37" s="318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1"/>
      <c r="L38" s="312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2919.7</v>
      </c>
      <c r="B40" s="221">
        <f>SUM(B26:B39)</f>
        <v>1128</v>
      </c>
      <c r="C40" s="34" t="s">
        <v>66</v>
      </c>
      <c r="D40" s="221">
        <f>SUM(D26:D39)</f>
        <v>0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/>
      <c r="E46" s="224"/>
      <c r="F46" s="224"/>
      <c r="G46" s="69"/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/>
      <c r="E47" s="224"/>
      <c r="F47" s="224"/>
      <c r="G47" s="33"/>
      <c r="H47" s="1"/>
      <c r="M47" s="1"/>
      <c r="R47" s="3"/>
    </row>
    <row r="48" spans="1:18" ht="15.75">
      <c r="A48" s="1"/>
      <c r="B48" s="220"/>
      <c r="C48" s="33"/>
      <c r="D48" s="223"/>
      <c r="E48" s="224"/>
      <c r="F48" s="224"/>
      <c r="G48" s="33"/>
      <c r="H48" s="1"/>
      <c r="M48" s="1"/>
      <c r="R48" s="3"/>
    </row>
    <row r="49" spans="1:18" ht="15.75">
      <c r="A49" s="1"/>
      <c r="B49" s="220"/>
      <c r="C49" s="33"/>
      <c r="D49" s="223"/>
      <c r="E49" s="224"/>
      <c r="F49" s="224"/>
      <c r="G49" s="33"/>
      <c r="H49" s="1"/>
      <c r="M49" s="1"/>
      <c r="R49" s="3"/>
    </row>
    <row r="50" spans="1:18" ht="15.75">
      <c r="A50" s="1"/>
      <c r="B50" s="220"/>
      <c r="C50" s="33"/>
      <c r="D50" s="223"/>
      <c r="E50" s="224"/>
      <c r="F50" s="224"/>
      <c r="G50" s="33"/>
      <c r="H50" s="1"/>
      <c r="M50" s="1"/>
      <c r="R50" s="3"/>
    </row>
    <row r="51" spans="1:18" ht="15.75">
      <c r="A51" s="1"/>
      <c r="B51" s="220"/>
      <c r="C51" s="33"/>
      <c r="D51" s="223"/>
      <c r="E51" s="224"/>
      <c r="F51" s="224"/>
      <c r="G51" s="33"/>
      <c r="H51" s="1"/>
      <c r="M51" s="1"/>
      <c r="R51" s="3"/>
    </row>
    <row r="52" spans="1:18" ht="15.75">
      <c r="A52" s="1"/>
      <c r="B52" s="220"/>
      <c r="C52" s="33"/>
      <c r="D52" s="223"/>
      <c r="E52" s="224"/>
      <c r="F52" s="224"/>
      <c r="G52" s="33"/>
      <c r="H52" s="1"/>
      <c r="M52" s="1"/>
      <c r="R52" s="3"/>
    </row>
    <row r="53" spans="1:18" ht="15.75">
      <c r="A53" s="1"/>
      <c r="B53" s="220"/>
      <c r="C53" s="33"/>
      <c r="D53" s="223"/>
      <c r="E53" s="224"/>
      <c r="F53" s="224"/>
      <c r="G53" s="33"/>
      <c r="H53" s="1"/>
      <c r="M53" s="1"/>
      <c r="R53" s="3"/>
    </row>
    <row r="54" spans="1:18" ht="15.75">
      <c r="A54" s="1"/>
      <c r="B54" s="220"/>
      <c r="C54" s="33"/>
      <c r="D54" s="223"/>
      <c r="E54" s="224"/>
      <c r="F54" s="224"/>
      <c r="G54" s="33"/>
      <c r="H54" s="1"/>
      <c r="M54" s="1"/>
      <c r="R54" s="3"/>
    </row>
    <row r="55" spans="1:18" ht="15.75">
      <c r="A55" s="1"/>
      <c r="B55" s="220"/>
      <c r="C55" s="33"/>
      <c r="D55" s="223"/>
      <c r="E55" s="224"/>
      <c r="F55" s="224"/>
      <c r="G55" s="33"/>
      <c r="H55" s="1"/>
      <c r="M55" s="1"/>
      <c r="R55" s="3"/>
    </row>
    <row r="56" spans="1:18" ht="15.75">
      <c r="A56" s="1"/>
      <c r="B56" s="220"/>
      <c r="C56" s="33"/>
      <c r="D56" s="223"/>
      <c r="E56" s="224"/>
      <c r="F56" s="224"/>
      <c r="G56" s="33"/>
      <c r="H56" s="1"/>
      <c r="M56" s="1"/>
      <c r="R56" s="3"/>
    </row>
    <row r="57" spans="1:18" ht="15.75">
      <c r="A57" s="1"/>
      <c r="B57" s="220"/>
      <c r="C57" s="33"/>
      <c r="D57" s="223"/>
      <c r="E57" s="224"/>
      <c r="F57" s="224"/>
      <c r="G57" s="33"/>
      <c r="H57" s="1"/>
      <c r="M57" s="1"/>
      <c r="R57" s="3"/>
    </row>
    <row r="58" spans="1:18" ht="15.75">
      <c r="A58" s="1"/>
      <c r="B58" s="220"/>
      <c r="C58" s="33"/>
      <c r="D58" s="223"/>
      <c r="E58" s="224"/>
      <c r="F58" s="224"/>
      <c r="G58" s="33"/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0</v>
      </c>
      <c r="E60" s="221">
        <f>SUM(E46:E59)</f>
        <v>0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/>
      <c r="E66" s="224"/>
      <c r="F66" s="224"/>
      <c r="G66" s="36"/>
      <c r="H66" s="1"/>
      <c r="M66" s="1"/>
      <c r="R66" s="3"/>
    </row>
    <row r="67" spans="1:18" ht="15.75">
      <c r="A67" s="1"/>
      <c r="B67" s="220"/>
      <c r="C67" s="33"/>
      <c r="D67" s="223"/>
      <c r="E67" s="224"/>
      <c r="F67" s="224"/>
      <c r="G67" s="70"/>
      <c r="H67" s="1"/>
      <c r="M67" s="1"/>
      <c r="R67" s="3"/>
    </row>
    <row r="68" spans="1:18" ht="15.75">
      <c r="A68" s="1"/>
      <c r="B68" s="220"/>
      <c r="C68" s="33"/>
      <c r="D68" s="223"/>
      <c r="E68" s="224"/>
      <c r="F68" s="224"/>
      <c r="G68" s="33"/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/>
      <c r="G69" s="33"/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0</v>
      </c>
      <c r="E80" s="221">
        <f>SUM(E66:E79)</f>
        <v>0</v>
      </c>
      <c r="F80" s="221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160</v>
      </c>
      <c r="C86" s="36" t="s">
        <v>659</v>
      </c>
      <c r="D86" s="223"/>
      <c r="E86" s="224"/>
      <c r="F86" s="224"/>
      <c r="G86" s="33"/>
      <c r="H86" s="1"/>
      <c r="M86" s="1"/>
      <c r="R86" s="3"/>
    </row>
    <row r="87" spans="1:18" ht="15.75">
      <c r="A87" s="1"/>
      <c r="B87" s="220"/>
      <c r="C87" s="33"/>
      <c r="D87" s="223"/>
      <c r="E87" s="224"/>
      <c r="F87" s="224"/>
      <c r="G87" s="33"/>
      <c r="H87" s="1"/>
      <c r="M87" s="1"/>
      <c r="R87" s="3"/>
    </row>
    <row r="88" spans="1:18" ht="15.75">
      <c r="A88" s="1"/>
      <c r="B88" s="220"/>
      <c r="C88" s="33"/>
      <c r="D88" s="223"/>
      <c r="E88" s="224"/>
      <c r="F88" s="224"/>
      <c r="G88" s="33"/>
      <c r="H88" s="1"/>
      <c r="M88" s="1"/>
      <c r="R88" s="3"/>
    </row>
    <row r="89" spans="1:18" ht="15.75">
      <c r="A89" s="1"/>
      <c r="B89" s="220"/>
      <c r="C89" s="33"/>
      <c r="D89" s="223"/>
      <c r="E89" s="224"/>
      <c r="F89" s="224"/>
      <c r="G89" s="33"/>
      <c r="H89" s="1"/>
      <c r="M89" s="1"/>
      <c r="R89" s="3"/>
    </row>
    <row r="90" spans="1:18" ht="15.75">
      <c r="A90" s="1"/>
      <c r="B90" s="220"/>
      <c r="C90" s="33"/>
      <c r="D90" s="223"/>
      <c r="E90" s="224"/>
      <c r="F90" s="224"/>
      <c r="G90" s="33"/>
      <c r="H90" s="1"/>
      <c r="M90" s="1"/>
      <c r="R90" s="3"/>
    </row>
    <row r="91" spans="1:18" ht="15.75">
      <c r="A91" s="1"/>
      <c r="B91" s="220"/>
      <c r="C91" s="33"/>
      <c r="D91" s="223"/>
      <c r="E91" s="224"/>
      <c r="F91" s="224"/>
      <c r="G91" s="33"/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160</v>
      </c>
      <c r="C100" s="34" t="s">
        <v>66</v>
      </c>
      <c r="D100" s="221">
        <f>SUM(D86:D99)</f>
        <v>0</v>
      </c>
      <c r="E100" s="221">
        <f>SUM(E86:E99)</f>
        <v>0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37" t="s">
        <v>609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'11'!A106+B106-D106</f>
        <v>258.47000000000003</v>
      </c>
      <c r="B106" s="219">
        <v>258.47000000000003</v>
      </c>
      <c r="C106" s="35" t="s">
        <v>55</v>
      </c>
      <c r="D106" s="223"/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'11'!A107+B107-D107</f>
        <v>72.300000000000011</v>
      </c>
      <c r="B107" s="220">
        <v>71</v>
      </c>
      <c r="C107" s="35" t="s">
        <v>56</v>
      </c>
      <c r="D107" s="223"/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'11'!A108+B108-D108</f>
        <v>779.94</v>
      </c>
      <c r="B108" s="220">
        <v>50</v>
      </c>
      <c r="C108" s="35" t="s">
        <v>617</v>
      </c>
      <c r="D108" s="223"/>
      <c r="E108" s="224"/>
      <c r="F108" s="224"/>
      <c r="G108" s="73" t="s">
        <v>88</v>
      </c>
      <c r="H108" s="1"/>
      <c r="M108" s="1"/>
      <c r="R108" s="3"/>
    </row>
    <row r="109" spans="1:18" ht="15.75">
      <c r="A109" s="163">
        <f>'11'!A109+B109-D109</f>
        <v>2780.0300000000007</v>
      </c>
      <c r="B109" s="220">
        <v>25.53</v>
      </c>
      <c r="C109" s="35" t="s">
        <v>673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SUM(A106:A108)</f>
        <v>1110.71</v>
      </c>
      <c r="B120" s="221">
        <f>SUM(B106:B119)</f>
        <v>405</v>
      </c>
      <c r="C120" s="34" t="s">
        <v>66</v>
      </c>
      <c r="D120" s="221">
        <f>SUM(D106:D119)</f>
        <v>0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/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/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/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0</v>
      </c>
      <c r="E140" s="221">
        <f>SUM(E126:E139)</f>
        <v>0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488</v>
      </c>
      <c r="D146" s="223"/>
      <c r="E146" s="224"/>
      <c r="F146" s="224"/>
      <c r="G146" s="33"/>
      <c r="H146" s="1"/>
      <c r="M146" s="1"/>
      <c r="R146" s="3"/>
    </row>
    <row r="147" spans="1:22" ht="15.75">
      <c r="A147" s="1"/>
      <c r="B147" s="220"/>
      <c r="C147" s="33"/>
      <c r="D147" s="223"/>
      <c r="E147" s="224"/>
      <c r="F147" s="224"/>
      <c r="G147" s="33"/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0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/>
      <c r="C167" s="33"/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200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507</v>
      </c>
      <c r="D186" s="223"/>
      <c r="E186" s="224"/>
      <c r="F186" s="224"/>
      <c r="G186" s="33"/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/>
      <c r="E187" s="224"/>
      <c r="F187" s="224"/>
      <c r="G187" s="33"/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/>
      <c r="E188" s="224"/>
      <c r="F188" s="224"/>
      <c r="G188" s="33"/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0</v>
      </c>
      <c r="E200" s="221">
        <f>SUM(E186:E199)</f>
        <v>0</v>
      </c>
      <c r="F200" s="221">
        <f>SUM(F186:F199)</f>
        <v>0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/>
      <c r="E206" s="224"/>
      <c r="F206" s="224"/>
      <c r="G206" s="33"/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0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/>
      <c r="E226" s="224"/>
      <c r="F226" s="224"/>
      <c r="G226" s="33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0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/>
      <c r="E246" s="224"/>
      <c r="F246" s="224"/>
      <c r="G246" s="33"/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0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7" ht="15" customHeight="1" thickBot="1">
      <c r="B283" s="293"/>
      <c r="C283" s="294"/>
      <c r="D283" s="294"/>
      <c r="E283" s="294"/>
      <c r="F283" s="294"/>
      <c r="G283" s="295"/>
    </row>
    <row r="284" spans="2:7">
      <c r="B284" s="301" t="s">
        <v>10</v>
      </c>
      <c r="C284" s="302"/>
      <c r="D284" s="303" t="s">
        <v>11</v>
      </c>
      <c r="E284" s="303"/>
      <c r="F284" s="303"/>
      <c r="G284" s="302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90</v>
      </c>
      <c r="C286" s="36" t="s">
        <v>36</v>
      </c>
      <c r="D286" s="223"/>
      <c r="E286" s="224"/>
      <c r="F286" s="224"/>
      <c r="G286" s="33"/>
    </row>
    <row r="287" spans="2:7">
      <c r="B287" s="220"/>
      <c r="C287" s="33"/>
      <c r="D287" s="223"/>
      <c r="E287" s="224"/>
      <c r="F287" s="224"/>
      <c r="G287" s="33"/>
    </row>
    <row r="288" spans="2:7">
      <c r="B288" s="220"/>
      <c r="C288" s="33"/>
      <c r="D288" s="223"/>
      <c r="E288" s="224"/>
      <c r="F288" s="224"/>
      <c r="G288" s="33"/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90</v>
      </c>
      <c r="C300" s="34" t="s">
        <v>66</v>
      </c>
      <c r="D300" s="221">
        <f>SUM(D286:D299)</f>
        <v>0</v>
      </c>
      <c r="E300" s="221">
        <f>SUM(E286:E299)</f>
        <v>0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100</v>
      </c>
      <c r="C306" s="36" t="s">
        <v>473</v>
      </c>
      <c r="D306" s="223"/>
      <c r="E306" s="224"/>
      <c r="F306" s="224"/>
      <c r="G306" s="33"/>
    </row>
    <row r="307" spans="2:7">
      <c r="B307" s="220">
        <v>15</v>
      </c>
      <c r="C307" s="66"/>
      <c r="D307" s="223"/>
      <c r="E307" s="224"/>
      <c r="F307" s="224"/>
      <c r="G307" s="33"/>
    </row>
    <row r="308" spans="2:7">
      <c r="B308" s="220"/>
      <c r="C308" s="66"/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115</v>
      </c>
      <c r="C320" s="34" t="s">
        <v>66</v>
      </c>
      <c r="D320" s="221">
        <f>SUM(D306:D319)</f>
        <v>0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/>
      <c r="E326" s="224"/>
      <c r="F326" s="224"/>
      <c r="G326" s="33"/>
    </row>
    <row r="327" spans="2:7">
      <c r="B327" s="220"/>
      <c r="C327" s="33"/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</v>
      </c>
      <c r="C340" s="34" t="s">
        <v>66</v>
      </c>
      <c r="D340" s="221">
        <f>SUM(D326:D339)</f>
        <v>0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45</v>
      </c>
      <c r="C346" s="36" t="s">
        <v>643</v>
      </c>
      <c r="D346" s="223"/>
      <c r="E346" s="224"/>
      <c r="F346" s="224"/>
      <c r="G346" s="33"/>
    </row>
    <row r="347" spans="2:7">
      <c r="B347" s="220"/>
      <c r="C347" s="33"/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45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/>
      <c r="G366" s="70" t="s">
        <v>91</v>
      </c>
    </row>
    <row r="367" spans="2:7">
      <c r="B367" s="220"/>
      <c r="C367" s="33"/>
      <c r="D367" s="223"/>
      <c r="E367" s="224"/>
      <c r="F367" s="224"/>
      <c r="G367" s="70"/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0</v>
      </c>
      <c r="E380" s="221">
        <f>SUM(E366:E379)</f>
        <v>0</v>
      </c>
      <c r="F380" s="221">
        <f>SUM(F366:F379)</f>
        <v>0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20</v>
      </c>
      <c r="C406" s="36"/>
      <c r="D406" s="223"/>
      <c r="E406" s="224"/>
      <c r="F406" s="224"/>
      <c r="G406" s="33"/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20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300" t="str">
        <f>'2018'!A41</f>
        <v>Ahorros Colchón</v>
      </c>
      <c r="C422" s="306"/>
      <c r="D422" s="306"/>
      <c r="E422" s="306"/>
      <c r="F422" s="306"/>
      <c r="G422" s="307"/>
    </row>
    <row r="423" spans="1:7" ht="15" customHeight="1" thickBot="1">
      <c r="B423" s="308"/>
      <c r="C423" s="309"/>
      <c r="D423" s="309"/>
      <c r="E423" s="309"/>
      <c r="F423" s="309"/>
      <c r="G423" s="310"/>
    </row>
    <row r="424" spans="1:7">
      <c r="B424" s="301" t="s">
        <v>10</v>
      </c>
      <c r="C424" s="302"/>
      <c r="D424" s="303" t="s">
        <v>11</v>
      </c>
      <c r="E424" s="303"/>
      <c r="F424" s="303"/>
      <c r="G424" s="302"/>
    </row>
    <row r="425" spans="1:7">
      <c r="A425" s="137" t="s">
        <v>704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 ht="15.75">
      <c r="A426" s="163">
        <v>3900</v>
      </c>
      <c r="B426" s="220">
        <f>'2018'!AU17 -A426</f>
        <v>-3900</v>
      </c>
      <c r="C426" s="36" t="s">
        <v>636</v>
      </c>
      <c r="D426" s="223"/>
      <c r="E426" s="224"/>
      <c r="F426" s="224"/>
      <c r="G426" s="33"/>
    </row>
    <row r="427" spans="1:7">
      <c r="A427" s="164"/>
      <c r="B427" s="220"/>
      <c r="C427" s="33"/>
      <c r="D427" s="223"/>
      <c r="E427" s="224"/>
      <c r="F427" s="224"/>
      <c r="G427" s="33"/>
    </row>
    <row r="428" spans="1:7">
      <c r="A428" s="164"/>
      <c r="B428" s="220"/>
      <c r="C428" s="33"/>
      <c r="D428" s="223"/>
      <c r="E428" s="224"/>
      <c r="F428" s="224"/>
      <c r="G428" s="33"/>
    </row>
    <row r="429" spans="1:7">
      <c r="A429" s="164"/>
      <c r="B429" s="220"/>
      <c r="C429" s="33"/>
      <c r="D429" s="223"/>
      <c r="E429" s="224"/>
      <c r="F429" s="224"/>
      <c r="G429" s="33"/>
    </row>
    <row r="430" spans="1:7">
      <c r="A430" s="164"/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-3900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1:8">
      <c r="A465" s="137" t="s">
        <v>609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8" ht="15.75">
      <c r="A466" s="163">
        <f>'11'!A466+B466-E466</f>
        <v>346</v>
      </c>
      <c r="B466" s="220">
        <v>25</v>
      </c>
      <c r="C466" s="33" t="s">
        <v>485</v>
      </c>
      <c r="D466" s="223"/>
      <c r="E466" s="224"/>
      <c r="F466" s="224"/>
      <c r="G466" s="33"/>
    </row>
    <row r="467" spans="1:8" ht="15.75">
      <c r="A467" s="163">
        <f>'11'!A467+B467-E467</f>
        <v>55</v>
      </c>
      <c r="B467" s="220">
        <v>20</v>
      </c>
      <c r="C467" s="33" t="s">
        <v>610</v>
      </c>
      <c r="D467" s="223"/>
      <c r="E467" s="224"/>
      <c r="F467" s="224"/>
      <c r="G467" s="33"/>
      <c r="H467" s="164"/>
    </row>
    <row r="468" spans="1:8" ht="15.75">
      <c r="A468" s="163">
        <f>'11'!A468+B468-E468</f>
        <v>15</v>
      </c>
      <c r="B468" s="220">
        <v>5</v>
      </c>
      <c r="C468" s="33" t="s">
        <v>611</v>
      </c>
      <c r="D468" s="223"/>
      <c r="E468" s="224"/>
      <c r="F468" s="224"/>
      <c r="G468" s="33"/>
      <c r="H468" s="164"/>
    </row>
    <row r="469" spans="1:8">
      <c r="B469" s="220"/>
      <c r="C469" s="33"/>
      <c r="D469" s="223"/>
      <c r="E469" s="224"/>
      <c r="F469" s="224"/>
      <c r="G469" s="33"/>
    </row>
    <row r="470" spans="1:8">
      <c r="B470" s="220"/>
      <c r="C470" s="33"/>
      <c r="D470" s="223"/>
      <c r="E470" s="224"/>
      <c r="F470" s="224"/>
      <c r="G470" s="33"/>
    </row>
    <row r="471" spans="1:8">
      <c r="B471" s="220"/>
      <c r="C471" s="33"/>
      <c r="D471" s="223"/>
      <c r="E471" s="224"/>
      <c r="F471" s="224"/>
      <c r="G471" s="33"/>
    </row>
    <row r="472" spans="1:8">
      <c r="B472" s="220"/>
      <c r="C472" s="33"/>
      <c r="D472" s="223"/>
      <c r="E472" s="224"/>
      <c r="F472" s="224"/>
      <c r="G472" s="33"/>
    </row>
    <row r="473" spans="1:8">
      <c r="B473" s="220"/>
      <c r="C473" s="33"/>
      <c r="D473" s="223"/>
      <c r="E473" s="224"/>
      <c r="F473" s="224"/>
      <c r="G473" s="33"/>
    </row>
    <row r="474" spans="1:8">
      <c r="B474" s="220"/>
      <c r="C474" s="33"/>
      <c r="D474" s="223"/>
      <c r="E474" s="224"/>
      <c r="F474" s="224"/>
      <c r="G474" s="33"/>
    </row>
    <row r="475" spans="1:8">
      <c r="B475" s="220"/>
      <c r="C475" s="33"/>
      <c r="D475" s="223"/>
      <c r="E475" s="224"/>
      <c r="F475" s="224"/>
      <c r="G475" s="33"/>
    </row>
    <row r="476" spans="1:8">
      <c r="B476" s="220"/>
      <c r="C476" s="33"/>
      <c r="D476" s="223"/>
      <c r="E476" s="224"/>
      <c r="F476" s="224"/>
      <c r="G476" s="33"/>
    </row>
    <row r="477" spans="1:8">
      <c r="B477" s="220"/>
      <c r="C477" s="33"/>
      <c r="D477" s="223"/>
      <c r="E477" s="224"/>
      <c r="F477" s="224"/>
      <c r="G477" s="33"/>
    </row>
    <row r="478" spans="1:8">
      <c r="B478" s="220"/>
      <c r="C478" s="33"/>
      <c r="D478" s="223"/>
      <c r="E478" s="224"/>
      <c r="F478" s="224"/>
      <c r="G478" s="33"/>
    </row>
    <row r="479" spans="1:8" ht="15.75" thickBot="1">
      <c r="B479" s="221"/>
      <c r="C479" s="34"/>
      <c r="D479" s="221"/>
      <c r="E479" s="225"/>
      <c r="F479" s="225"/>
      <c r="G479" s="34"/>
    </row>
    <row r="480" spans="1:8" ht="15.75" thickBot="1">
      <c r="A480" s="164">
        <f>SUM(A466:A468)</f>
        <v>416</v>
      </c>
      <c r="B480" s="221">
        <f>SUM(B466:B479)</f>
        <v>50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C00-000000000000}"/>
    <hyperlink ref="I22" location="Trimestre!C39:F40" display="TELÉFONO" xr:uid="{00000000-0004-0000-0C00-000001000000}"/>
    <hyperlink ref="I22:L23" location="'2018'!AU7:AX7" display="INGRESOS" xr:uid="{00000000-0004-0000-0C00-000002000000}"/>
    <hyperlink ref="B2" location="Trimestre!C25:F26" display="HIPOTECA" xr:uid="{00000000-0004-0000-0C00-000003000000}"/>
    <hyperlink ref="B2:G3" location="'2018'!AU20:AX20" display="'2018'!AU20:AX20" xr:uid="{00000000-0004-0000-0C00-000004000000}"/>
    <hyperlink ref="B22" location="Trimestre!C25:F26" display="HIPOTECA" xr:uid="{00000000-0004-0000-0C00-000005000000}"/>
    <hyperlink ref="B22:G23" location="'2018'!AU21:AX21" display="'2018'!AU21:AX21" xr:uid="{00000000-0004-0000-0C00-000006000000}"/>
    <hyperlink ref="B42" location="Trimestre!C25:F26" display="HIPOTECA" xr:uid="{00000000-0004-0000-0C00-000007000000}"/>
    <hyperlink ref="B42:G43" location="'2018'!AU22:AX22" display="'2018'!AU22:AX22" xr:uid="{00000000-0004-0000-0C00-000008000000}"/>
    <hyperlink ref="B62" location="Trimestre!C25:F26" display="HIPOTECA" xr:uid="{00000000-0004-0000-0C00-000009000000}"/>
    <hyperlink ref="B62:G63" location="'2018'!AU23:AX23" display="'2018'!AU23:AX23" xr:uid="{00000000-0004-0000-0C00-00000A000000}"/>
    <hyperlink ref="B82" location="Trimestre!C25:F26" display="HIPOTECA" xr:uid="{00000000-0004-0000-0C00-00000B000000}"/>
    <hyperlink ref="B82:G83" location="'2018'!AU24:AX24" display="'2018'!AU24:AX24" xr:uid="{00000000-0004-0000-0C00-00000C000000}"/>
    <hyperlink ref="B102" location="Trimestre!C25:F26" display="HIPOTECA" xr:uid="{00000000-0004-0000-0C00-00000D000000}"/>
    <hyperlink ref="B102:G103" location="'2018'!AU25:AX25" display="'2018'!AU25:AX25" xr:uid="{00000000-0004-0000-0C00-00000E000000}"/>
    <hyperlink ref="B122" location="Trimestre!C25:F26" display="HIPOTECA" xr:uid="{00000000-0004-0000-0C00-00000F000000}"/>
    <hyperlink ref="B122:G123" location="'2018'!AU26:AX26" display="'2018'!AU26:AX26" xr:uid="{00000000-0004-0000-0C00-000010000000}"/>
    <hyperlink ref="B142" location="Trimestre!C25:F26" display="HIPOTECA" xr:uid="{00000000-0004-0000-0C00-000011000000}"/>
    <hyperlink ref="B142:G143" location="'2018'!AU27:AX27" display="'2018'!AU27:AX27" xr:uid="{00000000-0004-0000-0C00-000012000000}"/>
    <hyperlink ref="B162" location="Trimestre!C25:F26" display="HIPOTECA" xr:uid="{00000000-0004-0000-0C00-000013000000}"/>
    <hyperlink ref="B162:G163" location="'2018'!AU28:AX28" display="'2018'!AU28:AX28" xr:uid="{00000000-0004-0000-0C00-000014000000}"/>
    <hyperlink ref="B182" location="Trimestre!C25:F26" display="HIPOTECA" xr:uid="{00000000-0004-0000-0C00-000015000000}"/>
    <hyperlink ref="B182:G183" location="'2018'!AU29:AX29" display="'2018'!AU29:AX29" xr:uid="{00000000-0004-0000-0C00-000016000000}"/>
    <hyperlink ref="B202" location="Trimestre!C25:F26" display="HIPOTECA" xr:uid="{00000000-0004-0000-0C00-000017000000}"/>
    <hyperlink ref="B202:G203" location="'2018'!AU30:AX30" display="'2018'!AU30:AX30" xr:uid="{00000000-0004-0000-0C00-000018000000}"/>
    <hyperlink ref="B222" location="Trimestre!C25:F26" display="HIPOTECA" xr:uid="{00000000-0004-0000-0C00-000019000000}"/>
    <hyperlink ref="B222:G223" location="'2018'!AU31:AX31" display="'2018'!AU31:AX31" xr:uid="{00000000-0004-0000-0C00-00001A000000}"/>
    <hyperlink ref="B242" location="Trimestre!C25:F26" display="HIPOTECA" xr:uid="{00000000-0004-0000-0C00-00001B000000}"/>
    <hyperlink ref="B242:G243" location="'2018'!AU32:AX32" display="'2018'!AU32:AX32" xr:uid="{00000000-0004-0000-0C00-00001C000000}"/>
    <hyperlink ref="B262" location="Trimestre!C25:F26" display="HIPOTECA" xr:uid="{00000000-0004-0000-0C00-00001D000000}"/>
    <hyperlink ref="B262:G263" location="'2018'!AU33:AX33" display="'2018'!AU33:AX33" xr:uid="{00000000-0004-0000-0C00-00001E000000}"/>
    <hyperlink ref="B282" location="Trimestre!C25:F26" display="HIPOTECA" xr:uid="{00000000-0004-0000-0C00-00001F000000}"/>
    <hyperlink ref="B282:G283" location="'2018'!AU34:AX34" display="'2018'!AU34:AX34" xr:uid="{00000000-0004-0000-0C00-000020000000}"/>
    <hyperlink ref="B302" location="Trimestre!C25:F26" display="HIPOTECA" xr:uid="{00000000-0004-0000-0C00-000021000000}"/>
    <hyperlink ref="B302:G303" location="'2018'!AU35:AX35" display="'2018'!AU35:AX35" xr:uid="{00000000-0004-0000-0C00-000022000000}"/>
    <hyperlink ref="B322" location="Trimestre!C25:F26" display="HIPOTECA" xr:uid="{00000000-0004-0000-0C00-000023000000}"/>
    <hyperlink ref="B322:G323" location="'2018'!AU36:AX36" display="'2018'!AU36:AX36" xr:uid="{00000000-0004-0000-0C00-000024000000}"/>
    <hyperlink ref="B342" location="Trimestre!C25:F26" display="HIPOTECA" xr:uid="{00000000-0004-0000-0C00-000025000000}"/>
    <hyperlink ref="B342:G343" location="'2018'!AU37:AX37" display="'2018'!AU37:AX37" xr:uid="{00000000-0004-0000-0C00-000026000000}"/>
    <hyperlink ref="B362" location="Trimestre!C25:F26" display="HIPOTECA" xr:uid="{00000000-0004-0000-0C00-000027000000}"/>
    <hyperlink ref="B362:G363" location="'2018'!AU38:AX38" display="'2018'!AU38:AX38" xr:uid="{00000000-0004-0000-0C00-000028000000}"/>
    <hyperlink ref="B382" location="Trimestre!C25:F26" display="HIPOTECA" xr:uid="{00000000-0004-0000-0C00-000029000000}"/>
    <hyperlink ref="B382:G383" location="'2018'!AU39:AX39" display="'2018'!AU39:AX39" xr:uid="{00000000-0004-0000-0C00-00002A000000}"/>
    <hyperlink ref="B402" location="Trimestre!C25:F26" display="HIPOTECA" xr:uid="{00000000-0004-0000-0C00-00002B000000}"/>
    <hyperlink ref="B402:G403" location="'2018'!AU40:AX40" display="'2018'!AU40:AX40" xr:uid="{00000000-0004-0000-0C00-00002C000000}"/>
    <hyperlink ref="B422" location="Trimestre!C25:F26" display="HIPOTECA" xr:uid="{00000000-0004-0000-0C00-00002D000000}"/>
    <hyperlink ref="B422:G423" location="'2018'!AU41:AX41" display="'2018'!AU41:AX41" xr:uid="{00000000-0004-0000-0C00-00002E000000}"/>
    <hyperlink ref="B442" location="Trimestre!C25:F26" display="HIPOTECA" xr:uid="{00000000-0004-0000-0C00-00002F000000}"/>
    <hyperlink ref="B442:G443" location="'2018'!AU42:AX42" display="'2018'!AU42:AX42" xr:uid="{00000000-0004-0000-0C00-000030000000}"/>
    <hyperlink ref="B462" location="Trimestre!C25:F26" display="HIPOTECA" xr:uid="{00000000-0004-0000-0C00-000031000000}"/>
    <hyperlink ref="B462:G463" location="'2018'!AU43:AX43" display="'2018'!AU43:AX43" xr:uid="{00000000-0004-0000-0C00-000032000000}"/>
    <hyperlink ref="B482" location="Trimestre!C25:F26" display="HIPOTECA" xr:uid="{00000000-0004-0000-0C00-000033000000}"/>
    <hyperlink ref="B482:G483" location="'2018'!AU44:AX44" display="'2018'!AU44:AX44" xr:uid="{00000000-0004-0000-0C00-000034000000}"/>
    <hyperlink ref="B502" location="Trimestre!C25:F26" display="HIPOTECA" xr:uid="{00000000-0004-0000-0C00-000035000000}"/>
    <hyperlink ref="B502:G503" location="'2018'!AU45:AX45" display="'2018'!AU45:AX45" xr:uid="{00000000-0004-0000-0C00-000036000000}"/>
    <hyperlink ref="I2:L3" location="'2018'!AU4:AX4" display="SALDO REAL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G6" sqref="G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89"/>
      <c r="E1" s="90"/>
    </row>
    <row r="2" spans="1:13" ht="12.75" customHeight="1">
      <c r="A2" s="91" t="s">
        <v>135</v>
      </c>
      <c r="B2" s="90"/>
      <c r="C2" s="165"/>
      <c r="E2" s="90"/>
    </row>
    <row r="3" spans="1:13" ht="12.75" customHeight="1">
      <c r="A3" t="s">
        <v>532</v>
      </c>
      <c r="B3" s="165">
        <f>Historico!I24</f>
        <v>43556</v>
      </c>
      <c r="D3" s="92"/>
      <c r="E3" s="93"/>
    </row>
    <row r="4" spans="1:13" ht="12.75" customHeight="1">
      <c r="A4" t="s">
        <v>531</v>
      </c>
      <c r="B4" s="170">
        <f>Historico!B24</f>
        <v>132572.97</v>
      </c>
      <c r="E4" s="89"/>
    </row>
    <row r="5" spans="1:13" ht="12.75" customHeight="1">
      <c r="A5" t="s">
        <v>136</v>
      </c>
      <c r="B5" s="94">
        <f>(12*(YEAR(Historico!I82) - YEAR(B3)))+4-MONTH(B3)</f>
        <v>348</v>
      </c>
      <c r="E5" s="90"/>
      <c r="J5" s="95" t="s">
        <v>137</v>
      </c>
      <c r="L5" s="92" t="s">
        <v>138</v>
      </c>
      <c r="M5" t="s">
        <v>139</v>
      </c>
    </row>
    <row r="6" spans="1:13" ht="12.75" customHeight="1">
      <c r="A6" t="s">
        <v>140</v>
      </c>
      <c r="B6" s="96">
        <f>E19</f>
        <v>-0.16900000000000001</v>
      </c>
      <c r="C6" s="92" t="s">
        <v>141</v>
      </c>
      <c r="D6" s="91" t="s">
        <v>142</v>
      </c>
      <c r="E6" s="90"/>
      <c r="J6" t="s">
        <v>143</v>
      </c>
      <c r="K6" s="97">
        <f>B4-B15</f>
        <v>132209.9522452362</v>
      </c>
      <c r="L6" s="87">
        <f>B4*(E8/100)</f>
        <v>36.568044225000001</v>
      </c>
      <c r="M6" s="97">
        <f>B13-L6</f>
        <v>363.01775476379282</v>
      </c>
    </row>
    <row r="7" spans="1:13" ht="12.75" customHeight="1">
      <c r="E7" s="90"/>
      <c r="J7" t="s">
        <v>144</v>
      </c>
      <c r="K7" s="97">
        <f>K6-(B13-L7)</f>
        <v>131846.83435807505</v>
      </c>
      <c r="L7" s="87">
        <f>(K6*(E8/100))</f>
        <v>36.467911827644322</v>
      </c>
      <c r="M7" s="97">
        <f>B13-L7</f>
        <v>363.11788716114847</v>
      </c>
    </row>
    <row r="8" spans="1:13" ht="12.75" customHeight="1">
      <c r="B8" s="90"/>
      <c r="D8" t="s">
        <v>598</v>
      </c>
      <c r="E8" s="98">
        <f>(B6+0.5)/12</f>
        <v>2.7583333333333331E-2</v>
      </c>
      <c r="J8" t="s">
        <v>145</v>
      </c>
      <c r="K8" s="97">
        <f>K7-(B13-L8)</f>
        <v>131483.6163108967</v>
      </c>
      <c r="L8" s="87">
        <f>(K7*(E8/100))</f>
        <v>36.367751810435699</v>
      </c>
      <c r="M8" s="97">
        <f>B13-L8</f>
        <v>363.2180471783571</v>
      </c>
    </row>
    <row r="9" spans="1:13" ht="12.75" customHeight="1">
      <c r="B9" s="90"/>
      <c r="D9" t="s">
        <v>146</v>
      </c>
      <c r="E9" s="98">
        <f>1+(E8/100)</f>
        <v>1.0002758333333333</v>
      </c>
      <c r="J9" t="s">
        <v>147</v>
      </c>
      <c r="K9" s="97">
        <f>K8-(B13-L9)</f>
        <v>131120.29807607367</v>
      </c>
      <c r="L9" s="87">
        <f>(K8*(E8/100))</f>
        <v>36.267564165755672</v>
      </c>
      <c r="M9" s="97">
        <f>B13-L9</f>
        <v>363.31823482303713</v>
      </c>
    </row>
    <row r="10" spans="1:13" ht="12.75" customHeight="1">
      <c r="B10" s="90"/>
      <c r="D10" t="s">
        <v>148</v>
      </c>
      <c r="E10" s="98">
        <f>E9^-B5</f>
        <v>0.90848512555365957</v>
      </c>
      <c r="J10" t="s">
        <v>149</v>
      </c>
      <c r="K10" s="97">
        <f>K9-(B13-L10)</f>
        <v>130756.87962597086</v>
      </c>
      <c r="L10" s="87">
        <f>(K9*(E8/100))</f>
        <v>36.167348885983657</v>
      </c>
      <c r="M10" s="97">
        <f>B13-L10</f>
        <v>363.41845010280917</v>
      </c>
    </row>
    <row r="11" spans="1:13" ht="12.75" customHeight="1">
      <c r="A11" s="91" t="s">
        <v>150</v>
      </c>
      <c r="B11" s="90"/>
      <c r="D11" t="s">
        <v>151</v>
      </c>
      <c r="E11" s="98">
        <f>100*(1-E10)</f>
        <v>9.1514874446340428</v>
      </c>
      <c r="J11" t="s">
        <v>152</v>
      </c>
      <c r="K11" s="99">
        <f>K10-(B13-L11)</f>
        <v>130393.36093294556</v>
      </c>
      <c r="L11" s="87">
        <f>(K10*(E8/100))</f>
        <v>36.067105963496964</v>
      </c>
      <c r="M11" s="97">
        <f>B13-L11</f>
        <v>363.51869302529587</v>
      </c>
    </row>
    <row r="12" spans="1:13" ht="12.75" customHeight="1">
      <c r="B12" s="90"/>
      <c r="E12" s="90"/>
    </row>
    <row r="13" spans="1:13" ht="12.75" customHeight="1">
      <c r="A13" t="s">
        <v>153</v>
      </c>
      <c r="B13" s="100">
        <f>(B4*E8)/E11</f>
        <v>399.58579898879282</v>
      </c>
      <c r="E13" s="90"/>
      <c r="F13" s="92"/>
      <c r="G13" s="101"/>
      <c r="L13" s="102">
        <f>SUM(L6:L11)</f>
        <v>217.9057268783163</v>
      </c>
      <c r="M13" s="102">
        <f>SUM(M6:M11)</f>
        <v>2179.6090670544404</v>
      </c>
    </row>
    <row r="14" spans="1:13" ht="12.75" customHeight="1">
      <c r="A14" t="s">
        <v>154</v>
      </c>
      <c r="B14" s="103">
        <f>B4*(E8/100)</f>
        <v>36.568044225000001</v>
      </c>
      <c r="E14" s="90"/>
    </row>
    <row r="15" spans="1:13" ht="12.75" customHeight="1">
      <c r="A15" t="s">
        <v>155</v>
      </c>
      <c r="B15" s="103">
        <f>B13-B14</f>
        <v>363.01775476379282</v>
      </c>
      <c r="E15" s="90"/>
    </row>
    <row r="16" spans="1:13" ht="12.75" customHeight="1">
      <c r="B16" s="90"/>
      <c r="E16" s="90"/>
    </row>
    <row r="17" spans="1:9" ht="12.75" customHeight="1">
      <c r="B17" s="90"/>
      <c r="D17" t="s">
        <v>156</v>
      </c>
      <c r="E17" s="101">
        <f>B13-Historico!C21</f>
        <v>399.5873589887928</v>
      </c>
    </row>
    <row r="18" spans="1:9" ht="12.75" customHeight="1">
      <c r="B18" s="90"/>
      <c r="E18" s="90"/>
    </row>
    <row r="19" spans="1:9" ht="12.75" customHeight="1">
      <c r="B19" s="98"/>
      <c r="D19" t="s">
        <v>157</v>
      </c>
      <c r="E19" s="104">
        <f>E20/G45</f>
        <v>-0.16900000000000001</v>
      </c>
      <c r="F19" t="s">
        <v>158</v>
      </c>
    </row>
    <row r="20" spans="1:9" ht="12.75" customHeight="1">
      <c r="B20" s="90"/>
      <c r="D20" t="s">
        <v>159</v>
      </c>
      <c r="E20" s="105">
        <f>SUM(E21:E54)</f>
        <v>-0.16900000000000001</v>
      </c>
    </row>
    <row r="21" spans="1:9" ht="12.75" customHeight="1">
      <c r="E21" s="90">
        <v>-0.16900000000000001</v>
      </c>
      <c r="F21">
        <v>1</v>
      </c>
      <c r="G21" s="105">
        <f>IF(E21="",0,1)</f>
        <v>1</v>
      </c>
      <c r="I21" s="90"/>
    </row>
    <row r="22" spans="1:9" ht="12.75" customHeight="1">
      <c r="A22" s="92" t="s">
        <v>160</v>
      </c>
      <c r="B22" s="101">
        <f>(B13-L6)+(B13-L7)+(B13-L8)+(B13-L9)+(B13-L10)+(B13-L11)</f>
        <v>2179.6090670544404</v>
      </c>
      <c r="C22" s="106">
        <f>B22/170000</f>
        <v>1.2821229806202591E-2</v>
      </c>
      <c r="E22" s="90"/>
      <c r="F22">
        <v>2</v>
      </c>
      <c r="G22" s="105">
        <f t="shared" ref="G22:G40" si="0">IF(E22="",0,1)</f>
        <v>0</v>
      </c>
    </row>
    <row r="23" spans="1:9" ht="12.75" customHeight="1">
      <c r="A23" t="s">
        <v>161</v>
      </c>
      <c r="B23" s="101">
        <f>K11</f>
        <v>130393.36093294556</v>
      </c>
      <c r="C23" s="107">
        <f>6/(40*6)</f>
        <v>2.5000000000000001E-2</v>
      </c>
      <c r="E23" s="90"/>
      <c r="F23">
        <v>3</v>
      </c>
      <c r="G23" s="105">
        <f t="shared" si="0"/>
        <v>0</v>
      </c>
    </row>
    <row r="24" spans="1:9" ht="12.75" customHeight="1">
      <c r="E24" s="90"/>
      <c r="F24">
        <v>6</v>
      </c>
      <c r="G24" s="105">
        <f t="shared" si="0"/>
        <v>0</v>
      </c>
    </row>
    <row r="25" spans="1:9" ht="12.75" customHeight="1">
      <c r="E25" s="90"/>
      <c r="F25">
        <v>7</v>
      </c>
      <c r="G25" s="105">
        <f t="shared" si="0"/>
        <v>0</v>
      </c>
    </row>
    <row r="26" spans="1:9" ht="12.75" customHeight="1">
      <c r="E26" s="90"/>
      <c r="F26">
        <v>8</v>
      </c>
      <c r="G26" s="105">
        <f t="shared" si="0"/>
        <v>0</v>
      </c>
    </row>
    <row r="27" spans="1:9" ht="12.75" customHeight="1">
      <c r="E27" s="90"/>
      <c r="F27">
        <v>9</v>
      </c>
      <c r="G27" s="105">
        <f t="shared" si="0"/>
        <v>0</v>
      </c>
    </row>
    <row r="28" spans="1:9" ht="12.75" customHeight="1">
      <c r="C28" s="107">
        <f>1-(35/40)</f>
        <v>0.125</v>
      </c>
      <c r="E28" s="90"/>
      <c r="F28">
        <v>10</v>
      </c>
      <c r="G28" s="105">
        <f t="shared" si="0"/>
        <v>0</v>
      </c>
    </row>
    <row r="29" spans="1:9" ht="12.75" customHeight="1">
      <c r="C29" s="107">
        <f>1-(B4/170000)</f>
        <v>0.22015899999999999</v>
      </c>
      <c r="E29" s="90"/>
      <c r="F29">
        <v>13</v>
      </c>
      <c r="G29" s="105">
        <f t="shared" si="0"/>
        <v>0</v>
      </c>
    </row>
    <row r="30" spans="1:9" ht="12.75" customHeight="1">
      <c r="C30" s="107">
        <f>C28-C29</f>
        <v>-9.5158999999999994E-2</v>
      </c>
      <c r="E30" s="90"/>
      <c r="F30">
        <v>14</v>
      </c>
      <c r="G30" s="105">
        <f t="shared" si="0"/>
        <v>0</v>
      </c>
    </row>
    <row r="31" spans="1:9" ht="12.75" customHeight="1">
      <c r="E31" s="90"/>
      <c r="F31">
        <v>15</v>
      </c>
      <c r="G31" s="105">
        <f t="shared" si="0"/>
        <v>0</v>
      </c>
    </row>
    <row r="32" spans="1:9" ht="12.75" customHeight="1">
      <c r="E32" s="90"/>
      <c r="F32">
        <v>16</v>
      </c>
      <c r="G32" s="105">
        <f t="shared" si="0"/>
        <v>0</v>
      </c>
    </row>
    <row r="33" spans="2:7" ht="12.75" customHeight="1">
      <c r="C33" s="107">
        <f>1-(((12*35)-6)/(40*12))</f>
        <v>0.13749999999999996</v>
      </c>
      <c r="E33" s="90"/>
      <c r="F33">
        <v>17</v>
      </c>
      <c r="G33" s="105">
        <f t="shared" si="0"/>
        <v>0</v>
      </c>
    </row>
    <row r="34" spans="2:7" ht="12.75" customHeight="1">
      <c r="C34" s="106">
        <f>1-(K11/170000)</f>
        <v>0.23298022980620259</v>
      </c>
      <c r="E34" s="90"/>
      <c r="F34">
        <v>20</v>
      </c>
      <c r="G34" s="105">
        <f t="shared" si="0"/>
        <v>0</v>
      </c>
    </row>
    <row r="35" spans="2:7" ht="12.75" customHeight="1">
      <c r="C35" s="106">
        <f>C33-C34</f>
        <v>-9.5480229806202632E-2</v>
      </c>
      <c r="E35" s="90"/>
      <c r="F35">
        <v>21</v>
      </c>
      <c r="G35" s="105">
        <f t="shared" si="0"/>
        <v>0</v>
      </c>
    </row>
    <row r="36" spans="2:7" ht="12.75" customHeight="1">
      <c r="E36" s="90"/>
      <c r="F36">
        <v>22</v>
      </c>
      <c r="G36" s="105">
        <f t="shared" si="0"/>
        <v>0</v>
      </c>
    </row>
    <row r="37" spans="2:7" ht="12.75" customHeight="1">
      <c r="E37" s="90"/>
      <c r="F37">
        <v>23</v>
      </c>
      <c r="G37" s="105">
        <f t="shared" si="0"/>
        <v>0</v>
      </c>
    </row>
    <row r="38" spans="2:7" ht="12.75" customHeight="1">
      <c r="E38" s="90"/>
      <c r="F38">
        <v>24</v>
      </c>
      <c r="G38" s="105">
        <f t="shared" si="0"/>
        <v>0</v>
      </c>
    </row>
    <row r="39" spans="2:7" ht="12.75" customHeight="1">
      <c r="E39" s="90"/>
      <c r="F39">
        <v>27</v>
      </c>
      <c r="G39" s="105">
        <f t="shared" si="0"/>
        <v>0</v>
      </c>
    </row>
    <row r="40" spans="2:7" ht="12.75" customHeight="1">
      <c r="E40" s="90"/>
      <c r="F40">
        <v>28</v>
      </c>
      <c r="G40" s="105">
        <f t="shared" si="0"/>
        <v>0</v>
      </c>
    </row>
    <row r="41" spans="2:7" ht="12.75" customHeight="1">
      <c r="E41" s="90"/>
      <c r="F41">
        <v>29</v>
      </c>
      <c r="G41" s="105">
        <f t="shared" ref="G41:G43" si="1">IF(E41="",0,1)</f>
        <v>0</v>
      </c>
    </row>
    <row r="42" spans="2:7" ht="12.75" customHeight="1">
      <c r="E42" s="90"/>
      <c r="F42">
        <v>30</v>
      </c>
      <c r="G42" s="105">
        <f t="shared" si="1"/>
        <v>0</v>
      </c>
    </row>
    <row r="43" spans="2:7" ht="12.75" customHeight="1">
      <c r="B43" s="87"/>
      <c r="E43" s="90"/>
      <c r="F43">
        <v>31</v>
      </c>
      <c r="G43" s="105">
        <f t="shared" si="1"/>
        <v>0</v>
      </c>
    </row>
    <row r="45" spans="2:7" ht="12.75" customHeight="1">
      <c r="G45" s="105">
        <f>SUM(G21:G43)</f>
        <v>1</v>
      </c>
    </row>
    <row r="46" spans="2:7">
      <c r="B46" s="108"/>
    </row>
    <row r="56" spans="3:3">
      <c r="C56" s="87"/>
    </row>
    <row r="57" spans="3:3">
      <c r="C57" s="87"/>
    </row>
    <row r="58" spans="3:3">
      <c r="C58" s="8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57" workbookViewId="0">
      <selection activeCell="H63" sqref="H63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138">
        <v>258.47000000000003</v>
      </c>
    </row>
    <row r="2" spans="1:9" ht="15.75" thickBot="1">
      <c r="A2" s="138">
        <v>9486.92</v>
      </c>
      <c r="B2" s="112" t="s">
        <v>191</v>
      </c>
      <c r="C2" s="109" t="s">
        <v>192</v>
      </c>
      <c r="D2" s="111" t="s">
        <v>193</v>
      </c>
    </row>
    <row r="3" spans="1:9">
      <c r="B3" s="127">
        <v>43074</v>
      </c>
      <c r="C3" s="118">
        <v>0</v>
      </c>
      <c r="D3" s="114">
        <v>24736.65</v>
      </c>
      <c r="E3" t="s">
        <v>194</v>
      </c>
    </row>
    <row r="4" spans="1:9">
      <c r="B4" s="127">
        <f>EDATE(B3,1)</f>
        <v>43105</v>
      </c>
      <c r="C4" s="118">
        <f>C3+A$1</f>
        <v>258.47000000000003</v>
      </c>
      <c r="D4" s="114">
        <f>D3-A$1</f>
        <v>24478.18</v>
      </c>
      <c r="E4" t="s">
        <v>194</v>
      </c>
    </row>
    <row r="5" spans="1:9">
      <c r="B5" s="127">
        <f>EDATE(B4,1)</f>
        <v>43136</v>
      </c>
      <c r="C5" s="118">
        <f>C4+A$1</f>
        <v>516.94000000000005</v>
      </c>
      <c r="D5" s="114">
        <f t="shared" ref="D5:D61" si="0">D4-A$1</f>
        <v>24219.71</v>
      </c>
      <c r="E5" t="s">
        <v>194</v>
      </c>
    </row>
    <row r="6" spans="1:9">
      <c r="B6" s="127">
        <f t="shared" ref="B6:B63" si="1">EDATE(B5,1)</f>
        <v>43164</v>
      </c>
      <c r="C6" s="118">
        <f t="shared" ref="C6:C62" si="2">C5+A$1</f>
        <v>775.41000000000008</v>
      </c>
      <c r="D6" s="114">
        <f t="shared" si="0"/>
        <v>23961.239999999998</v>
      </c>
      <c r="E6" t="s">
        <v>194</v>
      </c>
    </row>
    <row r="7" spans="1:9">
      <c r="B7" s="127">
        <f t="shared" si="1"/>
        <v>43195</v>
      </c>
      <c r="C7" s="118">
        <f t="shared" si="2"/>
        <v>1033.8800000000001</v>
      </c>
      <c r="D7" s="114">
        <f t="shared" si="0"/>
        <v>23702.769999999997</v>
      </c>
      <c r="E7" t="s">
        <v>194</v>
      </c>
    </row>
    <row r="8" spans="1:9">
      <c r="B8" s="127">
        <f t="shared" si="1"/>
        <v>43225</v>
      </c>
      <c r="C8" s="118">
        <f t="shared" si="2"/>
        <v>1292.3500000000001</v>
      </c>
      <c r="D8" s="114">
        <f t="shared" si="0"/>
        <v>23444.299999999996</v>
      </c>
      <c r="E8" t="s">
        <v>194</v>
      </c>
    </row>
    <row r="9" spans="1:9">
      <c r="B9" s="127">
        <f t="shared" si="1"/>
        <v>43256</v>
      </c>
      <c r="C9" s="118">
        <f t="shared" si="2"/>
        <v>1550.8200000000002</v>
      </c>
      <c r="D9" s="114">
        <f t="shared" si="0"/>
        <v>23185.829999999994</v>
      </c>
      <c r="E9" t="s">
        <v>194</v>
      </c>
    </row>
    <row r="10" spans="1:9">
      <c r="B10" s="127">
        <f t="shared" si="1"/>
        <v>43286</v>
      </c>
      <c r="C10" s="118">
        <f t="shared" si="2"/>
        <v>1809.2900000000002</v>
      </c>
      <c r="D10" s="114">
        <f t="shared" si="0"/>
        <v>22927.359999999993</v>
      </c>
      <c r="E10" t="s">
        <v>194</v>
      </c>
    </row>
    <row r="11" spans="1:9">
      <c r="B11" s="127">
        <f t="shared" si="1"/>
        <v>43317</v>
      </c>
      <c r="C11" s="118">
        <f t="shared" si="2"/>
        <v>2067.7600000000002</v>
      </c>
      <c r="D11" s="114">
        <f t="shared" si="0"/>
        <v>22668.889999999992</v>
      </c>
      <c r="E11" t="s">
        <v>194</v>
      </c>
    </row>
    <row r="12" spans="1:9">
      <c r="B12" s="127">
        <f t="shared" si="1"/>
        <v>43348</v>
      </c>
      <c r="C12" s="118">
        <f t="shared" si="2"/>
        <v>2326.2300000000005</v>
      </c>
      <c r="D12" s="114">
        <f t="shared" si="0"/>
        <v>22410.419999999991</v>
      </c>
      <c r="E12" t="s">
        <v>194</v>
      </c>
    </row>
    <row r="13" spans="1:9">
      <c r="B13" s="127">
        <f t="shared" si="1"/>
        <v>43378</v>
      </c>
      <c r="C13" s="118">
        <f t="shared" si="2"/>
        <v>2584.7000000000007</v>
      </c>
      <c r="D13" s="114">
        <f t="shared" si="0"/>
        <v>22151.94999999999</v>
      </c>
      <c r="E13" t="s">
        <v>194</v>
      </c>
    </row>
    <row r="14" spans="1:9">
      <c r="B14" s="127">
        <f t="shared" si="1"/>
        <v>43409</v>
      </c>
      <c r="C14" s="118">
        <f t="shared" si="2"/>
        <v>2843.170000000001</v>
      </c>
      <c r="D14" s="114">
        <f t="shared" si="0"/>
        <v>21893.479999999989</v>
      </c>
    </row>
    <row r="15" spans="1:9">
      <c r="B15" s="127">
        <f t="shared" si="1"/>
        <v>43439</v>
      </c>
      <c r="C15" s="118">
        <f t="shared" si="2"/>
        <v>3101.6400000000012</v>
      </c>
      <c r="D15" s="114">
        <f t="shared" si="0"/>
        <v>21635.009999999987</v>
      </c>
      <c r="G15">
        <f>H15</f>
        <v>125</v>
      </c>
      <c r="H15">
        <v>125</v>
      </c>
      <c r="I15">
        <f>H15*12</f>
        <v>1500</v>
      </c>
    </row>
    <row r="16" spans="1:9">
      <c r="B16" s="127">
        <f t="shared" si="1"/>
        <v>43470</v>
      </c>
      <c r="C16" s="118">
        <f t="shared" si="2"/>
        <v>3360.1100000000015</v>
      </c>
      <c r="D16" s="114">
        <f t="shared" si="0"/>
        <v>21376.539999999986</v>
      </c>
      <c r="G16">
        <f>G$15+G15</f>
        <v>250</v>
      </c>
    </row>
    <row r="17" spans="2:7">
      <c r="B17" s="127">
        <f t="shared" si="1"/>
        <v>43501</v>
      </c>
      <c r="C17" s="118">
        <f t="shared" si="2"/>
        <v>3618.5800000000017</v>
      </c>
      <c r="D17" s="114">
        <f t="shared" si="0"/>
        <v>21118.069999999985</v>
      </c>
      <c r="G17">
        <f>G$15+G16</f>
        <v>375</v>
      </c>
    </row>
    <row r="18" spans="2:7">
      <c r="B18" s="127">
        <f t="shared" si="1"/>
        <v>43529</v>
      </c>
      <c r="C18" s="118">
        <f t="shared" si="2"/>
        <v>3877.050000000002</v>
      </c>
      <c r="D18" s="114">
        <f t="shared" si="0"/>
        <v>20859.599999999984</v>
      </c>
      <c r="G18">
        <f t="shared" ref="G18:G63" si="3">G$15+G17</f>
        <v>500</v>
      </c>
    </row>
    <row r="19" spans="2:7">
      <c r="B19" s="127">
        <f t="shared" si="1"/>
        <v>43560</v>
      </c>
      <c r="C19" s="118">
        <f t="shared" si="2"/>
        <v>4135.5200000000023</v>
      </c>
      <c r="D19" s="114">
        <f t="shared" si="0"/>
        <v>20601.129999999983</v>
      </c>
      <c r="G19">
        <f t="shared" si="3"/>
        <v>625</v>
      </c>
    </row>
    <row r="20" spans="2:7">
      <c r="B20" s="127">
        <f t="shared" si="1"/>
        <v>43590</v>
      </c>
      <c r="C20" s="118">
        <f t="shared" si="2"/>
        <v>4393.9900000000025</v>
      </c>
      <c r="D20" s="114">
        <f t="shared" si="0"/>
        <v>20342.659999999982</v>
      </c>
      <c r="G20">
        <f t="shared" si="3"/>
        <v>750</v>
      </c>
    </row>
    <row r="21" spans="2:7">
      <c r="B21" s="127">
        <f t="shared" si="1"/>
        <v>43621</v>
      </c>
      <c r="C21" s="118">
        <f t="shared" si="2"/>
        <v>4652.4600000000028</v>
      </c>
      <c r="D21" s="114">
        <f t="shared" si="0"/>
        <v>20084.189999999981</v>
      </c>
      <c r="G21">
        <f t="shared" si="3"/>
        <v>875</v>
      </c>
    </row>
    <row r="22" spans="2:7">
      <c r="B22" s="127">
        <f t="shared" si="1"/>
        <v>43651</v>
      </c>
      <c r="C22" s="118">
        <f t="shared" si="2"/>
        <v>4910.930000000003</v>
      </c>
      <c r="D22" s="114">
        <f t="shared" si="0"/>
        <v>19825.719999999979</v>
      </c>
      <c r="G22">
        <f t="shared" si="3"/>
        <v>1000</v>
      </c>
    </row>
    <row r="23" spans="2:7">
      <c r="B23" s="127">
        <f t="shared" si="1"/>
        <v>43682</v>
      </c>
      <c r="C23" s="118">
        <f t="shared" si="2"/>
        <v>5169.4000000000033</v>
      </c>
      <c r="D23" s="114">
        <f t="shared" si="0"/>
        <v>19567.249999999978</v>
      </c>
      <c r="G23">
        <f t="shared" si="3"/>
        <v>1125</v>
      </c>
    </row>
    <row r="24" spans="2:7">
      <c r="B24" s="127">
        <f t="shared" si="1"/>
        <v>43713</v>
      </c>
      <c r="C24" s="118">
        <f t="shared" si="2"/>
        <v>5427.8700000000035</v>
      </c>
      <c r="D24" s="114">
        <f t="shared" si="0"/>
        <v>19308.779999999977</v>
      </c>
      <c r="G24">
        <f t="shared" si="3"/>
        <v>1250</v>
      </c>
    </row>
    <row r="25" spans="2:7">
      <c r="B25" s="127">
        <f t="shared" si="1"/>
        <v>43743</v>
      </c>
      <c r="C25" s="118">
        <f t="shared" si="2"/>
        <v>5686.3400000000038</v>
      </c>
      <c r="D25" s="114">
        <f t="shared" si="0"/>
        <v>19050.309999999976</v>
      </c>
      <c r="G25">
        <f t="shared" si="3"/>
        <v>1375</v>
      </c>
    </row>
    <row r="26" spans="2:7">
      <c r="B26" s="127">
        <f t="shared" si="1"/>
        <v>43774</v>
      </c>
      <c r="C26" s="118">
        <f t="shared" si="2"/>
        <v>5944.810000000004</v>
      </c>
      <c r="D26" s="114">
        <f t="shared" si="0"/>
        <v>18791.839999999975</v>
      </c>
      <c r="G26">
        <f t="shared" si="3"/>
        <v>1500</v>
      </c>
    </row>
    <row r="27" spans="2:7">
      <c r="B27" s="127">
        <f t="shared" si="1"/>
        <v>43804</v>
      </c>
      <c r="C27" s="118">
        <f t="shared" si="2"/>
        <v>6203.2800000000043</v>
      </c>
      <c r="D27" s="114">
        <f t="shared" si="0"/>
        <v>18533.369999999974</v>
      </c>
      <c r="G27">
        <f t="shared" si="3"/>
        <v>1625</v>
      </c>
    </row>
    <row r="28" spans="2:7">
      <c r="B28" s="127">
        <f t="shared" si="1"/>
        <v>43835</v>
      </c>
      <c r="C28" s="118">
        <f t="shared" si="2"/>
        <v>6461.7500000000045</v>
      </c>
      <c r="D28" s="114">
        <f t="shared" si="0"/>
        <v>18274.899999999972</v>
      </c>
      <c r="G28">
        <f t="shared" si="3"/>
        <v>1750</v>
      </c>
    </row>
    <row r="29" spans="2:7">
      <c r="B29" s="127">
        <f t="shared" si="1"/>
        <v>43866</v>
      </c>
      <c r="C29" s="118">
        <f t="shared" si="2"/>
        <v>6720.2200000000048</v>
      </c>
      <c r="D29" s="114">
        <f t="shared" si="0"/>
        <v>18016.429999999971</v>
      </c>
      <c r="G29">
        <f t="shared" si="3"/>
        <v>1875</v>
      </c>
    </row>
    <row r="30" spans="2:7">
      <c r="B30" s="127">
        <f t="shared" si="1"/>
        <v>43895</v>
      </c>
      <c r="C30" s="118">
        <f t="shared" si="2"/>
        <v>6978.6900000000051</v>
      </c>
      <c r="D30" s="114">
        <f t="shared" si="0"/>
        <v>17757.95999999997</v>
      </c>
      <c r="G30">
        <f t="shared" si="3"/>
        <v>2000</v>
      </c>
    </row>
    <row r="31" spans="2:7">
      <c r="B31" s="127">
        <f t="shared" si="1"/>
        <v>43926</v>
      </c>
      <c r="C31" s="118">
        <f t="shared" si="2"/>
        <v>7237.1600000000053</v>
      </c>
      <c r="D31" s="114">
        <f t="shared" si="0"/>
        <v>17499.489999999969</v>
      </c>
      <c r="G31">
        <f t="shared" si="3"/>
        <v>2125</v>
      </c>
    </row>
    <row r="32" spans="2:7">
      <c r="B32" s="127">
        <f t="shared" si="1"/>
        <v>43956</v>
      </c>
      <c r="C32" s="118">
        <f t="shared" si="2"/>
        <v>7495.6300000000056</v>
      </c>
      <c r="D32" s="114">
        <f t="shared" si="0"/>
        <v>17241.019999999968</v>
      </c>
      <c r="G32">
        <f t="shared" si="3"/>
        <v>2250</v>
      </c>
    </row>
    <row r="33" spans="2:7">
      <c r="B33" s="127">
        <f t="shared" si="1"/>
        <v>43987</v>
      </c>
      <c r="C33" s="118">
        <f t="shared" si="2"/>
        <v>7754.1000000000058</v>
      </c>
      <c r="D33" s="114">
        <f t="shared" si="0"/>
        <v>16982.549999999967</v>
      </c>
      <c r="G33">
        <f t="shared" si="3"/>
        <v>2375</v>
      </c>
    </row>
    <row r="34" spans="2:7">
      <c r="B34" s="127">
        <f t="shared" si="1"/>
        <v>44017</v>
      </c>
      <c r="C34" s="118">
        <f t="shared" si="2"/>
        <v>8012.5700000000061</v>
      </c>
      <c r="D34" s="114">
        <f t="shared" si="0"/>
        <v>16724.079999999965</v>
      </c>
      <c r="G34">
        <f t="shared" si="3"/>
        <v>2500</v>
      </c>
    </row>
    <row r="35" spans="2:7">
      <c r="B35" s="127">
        <f t="shared" si="1"/>
        <v>44048</v>
      </c>
      <c r="C35" s="118">
        <f t="shared" si="2"/>
        <v>8271.0400000000063</v>
      </c>
      <c r="D35" s="114">
        <f t="shared" si="0"/>
        <v>16465.609999999964</v>
      </c>
      <c r="G35">
        <f t="shared" si="3"/>
        <v>2625</v>
      </c>
    </row>
    <row r="36" spans="2:7">
      <c r="B36" s="127">
        <f t="shared" si="1"/>
        <v>44079</v>
      </c>
      <c r="C36" s="118">
        <f t="shared" si="2"/>
        <v>8529.5100000000057</v>
      </c>
      <c r="D36" s="114">
        <f t="shared" si="0"/>
        <v>16207.139999999965</v>
      </c>
      <c r="G36">
        <f t="shared" si="3"/>
        <v>2750</v>
      </c>
    </row>
    <row r="37" spans="2:7">
      <c r="B37" s="127">
        <f t="shared" si="1"/>
        <v>44109</v>
      </c>
      <c r="C37" s="118">
        <f t="shared" si="2"/>
        <v>8787.980000000005</v>
      </c>
      <c r="D37" s="114">
        <f t="shared" si="0"/>
        <v>15948.669999999966</v>
      </c>
      <c r="G37">
        <f t="shared" si="3"/>
        <v>2875</v>
      </c>
    </row>
    <row r="38" spans="2:7">
      <c r="B38" s="127">
        <f t="shared" si="1"/>
        <v>44140</v>
      </c>
      <c r="C38" s="118">
        <f t="shared" si="2"/>
        <v>9046.4500000000044</v>
      </c>
      <c r="D38" s="114">
        <f t="shared" si="0"/>
        <v>15690.199999999966</v>
      </c>
      <c r="G38">
        <f t="shared" si="3"/>
        <v>3000</v>
      </c>
    </row>
    <row r="39" spans="2:7">
      <c r="B39" s="127">
        <f t="shared" si="1"/>
        <v>44170</v>
      </c>
      <c r="C39" s="118">
        <f t="shared" si="2"/>
        <v>9304.9200000000037</v>
      </c>
      <c r="D39" s="114">
        <f t="shared" si="0"/>
        <v>15431.729999999967</v>
      </c>
      <c r="G39">
        <f t="shared" si="3"/>
        <v>3125</v>
      </c>
    </row>
    <row r="40" spans="2:7">
      <c r="B40" s="127">
        <f t="shared" si="1"/>
        <v>44201</v>
      </c>
      <c r="C40" s="118">
        <f t="shared" si="2"/>
        <v>9563.3900000000031</v>
      </c>
      <c r="D40" s="114">
        <f>D39-A$1</f>
        <v>15173.259999999967</v>
      </c>
      <c r="G40">
        <f t="shared" si="3"/>
        <v>3250</v>
      </c>
    </row>
    <row r="41" spans="2:7">
      <c r="B41" s="127">
        <f t="shared" si="1"/>
        <v>44232</v>
      </c>
      <c r="C41" s="118">
        <f t="shared" si="2"/>
        <v>9821.8600000000024</v>
      </c>
      <c r="D41" s="114">
        <f t="shared" si="0"/>
        <v>14914.789999999968</v>
      </c>
      <c r="G41">
        <f t="shared" si="3"/>
        <v>3375</v>
      </c>
    </row>
    <row r="42" spans="2:7">
      <c r="B42" s="127">
        <f t="shared" si="1"/>
        <v>44260</v>
      </c>
      <c r="C42" s="118">
        <f t="shared" si="2"/>
        <v>10080.330000000002</v>
      </c>
      <c r="D42" s="114">
        <f t="shared" si="0"/>
        <v>14656.319999999969</v>
      </c>
      <c r="G42">
        <f t="shared" si="3"/>
        <v>3500</v>
      </c>
    </row>
    <row r="43" spans="2:7">
      <c r="B43" s="127">
        <f t="shared" si="1"/>
        <v>44291</v>
      </c>
      <c r="C43" s="118">
        <f t="shared" si="2"/>
        <v>10338.800000000001</v>
      </c>
      <c r="D43" s="114">
        <f t="shared" si="0"/>
        <v>14397.849999999969</v>
      </c>
      <c r="G43">
        <f t="shared" si="3"/>
        <v>3625</v>
      </c>
    </row>
    <row r="44" spans="2:7">
      <c r="B44" s="127">
        <f t="shared" si="1"/>
        <v>44321</v>
      </c>
      <c r="C44" s="118">
        <f t="shared" si="2"/>
        <v>10597.27</v>
      </c>
      <c r="D44" s="114">
        <f t="shared" si="0"/>
        <v>14139.37999999997</v>
      </c>
      <c r="G44">
        <f t="shared" si="3"/>
        <v>3750</v>
      </c>
    </row>
    <row r="45" spans="2:7">
      <c r="B45" s="127">
        <f t="shared" si="1"/>
        <v>44352</v>
      </c>
      <c r="C45" s="118">
        <f t="shared" si="2"/>
        <v>10855.74</v>
      </c>
      <c r="D45" s="114">
        <f t="shared" si="0"/>
        <v>13880.909999999971</v>
      </c>
      <c r="G45">
        <f t="shared" si="3"/>
        <v>3875</v>
      </c>
    </row>
    <row r="46" spans="2:7">
      <c r="B46" s="127">
        <f t="shared" si="1"/>
        <v>44382</v>
      </c>
      <c r="C46" s="118">
        <f t="shared" si="2"/>
        <v>11114.21</v>
      </c>
      <c r="D46" s="114">
        <f t="shared" si="0"/>
        <v>13622.439999999971</v>
      </c>
      <c r="G46">
        <f t="shared" si="3"/>
        <v>4000</v>
      </c>
    </row>
    <row r="47" spans="2:7">
      <c r="B47" s="127">
        <f t="shared" si="1"/>
        <v>44413</v>
      </c>
      <c r="C47" s="118">
        <f t="shared" si="2"/>
        <v>11372.679999999998</v>
      </c>
      <c r="D47" s="114">
        <f t="shared" si="0"/>
        <v>13363.969999999972</v>
      </c>
      <c r="G47">
        <f t="shared" si="3"/>
        <v>4125</v>
      </c>
    </row>
    <row r="48" spans="2:7">
      <c r="B48" s="127">
        <f t="shared" si="1"/>
        <v>44444</v>
      </c>
      <c r="C48" s="118">
        <f t="shared" si="2"/>
        <v>11631.149999999998</v>
      </c>
      <c r="D48" s="114">
        <f t="shared" si="0"/>
        <v>13105.499999999973</v>
      </c>
      <c r="G48">
        <f t="shared" si="3"/>
        <v>4250</v>
      </c>
    </row>
    <row r="49" spans="2:9">
      <c r="B49" s="127">
        <f t="shared" si="1"/>
        <v>44474</v>
      </c>
      <c r="C49" s="118">
        <f t="shared" si="2"/>
        <v>11889.619999999997</v>
      </c>
      <c r="D49" s="114">
        <f t="shared" si="0"/>
        <v>12847.029999999973</v>
      </c>
      <c r="G49">
        <f t="shared" si="3"/>
        <v>4375</v>
      </c>
    </row>
    <row r="50" spans="2:9">
      <c r="B50" s="127">
        <f t="shared" si="1"/>
        <v>44505</v>
      </c>
      <c r="C50" s="118">
        <f t="shared" si="2"/>
        <v>12148.089999999997</v>
      </c>
      <c r="D50" s="114">
        <f t="shared" si="0"/>
        <v>12588.559999999974</v>
      </c>
      <c r="G50">
        <f t="shared" si="3"/>
        <v>4500</v>
      </c>
    </row>
    <row r="51" spans="2:9">
      <c r="B51" s="127">
        <f t="shared" si="1"/>
        <v>44535</v>
      </c>
      <c r="C51" s="118">
        <f t="shared" si="2"/>
        <v>12406.559999999996</v>
      </c>
      <c r="D51" s="114">
        <f t="shared" si="0"/>
        <v>12330.089999999975</v>
      </c>
      <c r="G51">
        <f t="shared" si="3"/>
        <v>4625</v>
      </c>
    </row>
    <row r="52" spans="2:9">
      <c r="B52" s="127">
        <f t="shared" si="1"/>
        <v>44566</v>
      </c>
      <c r="C52" s="118">
        <f t="shared" si="2"/>
        <v>12665.029999999995</v>
      </c>
      <c r="D52" s="114">
        <f t="shared" si="0"/>
        <v>12071.619999999975</v>
      </c>
      <c r="G52">
        <f t="shared" si="3"/>
        <v>4750</v>
      </c>
    </row>
    <row r="53" spans="2:9">
      <c r="B53" s="127">
        <f t="shared" si="1"/>
        <v>44597</v>
      </c>
      <c r="C53" s="118">
        <f t="shared" si="2"/>
        <v>12923.499999999995</v>
      </c>
      <c r="D53" s="114">
        <f t="shared" si="0"/>
        <v>11813.149999999976</v>
      </c>
      <c r="G53">
        <f t="shared" si="3"/>
        <v>4875</v>
      </c>
    </row>
    <row r="54" spans="2:9">
      <c r="B54" s="127">
        <f t="shared" si="1"/>
        <v>44625</v>
      </c>
      <c r="C54" s="118">
        <f t="shared" si="2"/>
        <v>13181.969999999994</v>
      </c>
      <c r="D54" s="114">
        <f>D53-A$1</f>
        <v>11554.679999999977</v>
      </c>
      <c r="G54">
        <f t="shared" si="3"/>
        <v>5000</v>
      </c>
    </row>
    <row r="55" spans="2:9">
      <c r="B55" s="127">
        <f t="shared" si="1"/>
        <v>44656</v>
      </c>
      <c r="C55" s="118">
        <f t="shared" si="2"/>
        <v>13440.439999999993</v>
      </c>
      <c r="D55" s="114">
        <f t="shared" si="0"/>
        <v>11296.209999999977</v>
      </c>
      <c r="G55">
        <f t="shared" si="3"/>
        <v>5125</v>
      </c>
    </row>
    <row r="56" spans="2:9">
      <c r="B56" s="127">
        <f t="shared" si="1"/>
        <v>44686</v>
      </c>
      <c r="C56" s="118">
        <f t="shared" si="2"/>
        <v>13698.909999999993</v>
      </c>
      <c r="D56" s="114">
        <f t="shared" si="0"/>
        <v>11037.739999999978</v>
      </c>
      <c r="G56">
        <f t="shared" si="3"/>
        <v>5250</v>
      </c>
    </row>
    <row r="57" spans="2:9">
      <c r="B57" s="127">
        <f t="shared" si="1"/>
        <v>44717</v>
      </c>
      <c r="C57" s="118">
        <f t="shared" si="2"/>
        <v>13957.379999999992</v>
      </c>
      <c r="D57" s="114">
        <f t="shared" si="0"/>
        <v>10779.269999999979</v>
      </c>
      <c r="G57">
        <f t="shared" si="3"/>
        <v>5375</v>
      </c>
    </row>
    <row r="58" spans="2:9">
      <c r="B58" s="127">
        <f t="shared" si="1"/>
        <v>44747</v>
      </c>
      <c r="C58" s="118">
        <f t="shared" si="2"/>
        <v>14215.849999999991</v>
      </c>
      <c r="D58" s="114">
        <f t="shared" si="0"/>
        <v>10520.799999999979</v>
      </c>
      <c r="G58">
        <f t="shared" si="3"/>
        <v>5500</v>
      </c>
    </row>
    <row r="59" spans="2:9">
      <c r="B59" s="127">
        <f t="shared" si="1"/>
        <v>44778</v>
      </c>
      <c r="C59" s="118">
        <f t="shared" si="2"/>
        <v>14474.319999999991</v>
      </c>
      <c r="D59" s="114">
        <f t="shared" si="0"/>
        <v>10262.32999999998</v>
      </c>
      <c r="G59">
        <f t="shared" si="3"/>
        <v>5625</v>
      </c>
    </row>
    <row r="60" spans="2:9">
      <c r="B60" s="127">
        <f t="shared" si="1"/>
        <v>44809</v>
      </c>
      <c r="C60" s="118">
        <f t="shared" si="2"/>
        <v>14732.78999999999</v>
      </c>
      <c r="D60" s="114">
        <f t="shared" si="0"/>
        <v>10003.859999999981</v>
      </c>
      <c r="G60">
        <f t="shared" si="3"/>
        <v>5750</v>
      </c>
    </row>
    <row r="61" spans="2:9">
      <c r="B61" s="127">
        <f t="shared" si="1"/>
        <v>44839</v>
      </c>
      <c r="C61" s="118">
        <f t="shared" si="2"/>
        <v>14991.259999999989</v>
      </c>
      <c r="D61" s="114">
        <f t="shared" si="0"/>
        <v>9745.3899999999812</v>
      </c>
      <c r="G61">
        <f t="shared" si="3"/>
        <v>5875</v>
      </c>
    </row>
    <row r="62" spans="2:9">
      <c r="B62" s="127">
        <f t="shared" si="1"/>
        <v>44870</v>
      </c>
      <c r="C62" s="118">
        <f t="shared" si="2"/>
        <v>15249.729999999989</v>
      </c>
      <c r="D62" s="114">
        <f>D61-A$1</f>
        <v>9486.9199999999819</v>
      </c>
      <c r="G62">
        <f t="shared" si="3"/>
        <v>6000</v>
      </c>
    </row>
    <row r="63" spans="2:9" ht="15.75" thickBot="1">
      <c r="B63" s="139">
        <f t="shared" si="1"/>
        <v>44900</v>
      </c>
      <c r="C63" s="131">
        <f>C62+A$2</f>
        <v>24736.649999999987</v>
      </c>
      <c r="D63" s="129">
        <f>D62-A$2</f>
        <v>-1.8189894035458565E-11</v>
      </c>
      <c r="G63">
        <f t="shared" si="3"/>
        <v>6125</v>
      </c>
      <c r="H63" s="170">
        <f>G63+'12'!A109</f>
        <v>8905.0300000000007</v>
      </c>
      <c r="I63" s="170">
        <f>H63-D62</f>
        <v>-581.88999999998123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13" workbookViewId="0">
      <selection activeCell="B24" sqref="B24"/>
    </sheetView>
  </sheetViews>
  <sheetFormatPr defaultColWidth="8" defaultRowHeight="15"/>
  <cols>
    <col min="1" max="2" width="19.5703125" customWidth="1"/>
    <col min="3" max="3" width="13.28515625" customWidth="1"/>
    <col min="4" max="4" width="8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109" t="s">
        <v>162</v>
      </c>
      <c r="B1" s="166" t="s">
        <v>587</v>
      </c>
      <c r="C1" s="110" t="s">
        <v>163</v>
      </c>
      <c r="D1" s="111" t="s">
        <v>164</v>
      </c>
      <c r="E1" s="111" t="s">
        <v>165</v>
      </c>
      <c r="I1" s="112" t="s">
        <v>166</v>
      </c>
      <c r="J1" s="109" t="s">
        <v>167</v>
      </c>
      <c r="K1" s="111" t="s">
        <v>168</v>
      </c>
      <c r="L1" s="111" t="s">
        <v>169</v>
      </c>
      <c r="M1" s="111" t="s">
        <v>165</v>
      </c>
    </row>
    <row r="2" spans="1:13" ht="12.75" customHeight="1">
      <c r="A2" s="171">
        <v>39479</v>
      </c>
      <c r="B2" s="167"/>
      <c r="C2" s="113" t="s">
        <v>170</v>
      </c>
      <c r="D2" s="114">
        <f>848.08</f>
        <v>848.08</v>
      </c>
      <c r="E2" s="115">
        <v>0</v>
      </c>
      <c r="G2" s="116">
        <f t="shared" ref="G2:G23" si="0">D2*6</f>
        <v>5088.4800000000005</v>
      </c>
      <c r="I2" s="117"/>
      <c r="J2" s="118"/>
      <c r="K2" s="114"/>
      <c r="L2" s="114"/>
      <c r="M2" s="115">
        <v>0</v>
      </c>
    </row>
    <row r="3" spans="1:13" ht="12.75" customHeight="1">
      <c r="A3" s="171">
        <v>39661</v>
      </c>
      <c r="B3" s="167"/>
      <c r="C3" s="119">
        <v>5.323E-2</v>
      </c>
      <c r="D3" s="114">
        <v>914</v>
      </c>
      <c r="E3" s="120">
        <f t="shared" ref="E3:E15" si="1">D3-D2</f>
        <v>65.919999999999959</v>
      </c>
      <c r="G3" s="116">
        <f t="shared" si="0"/>
        <v>5484</v>
      </c>
      <c r="I3" s="117"/>
      <c r="J3" s="118"/>
      <c r="K3" s="114"/>
      <c r="L3" s="121"/>
      <c r="M3" s="120">
        <f t="shared" ref="M3:M16" si="2">L3-L2</f>
        <v>0</v>
      </c>
    </row>
    <row r="4" spans="1:13" ht="12.75" customHeight="1">
      <c r="A4" s="171">
        <v>39845</v>
      </c>
      <c r="B4" s="167"/>
      <c r="C4" s="119">
        <v>2.1350000000000001E-2</v>
      </c>
      <c r="D4" s="114">
        <f>577.6</f>
        <v>577.6</v>
      </c>
      <c r="E4" s="120">
        <f t="shared" si="1"/>
        <v>-336.4</v>
      </c>
      <c r="G4" s="116">
        <f t="shared" si="0"/>
        <v>3465.6000000000004</v>
      </c>
      <c r="I4" s="117"/>
      <c r="J4" s="118"/>
      <c r="K4" s="114"/>
      <c r="L4" s="122"/>
      <c r="M4" s="120">
        <f t="shared" si="2"/>
        <v>0</v>
      </c>
    </row>
    <row r="5" spans="1:13" ht="12.75" customHeight="1">
      <c r="A5" s="171">
        <v>40026</v>
      </c>
      <c r="B5" s="167"/>
      <c r="C5" s="119">
        <v>1.3339999999999999E-2</v>
      </c>
      <c r="D5" s="121">
        <v>505.94</v>
      </c>
      <c r="E5" s="120">
        <f t="shared" si="1"/>
        <v>-71.660000000000025</v>
      </c>
      <c r="G5" s="116">
        <f t="shared" si="0"/>
        <v>3035.64</v>
      </c>
      <c r="I5" s="117"/>
      <c r="J5" s="123"/>
      <c r="K5" s="121"/>
      <c r="L5" s="121"/>
      <c r="M5" s="120">
        <f t="shared" si="2"/>
        <v>0</v>
      </c>
    </row>
    <row r="6" spans="1:13" ht="12.75" customHeight="1">
      <c r="A6" s="171">
        <v>40210</v>
      </c>
      <c r="B6" s="167"/>
      <c r="C6" s="119">
        <v>1.225E-2</v>
      </c>
      <c r="D6" s="121">
        <v>496.71</v>
      </c>
      <c r="E6" s="120">
        <f t="shared" si="1"/>
        <v>-9.2300000000000182</v>
      </c>
      <c r="G6" s="116">
        <f t="shared" si="0"/>
        <v>2980.2599999999998</v>
      </c>
      <c r="I6" s="117"/>
      <c r="J6" s="123"/>
      <c r="K6" s="121"/>
      <c r="L6" s="121"/>
      <c r="M6" s="120">
        <f t="shared" si="2"/>
        <v>0</v>
      </c>
    </row>
    <row r="7" spans="1:13" ht="12.75" customHeight="1">
      <c r="A7" s="171">
        <v>40391</v>
      </c>
      <c r="B7" s="167"/>
      <c r="C7" s="119">
        <v>1.421E-2</v>
      </c>
      <c r="D7" s="121">
        <v>513.17999999999995</v>
      </c>
      <c r="E7" s="120">
        <f t="shared" si="1"/>
        <v>16.46999999999997</v>
      </c>
      <c r="G7" s="116">
        <f t="shared" si="0"/>
        <v>3079.08</v>
      </c>
      <c r="I7" s="117"/>
      <c r="J7" s="123"/>
      <c r="K7" s="121"/>
      <c r="L7" s="121"/>
      <c r="M7" s="120">
        <f t="shared" si="2"/>
        <v>0</v>
      </c>
    </row>
    <row r="8" spans="1:13" ht="12.75" customHeight="1">
      <c r="A8" s="171">
        <v>40575</v>
      </c>
      <c r="B8" s="167"/>
      <c r="C8" s="119">
        <v>1.7139999999999999E-2</v>
      </c>
      <c r="D8" s="124">
        <v>538.1</v>
      </c>
      <c r="E8" s="120">
        <f t="shared" si="1"/>
        <v>24.920000000000073</v>
      </c>
      <c r="G8" s="116">
        <f t="shared" si="0"/>
        <v>3228.6000000000004</v>
      </c>
      <c r="I8" s="117"/>
      <c r="J8" s="125"/>
      <c r="K8" s="124"/>
      <c r="L8" s="121"/>
      <c r="M8" s="120">
        <f t="shared" si="2"/>
        <v>0</v>
      </c>
    </row>
    <row r="9" spans="1:13" ht="12.75" customHeight="1">
      <c r="A9" s="171">
        <v>40756</v>
      </c>
      <c r="B9" s="167"/>
      <c r="C9" s="119">
        <v>2.0969999999999999E-2</v>
      </c>
      <c r="D9" s="121">
        <v>571.29</v>
      </c>
      <c r="E9" s="120">
        <f t="shared" si="1"/>
        <v>33.189999999999941</v>
      </c>
      <c r="G9" s="116">
        <f t="shared" si="0"/>
        <v>3427.74</v>
      </c>
      <c r="I9" s="117"/>
      <c r="J9" s="123"/>
      <c r="K9" s="121"/>
      <c r="L9" s="121"/>
      <c r="M9" s="120">
        <f t="shared" si="2"/>
        <v>0</v>
      </c>
    </row>
    <row r="10" spans="1:13" ht="12.75" customHeight="1">
      <c r="A10" s="172">
        <v>40940</v>
      </c>
      <c r="B10" s="168"/>
      <c r="C10" s="119">
        <v>1.678E-2</v>
      </c>
      <c r="D10" s="121">
        <v>535.46</v>
      </c>
      <c r="E10" s="120">
        <f t="shared" si="1"/>
        <v>-35.829999999999927</v>
      </c>
      <c r="G10" s="116">
        <f t="shared" si="0"/>
        <v>3212.76</v>
      </c>
      <c r="I10" s="126"/>
      <c r="J10" s="123"/>
      <c r="K10" s="121"/>
      <c r="L10" s="121"/>
      <c r="M10" s="120">
        <f t="shared" si="2"/>
        <v>0</v>
      </c>
    </row>
    <row r="11" spans="1:13" ht="12.75" customHeight="1">
      <c r="A11" s="171">
        <v>41122</v>
      </c>
      <c r="B11" s="167"/>
      <c r="C11" s="119">
        <f>(1.377-0.5)/100</f>
        <v>8.77E-3</v>
      </c>
      <c r="D11" s="121">
        <f>471.35</f>
        <v>471.35</v>
      </c>
      <c r="E11" s="120">
        <f t="shared" si="1"/>
        <v>-64.110000000000014</v>
      </c>
      <c r="G11" s="116">
        <f t="shared" si="0"/>
        <v>2828.1000000000004</v>
      </c>
      <c r="I11" s="117"/>
      <c r="J11" s="123"/>
      <c r="K11" s="121"/>
      <c r="L11" s="121"/>
      <c r="M11" s="120">
        <f t="shared" si="2"/>
        <v>0</v>
      </c>
    </row>
    <row r="12" spans="1:13" ht="12.75" customHeight="1">
      <c r="A12" s="171">
        <v>41306</v>
      </c>
      <c r="B12" s="167"/>
      <c r="C12" s="119">
        <f>0.594/100</f>
        <v>5.94E-3</v>
      </c>
      <c r="D12" s="121">
        <v>450.15</v>
      </c>
      <c r="E12" s="120">
        <v>-21.2</v>
      </c>
      <c r="G12" s="116">
        <f t="shared" si="0"/>
        <v>2700.8999999999996</v>
      </c>
      <c r="I12" s="117"/>
      <c r="J12" s="123"/>
      <c r="K12" s="121"/>
      <c r="L12" s="121"/>
      <c r="M12" s="120">
        <v>0</v>
      </c>
    </row>
    <row r="13" spans="1:13" ht="12.75" customHeight="1">
      <c r="A13" s="171">
        <v>41487</v>
      </c>
      <c r="B13" s="167"/>
      <c r="C13" s="119">
        <f>0.542/100</f>
        <v>5.4200000000000003E-3</v>
      </c>
      <c r="D13" s="121">
        <v>446.36</v>
      </c>
      <c r="E13" s="120">
        <v>-3.77</v>
      </c>
      <c r="G13" s="116">
        <f t="shared" si="0"/>
        <v>2678.16</v>
      </c>
      <c r="I13" s="117"/>
      <c r="J13" s="123"/>
      <c r="K13" s="121"/>
      <c r="L13" s="121"/>
      <c r="M13" s="120">
        <v>0</v>
      </c>
    </row>
    <row r="14" spans="1:13" ht="12.75" customHeight="1">
      <c r="A14" s="171">
        <v>41671</v>
      </c>
      <c r="B14" s="167"/>
      <c r="C14" s="119">
        <f>0.549/100</f>
        <v>5.4900000000000001E-3</v>
      </c>
      <c r="D14" s="121">
        <f>446.86</f>
        <v>446.86</v>
      </c>
      <c r="E14" s="120">
        <f t="shared" si="1"/>
        <v>0.5</v>
      </c>
      <c r="G14" s="116">
        <f t="shared" si="0"/>
        <v>2681.16</v>
      </c>
      <c r="I14" s="127">
        <f>EDATE(A14,2)</f>
        <v>41730</v>
      </c>
      <c r="J14" s="212">
        <v>153293.20000000001</v>
      </c>
      <c r="K14" s="213">
        <v>15951.99</v>
      </c>
      <c r="L14" s="213">
        <f t="shared" ref="L14:L19" si="3">K14-J14</f>
        <v>-137341.21000000002</v>
      </c>
      <c r="M14" s="120">
        <f t="shared" si="2"/>
        <v>-137341.21000000002</v>
      </c>
    </row>
    <row r="15" spans="1:13" ht="12.75" customHeight="1">
      <c r="A15" s="171">
        <f>EDATE(A14,6)</f>
        <v>41852</v>
      </c>
      <c r="B15" s="167">
        <v>151411.95000000001</v>
      </c>
      <c r="C15" s="119">
        <f>(0.969-0.5)/100</f>
        <v>4.6899999999999997E-3</v>
      </c>
      <c r="D15" s="121">
        <f>318.97+122.27</f>
        <v>441.24</v>
      </c>
      <c r="E15" s="120">
        <f t="shared" si="1"/>
        <v>-5.6200000000000045</v>
      </c>
      <c r="G15" s="116">
        <f t="shared" si="0"/>
        <v>2647.44</v>
      </c>
      <c r="I15" s="127">
        <f t="shared" ref="I15:I62" si="4">EDATE(A15,2)</f>
        <v>41913</v>
      </c>
      <c r="J15" s="214">
        <f>151411.95+18544.65-(198.04*2)</f>
        <v>169560.52000000002</v>
      </c>
      <c r="K15" s="213">
        <v>17897.71</v>
      </c>
      <c r="L15" s="213">
        <f t="shared" si="3"/>
        <v>-151662.81000000003</v>
      </c>
      <c r="M15" s="120">
        <f t="shared" si="2"/>
        <v>-14321.600000000006</v>
      </c>
    </row>
    <row r="16" spans="1:13" ht="12.75" customHeight="1">
      <c r="A16" s="171">
        <f t="shared" ref="A16:A79" si="5">EDATE(A15,6)</f>
        <v>42036</v>
      </c>
      <c r="B16" s="167">
        <v>149494.24</v>
      </c>
      <c r="C16" s="119">
        <f>0.00255</f>
        <v>2.5500000000000002E-3</v>
      </c>
      <c r="D16" s="121">
        <f>426.61</f>
        <v>426.61</v>
      </c>
      <c r="E16" s="120">
        <f>D16-D15</f>
        <v>-14.629999999999995</v>
      </c>
      <c r="G16" s="116">
        <f t="shared" si="0"/>
        <v>2559.66</v>
      </c>
      <c r="I16" s="127">
        <f t="shared" si="4"/>
        <v>42095</v>
      </c>
      <c r="J16" s="214">
        <f>149494.24+18544.65-(198.04*(2+6))</f>
        <v>166454.56999999998</v>
      </c>
      <c r="K16" s="213">
        <v>20433.009999999998</v>
      </c>
      <c r="L16" s="213">
        <f t="shared" si="3"/>
        <v>-146021.55999999997</v>
      </c>
      <c r="M16" s="120">
        <f t="shared" si="2"/>
        <v>5641.2500000000582</v>
      </c>
    </row>
    <row r="17" spans="1:13" ht="12.75" customHeight="1">
      <c r="A17" s="171">
        <f t="shared" si="5"/>
        <v>42217</v>
      </c>
      <c r="B17" s="167">
        <v>147495.79</v>
      </c>
      <c r="C17" s="119">
        <v>1.6138095238095241E-3</v>
      </c>
      <c r="D17" s="121">
        <v>420.38</v>
      </c>
      <c r="E17" s="120">
        <f>D17-D16</f>
        <v>-6.2300000000000182</v>
      </c>
      <c r="G17" s="116">
        <f t="shared" si="0"/>
        <v>2522.2799999999997</v>
      </c>
      <c r="I17" s="127">
        <f t="shared" si="4"/>
        <v>42278</v>
      </c>
      <c r="J17" s="214">
        <f>147495.79+18544.65-(198.04*(2+12))</f>
        <v>163267.88</v>
      </c>
      <c r="K17" s="213">
        <v>17715.88</v>
      </c>
      <c r="L17" s="213">
        <f t="shared" si="3"/>
        <v>-145552</v>
      </c>
      <c r="M17" s="120">
        <f t="shared" ref="M17:M22" si="6">L17-L16</f>
        <v>469.55999999996857</v>
      </c>
    </row>
    <row r="18" spans="1:13" ht="12.75" customHeight="1">
      <c r="A18" s="171">
        <f t="shared" si="5"/>
        <v>42401</v>
      </c>
      <c r="B18" s="167">
        <v>145458.18</v>
      </c>
      <c r="C18" s="119">
        <f>-0.00008</f>
        <v>-8.0000000000000007E-5</v>
      </c>
      <c r="D18" s="121">
        <v>409.48</v>
      </c>
      <c r="E18" s="120">
        <v>-10.89</v>
      </c>
      <c r="G18" s="116">
        <f t="shared" si="0"/>
        <v>2456.88</v>
      </c>
      <c r="I18" s="127">
        <f t="shared" si="4"/>
        <v>42461</v>
      </c>
      <c r="J18" s="214">
        <f>145458.18+18544.65-(198.04*(2+18))</f>
        <v>160042.03</v>
      </c>
      <c r="K18" s="213">
        <f>1167.12+4510.82+2610.71+5004.39+800+2627.7+1337.06</f>
        <v>18057.800000000003</v>
      </c>
      <c r="L18" s="213">
        <f t="shared" si="3"/>
        <v>-141984.22999999998</v>
      </c>
      <c r="M18" s="120">
        <f t="shared" si="6"/>
        <v>3567.7700000000186</v>
      </c>
    </row>
    <row r="19" spans="1:13" ht="12.75" customHeight="1">
      <c r="A19" s="171">
        <f t="shared" si="5"/>
        <v>42583</v>
      </c>
      <c r="B19" s="167">
        <v>143356.97</v>
      </c>
      <c r="C19" s="119">
        <f>-0.048%</f>
        <v>-4.8000000000000001E-4</v>
      </c>
      <c r="D19" s="121">
        <v>406.97</v>
      </c>
      <c r="E19" s="120">
        <f t="shared" ref="E19:E24" si="7">D19-D18</f>
        <v>-2.5099999999999909</v>
      </c>
      <c r="G19" s="116">
        <f t="shared" si="0"/>
        <v>2441.8200000000002</v>
      </c>
      <c r="I19" s="127">
        <f t="shared" si="4"/>
        <v>42644</v>
      </c>
      <c r="J19" s="214">
        <f>143356.97+18544.65-(198.04*(2+24))</f>
        <v>156752.57999999999</v>
      </c>
      <c r="K19" s="213">
        <f>18827.92-5007.8+(833*5.448)</f>
        <v>18358.304</v>
      </c>
      <c r="L19" s="213">
        <f t="shared" si="3"/>
        <v>-138394.27599999998</v>
      </c>
      <c r="M19" s="120">
        <f t="shared" si="6"/>
        <v>3589.9539999999979</v>
      </c>
    </row>
    <row r="20" spans="1:13" ht="12.75" customHeight="1">
      <c r="A20" s="171">
        <f t="shared" si="5"/>
        <v>42767</v>
      </c>
      <c r="B20" s="167">
        <v>141384.89000000001</v>
      </c>
      <c r="C20" s="119">
        <f>-0.00106</f>
        <v>-1.06E-3</v>
      </c>
      <c r="D20" s="121">
        <v>403.39</v>
      </c>
      <c r="E20" s="120">
        <f t="shared" si="7"/>
        <v>-3.5800000000000409</v>
      </c>
      <c r="G20" s="116">
        <f t="shared" si="0"/>
        <v>2420.34</v>
      </c>
      <c r="I20" s="127">
        <f t="shared" si="4"/>
        <v>42826</v>
      </c>
      <c r="J20" s="214">
        <f>141384.89+18544.65-(198.04*(2+30))</f>
        <v>153592.26</v>
      </c>
      <c r="K20" s="213">
        <f>19200-5007.8+(833*7.9)</f>
        <v>20772.900000000001</v>
      </c>
      <c r="L20" s="213">
        <f>K20-J20</f>
        <v>-132819.36000000002</v>
      </c>
      <c r="M20" s="120">
        <f t="shared" si="6"/>
        <v>5574.9159999999683</v>
      </c>
    </row>
    <row r="21" spans="1:13" ht="12.75" customHeight="1">
      <c r="A21" s="171">
        <f t="shared" si="5"/>
        <v>42948</v>
      </c>
      <c r="B21" s="167">
        <v>139093.28</v>
      </c>
      <c r="C21" s="119">
        <v>-1.56E-3</v>
      </c>
      <c r="D21" s="121">
        <v>400.38</v>
      </c>
      <c r="E21" s="120">
        <f t="shared" si="7"/>
        <v>-3.0099999999999909</v>
      </c>
      <c r="G21" s="116">
        <f t="shared" si="0"/>
        <v>2402.2799999999997</v>
      </c>
      <c r="I21" s="127">
        <f t="shared" si="4"/>
        <v>43009</v>
      </c>
      <c r="J21" s="214">
        <f>139093.28+18544.65-(198.04*(2+36))</f>
        <v>150112.41</v>
      </c>
      <c r="K21" s="213">
        <f>11743+(306*21.51)</f>
        <v>18325.060000000001</v>
      </c>
      <c r="L21" s="213">
        <f>K21-J21</f>
        <v>-131787.35</v>
      </c>
      <c r="M21" s="120">
        <f t="shared" si="6"/>
        <v>1032.0100000000093</v>
      </c>
    </row>
    <row r="22" spans="1:13" ht="12.75" customHeight="1">
      <c r="A22" s="171">
        <f t="shared" si="5"/>
        <v>43132</v>
      </c>
      <c r="B22" s="167">
        <v>136928.69</v>
      </c>
      <c r="C22" s="119">
        <v>-1.9124999999999997E-3</v>
      </c>
      <c r="D22" s="121">
        <v>398.31</v>
      </c>
      <c r="E22" s="120">
        <f t="shared" si="7"/>
        <v>-2.0699999999999932</v>
      </c>
      <c r="G22" s="116">
        <f t="shared" si="0"/>
        <v>2389.86</v>
      </c>
      <c r="I22" s="127">
        <f t="shared" si="4"/>
        <v>43191</v>
      </c>
      <c r="J22" s="214">
        <f>B22+Coche!D6</f>
        <v>160889.93</v>
      </c>
      <c r="K22" s="213">
        <v>20719.909999999996</v>
      </c>
      <c r="L22" s="213">
        <f>K22-J22</f>
        <v>-140170.01999999999</v>
      </c>
      <c r="M22" s="120">
        <f t="shared" si="6"/>
        <v>-8382.6699999999837</v>
      </c>
    </row>
    <row r="23" spans="1:13" ht="12.75" customHeight="1">
      <c r="A23" s="171">
        <f t="shared" si="5"/>
        <v>43313</v>
      </c>
      <c r="B23" s="167">
        <v>134748.99</v>
      </c>
      <c r="C23" s="119">
        <v>-1.6900000000000001E-3</v>
      </c>
      <c r="D23" s="121">
        <v>399.58584259812636</v>
      </c>
      <c r="E23" s="120">
        <f t="shared" si="7"/>
        <v>1.2758425981263599</v>
      </c>
      <c r="G23" s="116">
        <f t="shared" si="0"/>
        <v>2397.5150555887581</v>
      </c>
      <c r="I23" s="127">
        <f t="shared" si="4"/>
        <v>43374</v>
      </c>
      <c r="J23" s="214">
        <f>B23+Coche!D12</f>
        <v>157159.40999999997</v>
      </c>
      <c r="K23" s="213">
        <v>23252.510000000002</v>
      </c>
      <c r="L23" s="213">
        <f>K23-J23</f>
        <v>-133906.89999999997</v>
      </c>
      <c r="M23" s="120">
        <f t="shared" ref="M23" si="8">L23-L22</f>
        <v>6263.1200000000244</v>
      </c>
    </row>
    <row r="24" spans="1:13" ht="12.75" customHeight="1">
      <c r="A24" s="171">
        <f t="shared" si="5"/>
        <v>43497</v>
      </c>
      <c r="B24" s="167">
        <v>132572.97</v>
      </c>
      <c r="C24" s="119">
        <f>Hipoteca!B$6/100</f>
        <v>-1.6900000000000001E-3</v>
      </c>
      <c r="D24" s="121">
        <f>Hipoteca!B$13</f>
        <v>399.58579898879282</v>
      </c>
      <c r="E24" s="120">
        <f t="shared" si="7"/>
        <v>-4.3609333545191475E-5</v>
      </c>
      <c r="I24" s="127">
        <f t="shared" si="4"/>
        <v>43556</v>
      </c>
      <c r="J24" s="214">
        <f>B24+Coche!D18</f>
        <v>153432.56999999998</v>
      </c>
      <c r="K24" s="213"/>
      <c r="L24" s="213"/>
      <c r="M24" s="120"/>
    </row>
    <row r="25" spans="1:13" ht="12.75" customHeight="1">
      <c r="A25" s="171">
        <f t="shared" si="5"/>
        <v>43678</v>
      </c>
      <c r="B25" s="167"/>
      <c r="C25" s="119"/>
      <c r="D25" s="121"/>
      <c r="E25" s="120"/>
      <c r="I25" s="127">
        <f t="shared" si="4"/>
        <v>43739</v>
      </c>
      <c r="J25" s="214"/>
      <c r="K25" s="213"/>
      <c r="L25" s="213"/>
      <c r="M25" s="120"/>
    </row>
    <row r="26" spans="1:13" ht="12.75" customHeight="1">
      <c r="A26" s="171">
        <f t="shared" si="5"/>
        <v>43862</v>
      </c>
      <c r="B26" s="167"/>
      <c r="C26" s="119"/>
      <c r="D26" s="121"/>
      <c r="E26" s="120"/>
      <c r="I26" s="127">
        <f t="shared" si="4"/>
        <v>43922</v>
      </c>
      <c r="J26" s="214"/>
      <c r="K26" s="213"/>
      <c r="L26" s="213"/>
      <c r="M26" s="120"/>
    </row>
    <row r="27" spans="1:13" ht="12.75" customHeight="1">
      <c r="A27" s="171">
        <f t="shared" si="5"/>
        <v>44044</v>
      </c>
      <c r="B27" s="167"/>
      <c r="C27" s="119"/>
      <c r="D27" s="121"/>
      <c r="E27" s="120"/>
      <c r="I27" s="127">
        <f t="shared" si="4"/>
        <v>44105</v>
      </c>
      <c r="J27" s="214"/>
      <c r="K27" s="213"/>
      <c r="L27" s="213"/>
      <c r="M27" s="120"/>
    </row>
    <row r="28" spans="1:13" ht="12.75" customHeight="1">
      <c r="A28" s="171">
        <f t="shared" si="5"/>
        <v>44228</v>
      </c>
      <c r="B28" s="167"/>
      <c r="C28" s="119"/>
      <c r="D28" s="121"/>
      <c r="E28" s="120"/>
      <c r="I28" s="127">
        <f t="shared" si="4"/>
        <v>44287</v>
      </c>
      <c r="J28" s="214"/>
      <c r="K28" s="213"/>
      <c r="L28" s="213"/>
      <c r="M28" s="120"/>
    </row>
    <row r="29" spans="1:13" ht="12.75" customHeight="1">
      <c r="A29" s="171">
        <f t="shared" si="5"/>
        <v>44409</v>
      </c>
      <c r="B29" s="167"/>
      <c r="C29" s="119"/>
      <c r="D29" s="121"/>
      <c r="E29" s="120"/>
      <c r="I29" s="127">
        <f t="shared" si="4"/>
        <v>44470</v>
      </c>
      <c r="J29" s="214"/>
      <c r="K29" s="213"/>
      <c r="L29" s="213"/>
      <c r="M29" s="120"/>
    </row>
    <row r="30" spans="1:13" ht="12.75" customHeight="1">
      <c r="A30" s="171">
        <f t="shared" si="5"/>
        <v>44593</v>
      </c>
      <c r="B30" s="167"/>
      <c r="C30" s="119"/>
      <c r="D30" s="121"/>
      <c r="E30" s="120"/>
      <c r="I30" s="127">
        <f t="shared" si="4"/>
        <v>44652</v>
      </c>
      <c r="J30" s="214"/>
      <c r="K30" s="213"/>
      <c r="L30" s="213"/>
      <c r="M30" s="120"/>
    </row>
    <row r="31" spans="1:13" ht="12.75" customHeight="1">
      <c r="A31" s="171">
        <f t="shared" si="5"/>
        <v>44774</v>
      </c>
      <c r="B31" s="167"/>
      <c r="C31" s="119"/>
      <c r="D31" s="121"/>
      <c r="E31" s="120"/>
      <c r="I31" s="127">
        <f t="shared" si="4"/>
        <v>44835</v>
      </c>
      <c r="J31" s="214"/>
      <c r="K31" s="213"/>
      <c r="L31" s="213"/>
      <c r="M31" s="120"/>
    </row>
    <row r="32" spans="1:13" ht="12.75" customHeight="1">
      <c r="A32" s="171">
        <f t="shared" si="5"/>
        <v>44958</v>
      </c>
      <c r="B32" s="167"/>
      <c r="C32" s="119"/>
      <c r="D32" s="121"/>
      <c r="E32" s="120"/>
      <c r="I32" s="127">
        <f t="shared" si="4"/>
        <v>45017</v>
      </c>
      <c r="J32" s="214"/>
      <c r="K32" s="213"/>
      <c r="L32" s="213"/>
      <c r="M32" s="120"/>
    </row>
    <row r="33" spans="1:13" ht="12.75" customHeight="1">
      <c r="A33" s="171">
        <f t="shared" si="5"/>
        <v>45139</v>
      </c>
      <c r="B33" s="167"/>
      <c r="C33" s="119"/>
      <c r="D33" s="121"/>
      <c r="E33" s="120"/>
      <c r="I33" s="127">
        <f t="shared" si="4"/>
        <v>45200</v>
      </c>
      <c r="J33" s="214"/>
      <c r="K33" s="213"/>
      <c r="L33" s="213"/>
      <c r="M33" s="120"/>
    </row>
    <row r="34" spans="1:13" ht="12.75" customHeight="1">
      <c r="A34" s="171">
        <f t="shared" si="5"/>
        <v>45323</v>
      </c>
      <c r="B34" s="167"/>
      <c r="C34" s="119"/>
      <c r="D34" s="121"/>
      <c r="E34" s="120"/>
      <c r="I34" s="127">
        <f t="shared" si="4"/>
        <v>45383</v>
      </c>
      <c r="J34" s="214"/>
      <c r="K34" s="213"/>
      <c r="L34" s="213"/>
      <c r="M34" s="120"/>
    </row>
    <row r="35" spans="1:13" ht="12.75" customHeight="1">
      <c r="A35" s="171">
        <f t="shared" si="5"/>
        <v>45505</v>
      </c>
      <c r="B35" s="167"/>
      <c r="C35" s="119"/>
      <c r="D35" s="121"/>
      <c r="E35" s="120"/>
      <c r="I35" s="127">
        <f t="shared" si="4"/>
        <v>45566</v>
      </c>
      <c r="J35" s="214"/>
      <c r="K35" s="213"/>
      <c r="L35" s="213"/>
      <c r="M35" s="120"/>
    </row>
    <row r="36" spans="1:13" ht="12.75" customHeight="1">
      <c r="A36" s="171">
        <f t="shared" si="5"/>
        <v>45689</v>
      </c>
      <c r="B36" s="167"/>
      <c r="C36" s="119"/>
      <c r="D36" s="121"/>
      <c r="E36" s="120"/>
      <c r="I36" s="127">
        <f t="shared" si="4"/>
        <v>45748</v>
      </c>
      <c r="J36" s="214"/>
      <c r="K36" s="213"/>
      <c r="L36" s="213"/>
      <c r="M36" s="120"/>
    </row>
    <row r="37" spans="1:13" ht="12.75" customHeight="1">
      <c r="A37" s="171">
        <f t="shared" si="5"/>
        <v>45870</v>
      </c>
      <c r="B37" s="167"/>
      <c r="C37" s="119"/>
      <c r="D37" s="121"/>
      <c r="E37" s="120"/>
      <c r="I37" s="127">
        <f t="shared" si="4"/>
        <v>45931</v>
      </c>
      <c r="J37" s="214"/>
      <c r="K37" s="213"/>
      <c r="L37" s="213"/>
      <c r="M37" s="120"/>
    </row>
    <row r="38" spans="1:13" ht="12.75" customHeight="1">
      <c r="A38" s="171">
        <f t="shared" si="5"/>
        <v>46054</v>
      </c>
      <c r="B38" s="167"/>
      <c r="C38" s="119"/>
      <c r="D38" s="121"/>
      <c r="E38" s="120"/>
      <c r="I38" s="127">
        <f t="shared" si="4"/>
        <v>46113</v>
      </c>
      <c r="J38" s="214"/>
      <c r="K38" s="213"/>
      <c r="L38" s="213"/>
      <c r="M38" s="120"/>
    </row>
    <row r="39" spans="1:13" ht="12.75" customHeight="1">
      <c r="A39" s="171">
        <f t="shared" si="5"/>
        <v>46235</v>
      </c>
      <c r="B39" s="167"/>
      <c r="C39" s="119"/>
      <c r="D39" s="121"/>
      <c r="E39" s="120"/>
      <c r="I39" s="127">
        <f t="shared" si="4"/>
        <v>46296</v>
      </c>
      <c r="J39" s="214"/>
      <c r="K39" s="213"/>
      <c r="L39" s="213"/>
      <c r="M39" s="120"/>
    </row>
    <row r="40" spans="1:13" ht="12.75" customHeight="1">
      <c r="A40" s="171">
        <f t="shared" si="5"/>
        <v>46419</v>
      </c>
      <c r="B40" s="167"/>
      <c r="C40" s="119"/>
      <c r="D40" s="121"/>
      <c r="E40" s="120"/>
      <c r="I40" s="127">
        <f t="shared" si="4"/>
        <v>46478</v>
      </c>
      <c r="J40" s="214"/>
      <c r="K40" s="213"/>
      <c r="L40" s="213"/>
      <c r="M40" s="120"/>
    </row>
    <row r="41" spans="1:13" ht="12.75" customHeight="1">
      <c r="A41" s="171">
        <f t="shared" si="5"/>
        <v>46600</v>
      </c>
      <c r="B41" s="167"/>
      <c r="C41" s="119"/>
      <c r="D41" s="121"/>
      <c r="E41" s="120"/>
      <c r="I41" s="127">
        <f t="shared" si="4"/>
        <v>46661</v>
      </c>
      <c r="J41" s="214"/>
      <c r="K41" s="213"/>
      <c r="L41" s="213"/>
      <c r="M41" s="120"/>
    </row>
    <row r="42" spans="1:13" ht="12.75" customHeight="1">
      <c r="A42" s="171">
        <f t="shared" si="5"/>
        <v>46784</v>
      </c>
      <c r="B42" s="167"/>
      <c r="C42" s="119"/>
      <c r="D42" s="121"/>
      <c r="E42" s="120"/>
      <c r="I42" s="127">
        <f t="shared" si="4"/>
        <v>46844</v>
      </c>
      <c r="J42" s="214"/>
      <c r="K42" s="213"/>
      <c r="L42" s="213"/>
      <c r="M42" s="120"/>
    </row>
    <row r="43" spans="1:13" ht="12.75" customHeight="1">
      <c r="A43" s="171">
        <f t="shared" si="5"/>
        <v>46966</v>
      </c>
      <c r="B43" s="167"/>
      <c r="C43" s="119"/>
      <c r="D43" s="121"/>
      <c r="E43" s="120"/>
      <c r="I43" s="127">
        <f t="shared" si="4"/>
        <v>47027</v>
      </c>
      <c r="J43" s="214"/>
      <c r="K43" s="213"/>
      <c r="L43" s="213"/>
      <c r="M43" s="120"/>
    </row>
    <row r="44" spans="1:13" ht="12.75" customHeight="1">
      <c r="A44" s="171">
        <f t="shared" si="5"/>
        <v>47150</v>
      </c>
      <c r="B44" s="167"/>
      <c r="C44" s="119"/>
      <c r="D44" s="121"/>
      <c r="E44" s="120"/>
      <c r="I44" s="127">
        <f t="shared" si="4"/>
        <v>47209</v>
      </c>
      <c r="J44" s="214"/>
      <c r="K44" s="213"/>
      <c r="L44" s="213"/>
      <c r="M44" s="120"/>
    </row>
    <row r="45" spans="1:13" ht="12.75" customHeight="1">
      <c r="A45" s="171">
        <f t="shared" si="5"/>
        <v>47331</v>
      </c>
      <c r="B45" s="167"/>
      <c r="C45" s="119"/>
      <c r="D45" s="121"/>
      <c r="E45" s="120"/>
      <c r="I45" s="127">
        <f t="shared" si="4"/>
        <v>47392</v>
      </c>
      <c r="J45" s="214"/>
      <c r="K45" s="213"/>
      <c r="L45" s="213"/>
      <c r="M45" s="120"/>
    </row>
    <row r="46" spans="1:13" ht="12.75" customHeight="1">
      <c r="A46" s="171">
        <f t="shared" si="5"/>
        <v>47515</v>
      </c>
      <c r="B46" s="167"/>
      <c r="C46" s="119"/>
      <c r="D46" s="121"/>
      <c r="E46" s="120"/>
      <c r="I46" s="127">
        <f t="shared" si="4"/>
        <v>47574</v>
      </c>
      <c r="J46" s="214"/>
      <c r="K46" s="213"/>
      <c r="L46" s="213"/>
      <c r="M46" s="120"/>
    </row>
    <row r="47" spans="1:13" ht="12.75" customHeight="1">
      <c r="A47" s="171">
        <f t="shared" si="5"/>
        <v>47696</v>
      </c>
      <c r="B47" s="167"/>
      <c r="C47" s="119"/>
      <c r="D47" s="121"/>
      <c r="E47" s="120"/>
      <c r="I47" s="127">
        <f t="shared" si="4"/>
        <v>47757</v>
      </c>
      <c r="J47" s="214"/>
      <c r="K47" s="213"/>
      <c r="L47" s="213"/>
      <c r="M47" s="120"/>
    </row>
    <row r="48" spans="1:13" ht="12.75" customHeight="1">
      <c r="A48" s="171">
        <f t="shared" si="5"/>
        <v>47880</v>
      </c>
      <c r="B48" s="167"/>
      <c r="C48" s="119"/>
      <c r="D48" s="121"/>
      <c r="E48" s="120"/>
      <c r="I48" s="127">
        <f t="shared" si="4"/>
        <v>47939</v>
      </c>
      <c r="J48" s="214"/>
      <c r="K48" s="213"/>
      <c r="L48" s="213"/>
      <c r="M48" s="120"/>
    </row>
    <row r="49" spans="1:13" ht="12.75" customHeight="1">
      <c r="A49" s="171">
        <f t="shared" si="5"/>
        <v>48061</v>
      </c>
      <c r="B49" s="167"/>
      <c r="C49" s="119"/>
      <c r="D49" s="121"/>
      <c r="E49" s="120"/>
      <c r="I49" s="127">
        <f t="shared" si="4"/>
        <v>48122</v>
      </c>
      <c r="J49" s="214"/>
      <c r="K49" s="213"/>
      <c r="L49" s="213"/>
      <c r="M49" s="120"/>
    </row>
    <row r="50" spans="1:13" ht="12.75" customHeight="1">
      <c r="A50" s="171">
        <f t="shared" si="5"/>
        <v>48245</v>
      </c>
      <c r="B50" s="167"/>
      <c r="C50" s="119"/>
      <c r="D50" s="121"/>
      <c r="E50" s="120"/>
      <c r="I50" s="127">
        <f t="shared" si="4"/>
        <v>48305</v>
      </c>
      <c r="J50" s="214"/>
      <c r="K50" s="213"/>
      <c r="L50" s="213"/>
      <c r="M50" s="120"/>
    </row>
    <row r="51" spans="1:13" ht="12.75" customHeight="1">
      <c r="A51" s="171">
        <f t="shared" si="5"/>
        <v>48427</v>
      </c>
      <c r="B51" s="167"/>
      <c r="C51" s="119"/>
      <c r="D51" s="121"/>
      <c r="E51" s="120"/>
      <c r="I51" s="127">
        <f t="shared" si="4"/>
        <v>48488</v>
      </c>
      <c r="J51" s="214"/>
      <c r="K51" s="213"/>
      <c r="L51" s="213"/>
      <c r="M51" s="120"/>
    </row>
    <row r="52" spans="1:13" ht="12.75" customHeight="1">
      <c r="A52" s="171">
        <f t="shared" si="5"/>
        <v>48611</v>
      </c>
      <c r="B52" s="167"/>
      <c r="C52" s="119"/>
      <c r="D52" s="121"/>
      <c r="E52" s="120"/>
      <c r="I52" s="127">
        <f t="shared" si="4"/>
        <v>48670</v>
      </c>
      <c r="J52" s="214"/>
      <c r="K52" s="213"/>
      <c r="L52" s="213"/>
      <c r="M52" s="120"/>
    </row>
    <row r="53" spans="1:13" ht="12.75" customHeight="1">
      <c r="A53" s="171">
        <f t="shared" si="5"/>
        <v>48792</v>
      </c>
      <c r="B53" s="167"/>
      <c r="C53" s="119"/>
      <c r="D53" s="121"/>
      <c r="E53" s="120"/>
      <c r="I53" s="127">
        <f t="shared" si="4"/>
        <v>48853</v>
      </c>
      <c r="J53" s="214"/>
      <c r="K53" s="213"/>
      <c r="L53" s="213"/>
      <c r="M53" s="120"/>
    </row>
    <row r="54" spans="1:13" ht="12.75" customHeight="1">
      <c r="A54" s="171">
        <f t="shared" si="5"/>
        <v>48976</v>
      </c>
      <c r="B54" s="167"/>
      <c r="C54" s="119"/>
      <c r="D54" s="121"/>
      <c r="E54" s="120"/>
      <c r="I54" s="127">
        <f t="shared" si="4"/>
        <v>49035</v>
      </c>
      <c r="J54" s="214"/>
      <c r="K54" s="213"/>
      <c r="L54" s="213"/>
      <c r="M54" s="120"/>
    </row>
    <row r="55" spans="1:13" ht="12.75" customHeight="1">
      <c r="A55" s="171">
        <f t="shared" si="5"/>
        <v>49157</v>
      </c>
      <c r="B55" s="167"/>
      <c r="C55" s="119"/>
      <c r="D55" s="121"/>
      <c r="E55" s="120"/>
      <c r="I55" s="127">
        <f t="shared" si="4"/>
        <v>49218</v>
      </c>
      <c r="J55" s="214"/>
      <c r="K55" s="213"/>
      <c r="L55" s="213"/>
      <c r="M55" s="120"/>
    </row>
    <row r="56" spans="1:13" ht="12.75" customHeight="1">
      <c r="A56" s="171">
        <f t="shared" si="5"/>
        <v>49341</v>
      </c>
      <c r="B56" s="167"/>
      <c r="C56" s="119"/>
      <c r="D56" s="121"/>
      <c r="E56" s="120"/>
      <c r="I56" s="127">
        <f t="shared" si="4"/>
        <v>49400</v>
      </c>
      <c r="J56" s="214"/>
      <c r="K56" s="213"/>
      <c r="L56" s="213"/>
      <c r="M56" s="120"/>
    </row>
    <row r="57" spans="1:13" ht="12.75" customHeight="1">
      <c r="A57" s="171">
        <f t="shared" si="5"/>
        <v>49522</v>
      </c>
      <c r="B57" s="167"/>
      <c r="C57" s="119"/>
      <c r="D57" s="121"/>
      <c r="E57" s="120"/>
      <c r="I57" s="127">
        <f t="shared" si="4"/>
        <v>49583</v>
      </c>
      <c r="J57" s="214"/>
      <c r="K57" s="213"/>
      <c r="L57" s="213"/>
      <c r="M57" s="120"/>
    </row>
    <row r="58" spans="1:13" ht="12.75" customHeight="1">
      <c r="A58" s="171">
        <f t="shared" si="5"/>
        <v>49706</v>
      </c>
      <c r="B58" s="167"/>
      <c r="C58" s="119"/>
      <c r="D58" s="121"/>
      <c r="E58" s="120"/>
      <c r="I58" s="127">
        <f t="shared" si="4"/>
        <v>49766</v>
      </c>
      <c r="J58" s="214"/>
      <c r="K58" s="213"/>
      <c r="L58" s="213"/>
      <c r="M58" s="120"/>
    </row>
    <row r="59" spans="1:13" ht="12.75" customHeight="1">
      <c r="A59" s="171">
        <f t="shared" si="5"/>
        <v>49888</v>
      </c>
      <c r="B59" s="167"/>
      <c r="C59" s="119"/>
      <c r="D59" s="121"/>
      <c r="E59" s="120"/>
      <c r="I59" s="127">
        <f t="shared" si="4"/>
        <v>49949</v>
      </c>
      <c r="J59" s="214"/>
      <c r="K59" s="213"/>
      <c r="L59" s="213"/>
      <c r="M59" s="120"/>
    </row>
    <row r="60" spans="1:13" ht="12.75" customHeight="1">
      <c r="A60" s="171">
        <f t="shared" si="5"/>
        <v>50072</v>
      </c>
      <c r="B60" s="167"/>
      <c r="C60" s="119"/>
      <c r="D60" s="121"/>
      <c r="E60" s="120"/>
      <c r="I60" s="127">
        <f t="shared" si="4"/>
        <v>50131</v>
      </c>
      <c r="J60" s="214"/>
      <c r="K60" s="213"/>
      <c r="L60" s="213"/>
      <c r="M60" s="120"/>
    </row>
    <row r="61" spans="1:13" ht="12.75" customHeight="1">
      <c r="A61" s="171">
        <f t="shared" si="5"/>
        <v>50253</v>
      </c>
      <c r="B61" s="167"/>
      <c r="C61" s="119"/>
      <c r="D61" s="121"/>
      <c r="E61" s="120"/>
      <c r="I61" s="127">
        <f t="shared" si="4"/>
        <v>50314</v>
      </c>
      <c r="J61" s="214"/>
      <c r="K61" s="213"/>
      <c r="L61" s="213"/>
      <c r="M61" s="120"/>
    </row>
    <row r="62" spans="1:13" ht="12.75" customHeight="1">
      <c r="A62" s="171">
        <f t="shared" si="5"/>
        <v>50437</v>
      </c>
      <c r="B62" s="167"/>
      <c r="C62" s="119"/>
      <c r="D62" s="121"/>
      <c r="E62" s="120"/>
      <c r="I62" s="127">
        <f t="shared" si="4"/>
        <v>50496</v>
      </c>
      <c r="J62" s="214"/>
      <c r="K62" s="213"/>
      <c r="L62" s="213"/>
      <c r="M62" s="120"/>
    </row>
    <row r="63" spans="1:13" ht="12.75" customHeight="1">
      <c r="A63" s="171">
        <f t="shared" si="5"/>
        <v>50618</v>
      </c>
      <c r="B63" s="167"/>
      <c r="C63" s="119"/>
      <c r="D63" s="121"/>
      <c r="E63" s="120"/>
      <c r="I63" s="127">
        <f t="shared" ref="I63:I82" si="9">EDATE(A63,2)</f>
        <v>50679</v>
      </c>
      <c r="J63" s="214"/>
      <c r="K63" s="213"/>
      <c r="L63" s="213"/>
      <c r="M63" s="120"/>
    </row>
    <row r="64" spans="1:13" ht="12.75" customHeight="1">
      <c r="A64" s="171">
        <f t="shared" si="5"/>
        <v>50802</v>
      </c>
      <c r="B64" s="167"/>
      <c r="C64" s="119"/>
      <c r="D64" s="121"/>
      <c r="E64" s="120"/>
      <c r="I64" s="127">
        <f t="shared" si="9"/>
        <v>50861</v>
      </c>
      <c r="J64" s="214"/>
      <c r="K64" s="213"/>
      <c r="L64" s="213"/>
      <c r="M64" s="120"/>
    </row>
    <row r="65" spans="1:13" ht="12.75" customHeight="1">
      <c r="A65" s="171">
        <f t="shared" si="5"/>
        <v>50983</v>
      </c>
      <c r="B65" s="167"/>
      <c r="C65" s="119"/>
      <c r="D65" s="121"/>
      <c r="E65" s="120"/>
      <c r="I65" s="127">
        <f t="shared" si="9"/>
        <v>51044</v>
      </c>
      <c r="J65" s="214"/>
      <c r="K65" s="213"/>
      <c r="L65" s="213"/>
      <c r="M65" s="120"/>
    </row>
    <row r="66" spans="1:13" ht="12.75" customHeight="1">
      <c r="A66" s="171">
        <f t="shared" si="5"/>
        <v>51167</v>
      </c>
      <c r="B66" s="167"/>
      <c r="C66" s="119"/>
      <c r="D66" s="121"/>
      <c r="E66" s="120"/>
      <c r="I66" s="127">
        <f t="shared" si="9"/>
        <v>51227</v>
      </c>
      <c r="J66" s="214"/>
      <c r="K66" s="213"/>
      <c r="L66" s="213"/>
      <c r="M66" s="120"/>
    </row>
    <row r="67" spans="1:13" ht="12.75" customHeight="1">
      <c r="A67" s="171">
        <f t="shared" si="5"/>
        <v>51349</v>
      </c>
      <c r="B67" s="167"/>
      <c r="C67" s="119"/>
      <c r="D67" s="121"/>
      <c r="E67" s="120"/>
      <c r="I67" s="127">
        <f t="shared" si="9"/>
        <v>51410</v>
      </c>
      <c r="J67" s="214"/>
      <c r="K67" s="213"/>
      <c r="L67" s="213"/>
      <c r="M67" s="120"/>
    </row>
    <row r="68" spans="1:13" ht="12.75" customHeight="1">
      <c r="A68" s="171">
        <f t="shared" si="5"/>
        <v>51533</v>
      </c>
      <c r="B68" s="167"/>
      <c r="C68" s="119"/>
      <c r="D68" s="121"/>
      <c r="E68" s="120"/>
      <c r="I68" s="127">
        <f t="shared" si="9"/>
        <v>51592</v>
      </c>
      <c r="J68" s="214"/>
      <c r="K68" s="213"/>
      <c r="L68" s="213"/>
      <c r="M68" s="120"/>
    </row>
    <row r="69" spans="1:13" ht="12.75" customHeight="1">
      <c r="A69" s="171">
        <f t="shared" si="5"/>
        <v>51714</v>
      </c>
      <c r="B69" s="167"/>
      <c r="C69" s="119"/>
      <c r="D69" s="121"/>
      <c r="E69" s="120"/>
      <c r="I69" s="127">
        <f t="shared" si="9"/>
        <v>51775</v>
      </c>
      <c r="J69" s="214"/>
      <c r="K69" s="213"/>
      <c r="L69" s="213"/>
      <c r="M69" s="120"/>
    </row>
    <row r="70" spans="1:13" ht="12.75" customHeight="1">
      <c r="A70" s="171">
        <f t="shared" si="5"/>
        <v>51898</v>
      </c>
      <c r="B70" s="167"/>
      <c r="C70" s="119"/>
      <c r="D70" s="121"/>
      <c r="E70" s="120"/>
      <c r="I70" s="127">
        <f t="shared" si="9"/>
        <v>51957</v>
      </c>
      <c r="J70" s="214"/>
      <c r="K70" s="213"/>
      <c r="L70" s="213"/>
      <c r="M70" s="120"/>
    </row>
    <row r="71" spans="1:13" ht="12.75" customHeight="1">
      <c r="A71" s="171">
        <f t="shared" si="5"/>
        <v>52079</v>
      </c>
      <c r="B71" s="167"/>
      <c r="C71" s="119"/>
      <c r="D71" s="121"/>
      <c r="E71" s="120"/>
      <c r="I71" s="127">
        <f t="shared" si="9"/>
        <v>52140</v>
      </c>
      <c r="J71" s="214"/>
      <c r="K71" s="213"/>
      <c r="L71" s="213"/>
      <c r="M71" s="120"/>
    </row>
    <row r="72" spans="1:13" ht="12.75" customHeight="1">
      <c r="A72" s="171">
        <f t="shared" si="5"/>
        <v>52263</v>
      </c>
      <c r="B72" s="167"/>
      <c r="C72" s="119"/>
      <c r="D72" s="121"/>
      <c r="E72" s="120"/>
      <c r="I72" s="127">
        <f t="shared" si="9"/>
        <v>52322</v>
      </c>
      <c r="J72" s="214"/>
      <c r="K72" s="213"/>
      <c r="L72" s="213"/>
      <c r="M72" s="120"/>
    </row>
    <row r="73" spans="1:13" ht="12.75" customHeight="1">
      <c r="A73" s="171">
        <f t="shared" si="5"/>
        <v>52444</v>
      </c>
      <c r="B73" s="167"/>
      <c r="C73" s="119"/>
      <c r="D73" s="121"/>
      <c r="E73" s="120"/>
      <c r="I73" s="127">
        <f t="shared" si="9"/>
        <v>52505</v>
      </c>
      <c r="J73" s="214"/>
      <c r="K73" s="213"/>
      <c r="L73" s="213"/>
      <c r="M73" s="120"/>
    </row>
    <row r="74" spans="1:13" ht="12.75" customHeight="1">
      <c r="A74" s="171">
        <f t="shared" si="5"/>
        <v>52628</v>
      </c>
      <c r="B74" s="167"/>
      <c r="C74" s="119"/>
      <c r="D74" s="121"/>
      <c r="E74" s="120"/>
      <c r="I74" s="127">
        <f t="shared" si="9"/>
        <v>52688</v>
      </c>
      <c r="J74" s="214"/>
      <c r="K74" s="213"/>
      <c r="L74" s="213"/>
      <c r="M74" s="120"/>
    </row>
    <row r="75" spans="1:13" ht="12.75" customHeight="1">
      <c r="A75" s="171">
        <f t="shared" si="5"/>
        <v>52810</v>
      </c>
      <c r="B75" s="167"/>
      <c r="C75" s="119"/>
      <c r="D75" s="121"/>
      <c r="E75" s="120"/>
      <c r="I75" s="127">
        <f t="shared" si="9"/>
        <v>52871</v>
      </c>
      <c r="J75" s="214"/>
      <c r="K75" s="213"/>
      <c r="L75" s="213"/>
      <c r="M75" s="120"/>
    </row>
    <row r="76" spans="1:13" ht="12.75" customHeight="1">
      <c r="A76" s="171">
        <f t="shared" si="5"/>
        <v>52994</v>
      </c>
      <c r="B76" s="167"/>
      <c r="C76" s="119"/>
      <c r="D76" s="121"/>
      <c r="E76" s="120"/>
      <c r="I76" s="127">
        <f t="shared" si="9"/>
        <v>53053</v>
      </c>
      <c r="J76" s="214"/>
      <c r="K76" s="213"/>
      <c r="L76" s="213"/>
      <c r="M76" s="120"/>
    </row>
    <row r="77" spans="1:13" ht="12.75" customHeight="1">
      <c r="A77" s="171">
        <f t="shared" si="5"/>
        <v>53175</v>
      </c>
      <c r="B77" s="167"/>
      <c r="C77" s="119"/>
      <c r="D77" s="121"/>
      <c r="E77" s="120"/>
      <c r="I77" s="127">
        <f t="shared" si="9"/>
        <v>53236</v>
      </c>
      <c r="J77" s="214"/>
      <c r="K77" s="213"/>
      <c r="L77" s="213"/>
      <c r="M77" s="120"/>
    </row>
    <row r="78" spans="1:13" ht="12.75" customHeight="1">
      <c r="A78" s="171">
        <f t="shared" si="5"/>
        <v>53359</v>
      </c>
      <c r="B78" s="167"/>
      <c r="C78" s="119"/>
      <c r="D78" s="121"/>
      <c r="E78" s="120"/>
      <c r="I78" s="127">
        <f t="shared" si="9"/>
        <v>53418</v>
      </c>
      <c r="J78" s="214"/>
      <c r="K78" s="213"/>
      <c r="L78" s="213"/>
      <c r="M78" s="120"/>
    </row>
    <row r="79" spans="1:13" ht="12.75" customHeight="1">
      <c r="A79" s="171">
        <f t="shared" si="5"/>
        <v>53540</v>
      </c>
      <c r="B79" s="167"/>
      <c r="C79" s="119"/>
      <c r="D79" s="121"/>
      <c r="E79" s="120"/>
      <c r="I79" s="127">
        <f t="shared" si="9"/>
        <v>53601</v>
      </c>
      <c r="J79" s="214"/>
      <c r="K79" s="213"/>
      <c r="L79" s="213"/>
      <c r="M79" s="120"/>
    </row>
    <row r="80" spans="1:13" ht="12.75" customHeight="1">
      <c r="A80" s="171">
        <f t="shared" ref="A80:A82" si="10">EDATE(A79,6)</f>
        <v>53724</v>
      </c>
      <c r="B80" s="167"/>
      <c r="C80" s="119"/>
      <c r="D80" s="121"/>
      <c r="E80" s="120"/>
      <c r="I80" s="127">
        <f t="shared" si="9"/>
        <v>53783</v>
      </c>
      <c r="J80" s="214"/>
      <c r="K80" s="213"/>
      <c r="L80" s="213"/>
      <c r="M80" s="120"/>
    </row>
    <row r="81" spans="1:13" ht="12.75" customHeight="1">
      <c r="A81" s="171">
        <f t="shared" si="10"/>
        <v>53905</v>
      </c>
      <c r="B81" s="167"/>
      <c r="C81" s="119"/>
      <c r="D81" s="121"/>
      <c r="E81" s="120"/>
      <c r="I81" s="127">
        <f t="shared" si="9"/>
        <v>53966</v>
      </c>
      <c r="J81" s="214"/>
      <c r="K81" s="213"/>
      <c r="L81" s="213"/>
      <c r="M81" s="120"/>
    </row>
    <row r="82" spans="1:13" ht="13.5" customHeight="1" thickBot="1">
      <c r="A82" s="173">
        <f t="shared" si="10"/>
        <v>54089</v>
      </c>
      <c r="B82" s="169"/>
      <c r="C82" s="128"/>
      <c r="D82" s="129"/>
      <c r="E82" s="130"/>
      <c r="I82" s="139">
        <f t="shared" si="9"/>
        <v>54149</v>
      </c>
      <c r="J82" s="215"/>
      <c r="K82" s="216"/>
      <c r="L82" s="216"/>
      <c r="M82" s="130"/>
    </row>
    <row r="83" spans="1:13" ht="12.75" customHeight="1">
      <c r="C83" s="132">
        <f>AVERAGE(C3:C82)</f>
        <v>8.8759686147186125E-3</v>
      </c>
      <c r="D83" s="133">
        <f>AVERAGE(D2:D82)</f>
        <v>496.56572354725716</v>
      </c>
      <c r="E83" s="134">
        <f>AVERAGE(E3:E82)</f>
        <v>-20.384736409600325</v>
      </c>
      <c r="M83" s="134">
        <f>AVERAGE(M3:M82)</f>
        <v>-6376.5190476190455</v>
      </c>
    </row>
    <row r="85" spans="1:13">
      <c r="E85" t="s">
        <v>171</v>
      </c>
      <c r="G85" s="116">
        <f>SUM(G2:G82)</f>
        <v>66128.555055588746</v>
      </c>
      <c r="M85" t="s">
        <v>171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topLeftCell="A37" workbookViewId="0">
      <selection activeCell="B51" sqref="B51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87">
        <f>C3*D2</f>
        <v>63.609900000000003</v>
      </c>
      <c r="F2" s="87">
        <f>E2*D2</f>
        <v>9.4098125070000016</v>
      </c>
    </row>
    <row r="3" spans="3:8">
      <c r="C3">
        <v>430</v>
      </c>
      <c r="D3">
        <v>0.14732000000000001</v>
      </c>
      <c r="E3" s="87">
        <f>C3*D3</f>
        <v>63.3476</v>
      </c>
      <c r="G3" s="87">
        <f>D3*E3</f>
        <v>9.3323684320000009</v>
      </c>
    </row>
    <row r="4" spans="3:8">
      <c r="D4">
        <v>5.9817000000000002E-2</v>
      </c>
      <c r="E4" s="87">
        <f>C5*D4</f>
        <v>8.8050623999999988</v>
      </c>
      <c r="F4" s="87">
        <f>E4*D4</f>
        <v>0.52669241758079999</v>
      </c>
    </row>
    <row r="5" spans="3:8">
      <c r="C5" s="87">
        <f>4.6*32</f>
        <v>147.19999999999999</v>
      </c>
      <c r="D5">
        <v>5.9851000000000001E-2</v>
      </c>
      <c r="E5" s="87">
        <f>C5*D5</f>
        <v>8.8100671999999989</v>
      </c>
      <c r="G5" s="87">
        <f>D5*E5</f>
        <v>0.52729133198719991</v>
      </c>
    </row>
    <row r="6" spans="3:8">
      <c r="F6" s="87">
        <f>SUM(F2:F4)</f>
        <v>9.9365049245808024</v>
      </c>
      <c r="G6" s="87">
        <f>SUM(G2:G5)</f>
        <v>9.8596597639872012</v>
      </c>
    </row>
    <row r="8" spans="3:8">
      <c r="F8" t="s">
        <v>172</v>
      </c>
      <c r="G8">
        <v>386785</v>
      </c>
    </row>
    <row r="9" spans="3:8">
      <c r="F9" t="s">
        <v>173</v>
      </c>
      <c r="G9">
        <v>36372553</v>
      </c>
    </row>
    <row r="13" spans="3:8">
      <c r="D13">
        <v>217.11</v>
      </c>
      <c r="E13">
        <v>6</v>
      </c>
      <c r="F13" s="87">
        <f>D13*E13</f>
        <v>1302.6600000000001</v>
      </c>
      <c r="H13" s="87">
        <f>(6*5)+2</f>
        <v>32</v>
      </c>
    </row>
    <row r="14" spans="3:8">
      <c r="F14" s="87">
        <f>F13/H13</f>
        <v>40.708125000000003</v>
      </c>
    </row>
    <row r="15" spans="3:8">
      <c r="F15" s="87">
        <f>F14*12</f>
        <v>488.49750000000006</v>
      </c>
      <c r="G15" s="87">
        <f>F14*2</f>
        <v>81.416250000000005</v>
      </c>
    </row>
    <row r="19" spans="1:9">
      <c r="A19" t="s">
        <v>174</v>
      </c>
    </row>
    <row r="21" spans="1:9">
      <c r="B21" t="s">
        <v>175</v>
      </c>
      <c r="C21" s="135"/>
      <c r="F21" t="s">
        <v>176</v>
      </c>
    </row>
    <row r="22" spans="1:9">
      <c r="B22" t="s">
        <v>177</v>
      </c>
      <c r="C22" s="135"/>
      <c r="F22" t="s">
        <v>178</v>
      </c>
    </row>
    <row r="23" spans="1:9">
      <c r="B23" t="s">
        <v>179</v>
      </c>
      <c r="C23" t="s">
        <v>411</v>
      </c>
      <c r="I23" s="92"/>
    </row>
    <row r="26" spans="1:9">
      <c r="B26" s="92" t="s">
        <v>19</v>
      </c>
    </row>
    <row r="27" spans="1:9">
      <c r="B27" t="s">
        <v>180</v>
      </c>
    </row>
    <row r="28" spans="1:9">
      <c r="B28" s="95"/>
      <c r="C28" s="92"/>
      <c r="D28" s="92"/>
      <c r="E28" s="95"/>
      <c r="F28" s="95"/>
    </row>
    <row r="33" spans="1:9" ht="150">
      <c r="B33" s="136" t="s">
        <v>181</v>
      </c>
      <c r="I33" s="136" t="s">
        <v>188</v>
      </c>
    </row>
    <row r="34" spans="1:9">
      <c r="B34" s="137" t="s">
        <v>182</v>
      </c>
      <c r="I34" t="s">
        <v>189</v>
      </c>
    </row>
    <row r="35" spans="1:9">
      <c r="B35" t="s">
        <v>183</v>
      </c>
      <c r="I35" t="s">
        <v>190</v>
      </c>
    </row>
    <row r="36" spans="1:9">
      <c r="B36" t="s">
        <v>184</v>
      </c>
    </row>
    <row r="38" spans="1:9">
      <c r="B38" t="s">
        <v>185</v>
      </c>
    </row>
    <row r="41" spans="1:9">
      <c r="A41" t="s">
        <v>186</v>
      </c>
      <c r="B41" t="s">
        <v>187</v>
      </c>
    </row>
    <row r="45" spans="1:9">
      <c r="A45" t="s">
        <v>351</v>
      </c>
      <c r="B45" t="s">
        <v>74</v>
      </c>
    </row>
    <row r="47" spans="1:9">
      <c r="A47" t="s">
        <v>508</v>
      </c>
      <c r="B47" t="s">
        <v>413</v>
      </c>
    </row>
    <row r="48" spans="1:9">
      <c r="A48" t="s">
        <v>412</v>
      </c>
      <c r="B48" t="s">
        <v>413</v>
      </c>
    </row>
    <row r="49" spans="1:2">
      <c r="A49" t="s">
        <v>59</v>
      </c>
      <c r="B49" t="s">
        <v>413</v>
      </c>
    </row>
    <row r="50" spans="1:2">
      <c r="A50" t="s">
        <v>415</v>
      </c>
      <c r="B50" t="s">
        <v>414</v>
      </c>
    </row>
    <row r="51" spans="1:2">
      <c r="A51" t="s">
        <v>624</v>
      </c>
      <c r="B51" t="s">
        <v>413</v>
      </c>
    </row>
    <row r="52" spans="1:2">
      <c r="A52" t="s">
        <v>663</v>
      </c>
      <c r="B52" t="s">
        <v>662</v>
      </c>
    </row>
    <row r="53" spans="1:2">
      <c r="A53" t="s">
        <v>692</v>
      </c>
      <c r="B53" t="s">
        <v>693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31" t="s">
        <v>70</v>
      </c>
      <c r="J4" s="32" t="s">
        <v>71</v>
      </c>
      <c r="K4" s="296" t="s">
        <v>72</v>
      </c>
      <c r="L4" s="297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8">
        <v>1462.46</v>
      </c>
      <c r="L5" s="299"/>
      <c r="M5" s="82"/>
      <c r="N5" s="1"/>
      <c r="R5" s="3"/>
    </row>
    <row r="6" spans="1:22" ht="15.75">
      <c r="A6" s="163">
        <f>B6-E6</f>
        <v>0.62000000000000455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88">
        <v>423.18</v>
      </c>
      <c r="L6" s="289"/>
      <c r="M6" s="1" t="s">
        <v>112</v>
      </c>
      <c r="N6" s="1"/>
      <c r="R6" s="3"/>
    </row>
    <row r="7" spans="1:22" ht="15.75">
      <c r="A7" s="163">
        <f>B7-E7+39.65</f>
        <v>95.65</v>
      </c>
      <c r="B7" s="55">
        <v>56</v>
      </c>
      <c r="C7" s="33" t="s">
        <v>100</v>
      </c>
      <c r="D7" s="57"/>
      <c r="E7" s="58"/>
      <c r="F7" s="58"/>
      <c r="G7" s="33" t="s">
        <v>106</v>
      </c>
      <c r="H7" s="1"/>
      <c r="I7" s="62" t="s">
        <v>76</v>
      </c>
      <c r="J7" s="35" t="s">
        <v>77</v>
      </c>
      <c r="K7" s="288">
        <v>7102.9</v>
      </c>
      <c r="L7" s="289"/>
      <c r="M7" s="1"/>
      <c r="N7" s="1"/>
      <c r="R7" s="3"/>
    </row>
    <row r="8" spans="1:22" ht="15.75">
      <c r="A8" s="163">
        <v>0</v>
      </c>
      <c r="B8" s="55">
        <v>96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88">
        <v>1250</v>
      </c>
      <c r="L8" s="289"/>
      <c r="M8" s="1"/>
      <c r="N8" s="1"/>
      <c r="R8" s="3"/>
    </row>
    <row r="9" spans="1:22" ht="15.75">
      <c r="A9" s="163">
        <f t="shared" ref="A9:A12" si="0">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79</v>
      </c>
      <c r="K9" s="288">
        <v>100.34</v>
      </c>
      <c r="L9" s="289"/>
      <c r="M9" s="1"/>
      <c r="N9" s="1"/>
      <c r="R9" s="3"/>
    </row>
    <row r="10" spans="1:22" ht="15.75">
      <c r="A10" s="163">
        <f t="shared" si="0"/>
        <v>3</v>
      </c>
      <c r="B10" s="55">
        <v>15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80</v>
      </c>
      <c r="K10" s="288">
        <f>5007.8</f>
        <v>5007.8</v>
      </c>
      <c r="L10" s="289"/>
      <c r="M10" s="82"/>
      <c r="N10" s="1"/>
      <c r="R10" s="3"/>
    </row>
    <row r="11" spans="1:22" ht="15.75">
      <c r="A11" s="163">
        <f t="shared" si="0"/>
        <v>0.76000000000000156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76</v>
      </c>
      <c r="J11" s="35" t="s">
        <v>81</v>
      </c>
      <c r="K11" s="288">
        <v>1566.09</v>
      </c>
      <c r="L11" s="289"/>
      <c r="M11" s="1" t="s">
        <v>82</v>
      </c>
      <c r="N11" s="1"/>
      <c r="R11" s="3"/>
    </row>
    <row r="12" spans="1:22" ht="15.75">
      <c r="A12" s="163">
        <f t="shared" si="0"/>
        <v>156.38</v>
      </c>
      <c r="B12" s="55">
        <v>200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76</v>
      </c>
      <c r="J12" s="35" t="s">
        <v>115</v>
      </c>
      <c r="K12" s="288">
        <v>1800</v>
      </c>
      <c r="L12" s="289"/>
      <c r="N12" s="1"/>
      <c r="R12" s="3"/>
    </row>
    <row r="13" spans="1:22" ht="15.75">
      <c r="A13" s="163">
        <f>B13-D13-E13</f>
        <v>5</v>
      </c>
      <c r="B13" s="55">
        <v>55</v>
      </c>
      <c r="C13" s="33" t="s">
        <v>196</v>
      </c>
      <c r="D13" s="57">
        <v>50</v>
      </c>
      <c r="E13" s="58"/>
      <c r="F13" s="58"/>
      <c r="G13" s="33" t="s">
        <v>217</v>
      </c>
      <c r="H13" s="1"/>
      <c r="I13" s="62" t="s">
        <v>93</v>
      </c>
      <c r="J13" s="35" t="s">
        <v>94</v>
      </c>
      <c r="K13" s="288">
        <f>75+20+95</f>
        <v>190</v>
      </c>
      <c r="L13" s="289"/>
      <c r="M13" s="1"/>
      <c r="N13" s="1"/>
      <c r="R13" s="3"/>
    </row>
    <row r="14" spans="1:22" ht="15.75">
      <c r="A14" s="163">
        <f>B14-E14</f>
        <v>25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8"/>
      <c r="L14" s="289"/>
      <c r="M14" s="1"/>
      <c r="N14" s="1"/>
      <c r="R14" s="3"/>
    </row>
    <row r="15" spans="1:22" ht="15.75">
      <c r="A15" s="163">
        <f>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88"/>
      <c r="L15" s="289"/>
      <c r="M15" s="1"/>
      <c r="N15" s="1"/>
      <c r="R15" s="3"/>
    </row>
    <row r="16" spans="1:22" ht="15.75">
      <c r="A16" s="163">
        <f>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8"/>
      <c r="L16" s="28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8"/>
      <c r="L17" s="28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4"/>
      <c r="L18" s="30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4">
        <f>SUM(K5:K18)-K11</f>
        <v>17336.68</v>
      </c>
      <c r="L19" s="305"/>
      <c r="M19" s="1"/>
      <c r="N19" s="1"/>
      <c r="R19" s="3"/>
    </row>
    <row r="20" spans="1:18" ht="16.5" thickBot="1">
      <c r="A20" s="163">
        <f>SUM(A6:A16)</f>
        <v>286.41000000000003</v>
      </c>
      <c r="B20" s="56">
        <f>SUM(B6:B19)</f>
        <v>879</v>
      </c>
      <c r="C20" s="34" t="s">
        <v>66</v>
      </c>
      <c r="D20" s="56">
        <f>SUM(D6:D19)</f>
        <v>50</v>
      </c>
      <c r="E20" s="56">
        <f>SUM(E6:E19)</f>
        <v>486.24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</f>
        <v>12328.880000000001</v>
      </c>
      <c r="M20" s="1"/>
      <c r="R20" s="3"/>
    </row>
    <row r="21" spans="1:18" ht="16.5" thickBot="1">
      <c r="A21" s="1">
        <v>286.41000000000003</v>
      </c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296" t="s">
        <v>134</v>
      </c>
      <c r="L24" s="297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4</v>
      </c>
      <c r="J25" s="3" t="s">
        <v>209</v>
      </c>
      <c r="K25" s="298">
        <v>1.01</v>
      </c>
      <c r="L25" s="299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4</v>
      </c>
      <c r="J26" s="35" t="s">
        <v>210</v>
      </c>
      <c r="K26" s="288">
        <v>0.04</v>
      </c>
      <c r="L26" s="289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f>182.14+151.17</f>
        <v>333.30999999999995</v>
      </c>
      <c r="E27" s="58"/>
      <c r="F27" s="58"/>
      <c r="G27" s="33" t="s">
        <v>44</v>
      </c>
      <c r="H27" s="1"/>
      <c r="I27" s="151">
        <v>4</v>
      </c>
      <c r="J27" s="35" t="s">
        <v>212</v>
      </c>
      <c r="K27" s="288">
        <v>2831.41</v>
      </c>
      <c r="L27" s="289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2</v>
      </c>
      <c r="J28" s="35" t="s">
        <v>215</v>
      </c>
      <c r="K28" s="288">
        <v>72.66</v>
      </c>
      <c r="L28" s="289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6</v>
      </c>
      <c r="J29" s="35" t="s">
        <v>223</v>
      </c>
      <c r="K29" s="288">
        <v>93.93</v>
      </c>
      <c r="L29" s="289"/>
      <c r="M29" s="1"/>
      <c r="R29" s="3"/>
    </row>
    <row r="30" spans="1:18" ht="15.75">
      <c r="A30" s="1"/>
      <c r="B30" s="55">
        <v>229.4</v>
      </c>
      <c r="C30" s="66" t="s">
        <v>256</v>
      </c>
      <c r="D30" s="57"/>
      <c r="E30" s="58"/>
      <c r="F30" s="58"/>
      <c r="G30" s="33"/>
      <c r="H30" s="1"/>
      <c r="I30" s="151">
        <v>5</v>
      </c>
      <c r="J30" s="35" t="s">
        <v>241</v>
      </c>
      <c r="K30" s="288">
        <v>700</v>
      </c>
      <c r="L30" s="28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>
        <v>5</v>
      </c>
      <c r="J31" s="35" t="s">
        <v>242</v>
      </c>
      <c r="K31" s="288">
        <v>50</v>
      </c>
      <c r="L31" s="28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>
        <v>9</v>
      </c>
      <c r="J32" s="35" t="s">
        <v>44</v>
      </c>
      <c r="K32" s="288">
        <v>229.4</v>
      </c>
      <c r="L32" s="28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>
        <v>4</v>
      </c>
      <c r="J33" s="35" t="s">
        <v>261</v>
      </c>
      <c r="K33" s="288">
        <v>0.05</v>
      </c>
      <c r="L33" s="28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>
        <v>9</v>
      </c>
      <c r="J34" s="35" t="s">
        <v>262</v>
      </c>
      <c r="K34" s="288">
        <v>1566.27</v>
      </c>
      <c r="L34" s="28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>
        <v>5</v>
      </c>
      <c r="J35" s="35" t="s">
        <v>275</v>
      </c>
      <c r="K35" s="288">
        <v>449</v>
      </c>
      <c r="L35" s="28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>
        <v>2</v>
      </c>
      <c r="J36" s="35" t="s">
        <v>276</v>
      </c>
      <c r="K36" s="288">
        <v>314.12</v>
      </c>
      <c r="L36" s="28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8"/>
      <c r="L37" s="28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4"/>
      <c r="L38" s="30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1387.4</v>
      </c>
      <c r="C40" s="34" t="s">
        <v>66</v>
      </c>
      <c r="D40" s="56">
        <f>SUM(D26:D39)</f>
        <v>1250.77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60.95+91.57+D61</f>
        <v>186.67999999999998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24.87+35.21-D146</f>
        <v>31.08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39.1+19.94</f>
        <v>59.040000000000006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/>
      <c r="C49" s="33"/>
      <c r="D49" s="57"/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26.63</f>
        <v>26.63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>
        <f>34.27</f>
        <v>34.270000000000003</v>
      </c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28.6</f>
        <v>28.6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>
        <f>89.39-D295</f>
        <v>80</v>
      </c>
      <c r="E55" s="58"/>
      <c r="F55" s="58"/>
      <c r="G55" s="33" t="s">
        <v>250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 t="s">
        <v>46</v>
      </c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400</v>
      </c>
      <c r="C60" s="34" t="s">
        <v>66</v>
      </c>
      <c r="D60" s="56">
        <f>SUM(D46:D59)</f>
        <v>446.3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82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32.4+23.81+29.48</f>
        <v>85.69</v>
      </c>
      <c r="E66" s="58"/>
      <c r="F66" s="58"/>
      <c r="G66" s="36" t="s">
        <v>207</v>
      </c>
      <c r="H66" s="1"/>
      <c r="M66" s="1"/>
      <c r="R66" s="3"/>
    </row>
    <row r="67" spans="1:18" ht="15.75">
      <c r="A67" s="1"/>
      <c r="B67" s="55"/>
      <c r="C67" s="33"/>
      <c r="D67" s="57">
        <v>33</v>
      </c>
      <c r="E67" s="58"/>
      <c r="F67" s="58"/>
      <c r="G67" s="70" t="s">
        <v>222</v>
      </c>
      <c r="H67" s="1"/>
      <c r="M67" s="1"/>
      <c r="R67" s="3"/>
    </row>
    <row r="68" spans="1:18" ht="15.75">
      <c r="A68" s="1"/>
      <c r="B68" s="55"/>
      <c r="C68" s="33"/>
      <c r="D68" s="57">
        <f>15+17.5</f>
        <v>32.5</v>
      </c>
      <c r="E68" s="58"/>
      <c r="F68" s="58"/>
      <c r="G68" s="33" t="s">
        <v>231</v>
      </c>
      <c r="H68" s="1"/>
      <c r="M68" s="1"/>
      <c r="R68" s="3"/>
    </row>
    <row r="69" spans="1:18" ht="15.75">
      <c r="A69" s="1"/>
      <c r="B69" s="55"/>
      <c r="C69" s="33"/>
      <c r="D69" s="57"/>
      <c r="E69" s="58">
        <v>10</v>
      </c>
      <c r="F69" s="58"/>
      <c r="G69" s="33" t="s">
        <v>270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151.19</v>
      </c>
      <c r="E80" s="56">
        <f>SUM(E66:E79)</f>
        <v>10</v>
      </c>
      <c r="F80" s="56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48.73+46.36+45.09</f>
        <v>140.18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>
        <f>6.16+12</f>
        <v>18.16</v>
      </c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140.18</v>
      </c>
      <c r="E100" s="56">
        <f>SUM(E86:E99)</f>
        <v>18.16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 t="s">
        <v>89</v>
      </c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f>20</f>
        <v>20</v>
      </c>
      <c r="C127" s="33" t="s">
        <v>58</v>
      </c>
      <c r="D127" s="57">
        <f>10</f>
        <v>10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47.5</v>
      </c>
      <c r="C140" s="34" t="s">
        <v>66</v>
      </c>
      <c r="D140" s="56">
        <f>SUM(D126:D139)</f>
        <v>37.5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>
        <f>29</f>
        <v>29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f>15.38</f>
        <v>15.38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44.38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365.12</v>
      </c>
      <c r="E166" s="58"/>
      <c r="F166" s="58"/>
      <c r="G166" s="33" t="s">
        <v>211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700</v>
      </c>
      <c r="C167" s="33" t="s">
        <v>241</v>
      </c>
      <c r="D167" s="57"/>
      <c r="E167" s="58"/>
      <c r="F167" s="58">
        <f>78</f>
        <v>78</v>
      </c>
      <c r="G167" s="33" t="s">
        <v>244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>
        <v>50</v>
      </c>
      <c r="G168" s="33" t="s">
        <v>245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>
        <f>14+11.3+3.95</f>
        <v>29.25</v>
      </c>
      <c r="E169" s="58"/>
      <c r="F169" s="58"/>
      <c r="G169" s="33" t="s">
        <v>252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>
        <v>383.95</v>
      </c>
      <c r="E170" s="58"/>
      <c r="F170" s="58"/>
      <c r="G170" s="33" t="s">
        <v>253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>
        <v>80</v>
      </c>
      <c r="E171" s="58"/>
      <c r="F171" s="58"/>
      <c r="G171" s="33" t="s">
        <v>258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>
        <f>71.1</f>
        <v>71.099999999999994</v>
      </c>
      <c r="F172" s="58"/>
      <c r="G172" s="33" t="s">
        <v>268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900</v>
      </c>
      <c r="C180" s="34" t="s">
        <v>66</v>
      </c>
      <c r="D180" s="56">
        <f>SUM(D166:D179)</f>
        <v>858.31999999999994</v>
      </c>
      <c r="E180" s="56">
        <f>SUM(E166:E179)</f>
        <v>71.099999999999994</v>
      </c>
      <c r="F180" s="56">
        <f>SUM(F166:F179)</f>
        <v>128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6</f>
        <v>6</v>
      </c>
      <c r="E186" s="58"/>
      <c r="F186" s="58"/>
      <c r="G186" s="33" t="s">
        <v>232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25.75</v>
      </c>
      <c r="E187" s="58"/>
      <c r="F187" s="58"/>
      <c r="G187" s="33" t="s">
        <v>226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32.5</v>
      </c>
      <c r="E188" s="58"/>
      <c r="F188" s="58"/>
      <c r="G188" s="33" t="s">
        <v>227</v>
      </c>
    </row>
    <row r="189" spans="1:22">
      <c r="B189" s="55"/>
      <c r="C189" s="33"/>
      <c r="D189" s="57"/>
      <c r="E189" s="58">
        <f>60</f>
        <v>60</v>
      </c>
      <c r="F189" s="58"/>
      <c r="G189" s="33" t="s">
        <v>229</v>
      </c>
    </row>
    <row r="190" spans="1:22">
      <c r="B190" s="55"/>
      <c r="C190" s="33"/>
      <c r="D190" s="57">
        <f>11.4</f>
        <v>11.4</v>
      </c>
      <c r="E190" s="58"/>
      <c r="F190" s="58"/>
      <c r="G190" s="33" t="s">
        <v>233</v>
      </c>
    </row>
    <row r="191" spans="1:22">
      <c r="B191" s="55"/>
      <c r="C191" s="33"/>
      <c r="D191" s="57">
        <f>25.98</f>
        <v>25.98</v>
      </c>
      <c r="E191" s="58"/>
      <c r="F191" s="58"/>
      <c r="G191" s="33" t="s">
        <v>235</v>
      </c>
    </row>
    <row r="192" spans="1:22">
      <c r="B192" s="55"/>
      <c r="C192" s="33"/>
      <c r="D192" s="57"/>
      <c r="E192" s="58"/>
      <c r="F192" s="58">
        <v>5</v>
      </c>
      <c r="G192" s="33" t="s">
        <v>246</v>
      </c>
    </row>
    <row r="193" spans="2:7">
      <c r="B193" s="55"/>
      <c r="C193" s="33"/>
      <c r="D193" s="57">
        <v>51.9</v>
      </c>
      <c r="E193" s="58"/>
      <c r="F193" s="58"/>
      <c r="G193" s="33" t="s">
        <v>255</v>
      </c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153.53</v>
      </c>
      <c r="E200" s="56">
        <f>SUM(E186:E199)</f>
        <v>60</v>
      </c>
      <c r="F200" s="56">
        <f>SUM(F186:F199)</f>
        <v>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>
        <f>11.48</f>
        <v>11.48</v>
      </c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>
        <v>45</v>
      </c>
      <c r="G207" s="33" t="s">
        <v>243</v>
      </c>
    </row>
    <row r="208" spans="2:7">
      <c r="B208" s="55"/>
      <c r="C208" s="33"/>
      <c r="D208" s="57">
        <f>26.95+19.5</f>
        <v>46.45</v>
      </c>
      <c r="E208" s="58"/>
      <c r="F208" s="58"/>
      <c r="G208" s="33" t="s">
        <v>260</v>
      </c>
    </row>
    <row r="209" spans="2:7">
      <c r="B209" s="55"/>
      <c r="C209" s="33"/>
      <c r="D209" s="57">
        <v>19.440000000000001</v>
      </c>
      <c r="E209" s="58"/>
      <c r="F209" s="58"/>
      <c r="G209" s="33" t="s">
        <v>97</v>
      </c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77.37</v>
      </c>
      <c r="E220" s="56">
        <f>SUM(E206:E219)</f>
        <v>0</v>
      </c>
      <c r="F220" s="56">
        <f>SUM(F206:F219)</f>
        <v>45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33" t="s">
        <v>50</v>
      </c>
    </row>
    <row r="227" spans="2:7">
      <c r="B227" s="55">
        <v>45</v>
      </c>
      <c r="C227" s="33" t="s">
        <v>102</v>
      </c>
      <c r="D227" s="57"/>
      <c r="E227" s="58"/>
      <c r="F227" s="58">
        <v>120</v>
      </c>
      <c r="G227" s="33" t="s">
        <v>228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70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120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50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/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>
        <f>151.88</f>
        <v>151.88</v>
      </c>
      <c r="E249" s="58"/>
      <c r="F249" s="58"/>
      <c r="G249" s="33" t="s">
        <v>205</v>
      </c>
    </row>
    <row r="250" spans="2:7">
      <c r="B250" s="55"/>
      <c r="C250" s="33"/>
      <c r="D250" s="57">
        <f>15.5</f>
        <v>15.5</v>
      </c>
      <c r="E250" s="58"/>
      <c r="F250" s="58"/>
      <c r="G250" s="33" t="s">
        <v>238</v>
      </c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167.38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8">
      <c r="B273" s="55"/>
      <c r="C273" s="33"/>
      <c r="D273" s="57"/>
      <c r="E273" s="58"/>
      <c r="F273" s="58"/>
      <c r="G273" s="33"/>
    </row>
    <row r="274" spans="2:8">
      <c r="B274" s="55"/>
      <c r="C274" s="33"/>
      <c r="D274" s="57"/>
      <c r="E274" s="58"/>
      <c r="F274" s="58"/>
      <c r="G274" s="33"/>
    </row>
    <row r="275" spans="2:8">
      <c r="B275" s="55"/>
      <c r="C275" s="33"/>
      <c r="D275" s="57"/>
      <c r="E275" s="58"/>
      <c r="F275" s="58"/>
      <c r="G275" s="33"/>
    </row>
    <row r="276" spans="2:8">
      <c r="B276" s="55"/>
      <c r="C276" s="33"/>
      <c r="D276" s="57"/>
      <c r="E276" s="58"/>
      <c r="F276" s="58"/>
      <c r="G276" s="33"/>
    </row>
    <row r="277" spans="2:8">
      <c r="B277" s="55"/>
      <c r="C277" s="33"/>
      <c r="D277" s="57"/>
      <c r="E277" s="58"/>
      <c r="F277" s="58"/>
      <c r="G277" s="33"/>
    </row>
    <row r="278" spans="2:8">
      <c r="B278" s="55"/>
      <c r="C278" s="33"/>
      <c r="D278" s="57"/>
      <c r="E278" s="58"/>
      <c r="F278" s="58"/>
      <c r="G278" s="33"/>
    </row>
    <row r="279" spans="2:8" ht="15.75" thickBot="1">
      <c r="B279" s="56"/>
      <c r="C279" s="34"/>
      <c r="D279" s="56"/>
      <c r="E279" s="59"/>
      <c r="F279" s="59"/>
      <c r="G279" s="34"/>
    </row>
    <row r="280" spans="2:8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8" ht="15" customHeight="1" thickBot="1">
      <c r="B283" s="293"/>
      <c r="C283" s="294"/>
      <c r="D283" s="294"/>
      <c r="E283" s="294"/>
      <c r="F283" s="294"/>
      <c r="G283" s="295"/>
    </row>
    <row r="284" spans="2:8">
      <c r="B284" s="301" t="s">
        <v>10</v>
      </c>
      <c r="C284" s="302"/>
      <c r="D284" s="303" t="s">
        <v>11</v>
      </c>
      <c r="E284" s="303"/>
      <c r="F284" s="303"/>
      <c r="G284" s="302"/>
    </row>
    <row r="285" spans="2:8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8">
      <c r="B286" s="54">
        <v>100</v>
      </c>
      <c r="C286" s="36" t="s">
        <v>36</v>
      </c>
      <c r="D286" s="57"/>
      <c r="E286" s="58">
        <f>22.02+4.79</f>
        <v>26.81</v>
      </c>
      <c r="F286" s="58"/>
      <c r="G286" s="33" t="s">
        <v>218</v>
      </c>
    </row>
    <row r="287" spans="2:8">
      <c r="B287" s="55">
        <v>345</v>
      </c>
      <c r="C287" s="33" t="s">
        <v>214</v>
      </c>
      <c r="D287" s="57">
        <f>116.33+27.98+20</f>
        <v>164.31</v>
      </c>
      <c r="E287" s="58">
        <f>38+43.59</f>
        <v>81.59</v>
      </c>
      <c r="F287" s="58"/>
      <c r="G287" s="33" t="s">
        <v>220</v>
      </c>
      <c r="H287" s="140">
        <f>300-(D287+E287+F287)</f>
        <v>54.099999999999994</v>
      </c>
    </row>
    <row r="288" spans="2:8">
      <c r="B288" s="55">
        <v>449</v>
      </c>
      <c r="C288" s="33" t="s">
        <v>274</v>
      </c>
      <c r="D288" s="57">
        <f>8.98</f>
        <v>8.98</v>
      </c>
      <c r="E288" s="58"/>
      <c r="F288" s="58"/>
      <c r="G288" s="33" t="s">
        <v>221</v>
      </c>
    </row>
    <row r="289" spans="2:8">
      <c r="B289" s="55"/>
      <c r="C289" s="33"/>
      <c r="D289" s="57">
        <f>33.2</f>
        <v>33.200000000000003</v>
      </c>
      <c r="E289" s="58"/>
      <c r="F289" s="58"/>
      <c r="G289" s="33" t="s">
        <v>230</v>
      </c>
    </row>
    <row r="290" spans="2:8">
      <c r="B290" s="55"/>
      <c r="C290" s="33"/>
      <c r="D290" s="57">
        <f>14.6</f>
        <v>14.6</v>
      </c>
      <c r="E290" s="58"/>
      <c r="F290" s="58"/>
      <c r="G290" s="33" t="s">
        <v>234</v>
      </c>
    </row>
    <row r="291" spans="2:8">
      <c r="B291" s="55"/>
      <c r="C291" s="33"/>
      <c r="D291" s="57">
        <f>21.95</f>
        <v>21.95</v>
      </c>
      <c r="E291" s="58"/>
      <c r="F291" s="58"/>
      <c r="G291" s="33" t="s">
        <v>236</v>
      </c>
    </row>
    <row r="292" spans="2:8">
      <c r="B292" s="55"/>
      <c r="C292" s="33"/>
      <c r="D292" s="57">
        <f>26.35+16.8</f>
        <v>43.150000000000006</v>
      </c>
      <c r="E292" s="58"/>
      <c r="F292" s="58"/>
      <c r="G292" s="33" t="s">
        <v>240</v>
      </c>
      <c r="H292" s="140">
        <f>45-(D292+E292+F292)</f>
        <v>1.8499999999999943</v>
      </c>
    </row>
    <row r="293" spans="2:8">
      <c r="B293" s="55"/>
      <c r="C293" s="33"/>
      <c r="D293" s="57">
        <f>(4.69*3)</f>
        <v>14.07</v>
      </c>
      <c r="E293" s="58"/>
      <c r="F293" s="58"/>
      <c r="G293" s="33" t="s">
        <v>47</v>
      </c>
    </row>
    <row r="294" spans="2:8">
      <c r="B294" s="55"/>
      <c r="C294" s="33"/>
      <c r="D294" s="57"/>
      <c r="E294" s="58"/>
      <c r="F294" s="58">
        <v>160</v>
      </c>
      <c r="G294" s="33" t="s">
        <v>248</v>
      </c>
    </row>
    <row r="295" spans="2:8">
      <c r="B295" s="55"/>
      <c r="C295" s="33"/>
      <c r="D295" s="57">
        <f>9.39</f>
        <v>9.39</v>
      </c>
      <c r="E295" s="58"/>
      <c r="F295" s="58"/>
      <c r="G295" s="33" t="s">
        <v>249</v>
      </c>
    </row>
    <row r="296" spans="2:8">
      <c r="B296" s="55"/>
      <c r="C296" s="33"/>
      <c r="D296" s="57">
        <v>449</v>
      </c>
      <c r="E296" s="58"/>
      <c r="F296" s="58"/>
      <c r="G296" s="33" t="s">
        <v>254</v>
      </c>
      <c r="H296" s="140">
        <f>626.6-D296</f>
        <v>177.60000000000002</v>
      </c>
    </row>
    <row r="297" spans="2:8">
      <c r="B297" s="55"/>
      <c r="C297" s="33"/>
      <c r="D297" s="57">
        <v>36.200000000000003</v>
      </c>
      <c r="E297" s="58"/>
      <c r="F297" s="58"/>
      <c r="G297" s="33" t="s">
        <v>257</v>
      </c>
    </row>
    <row r="298" spans="2:8">
      <c r="B298" s="55"/>
      <c r="C298" s="33"/>
      <c r="D298" s="57"/>
      <c r="E298" s="58"/>
      <c r="F298" s="58"/>
      <c r="G298" s="33"/>
    </row>
    <row r="299" spans="2:8" ht="15.75" thickBot="1">
      <c r="B299" s="56"/>
      <c r="C299" s="34"/>
      <c r="D299" s="56"/>
      <c r="E299" s="59"/>
      <c r="F299" s="59"/>
      <c r="G299" s="34"/>
    </row>
    <row r="300" spans="2:8" ht="15.75" thickBot="1">
      <c r="B300" s="56">
        <f>SUM(B286:B299)</f>
        <v>894</v>
      </c>
      <c r="C300" s="34" t="s">
        <v>66</v>
      </c>
      <c r="D300" s="56">
        <f>SUM(D286:D299)</f>
        <v>794.85</v>
      </c>
      <c r="E300" s="56">
        <f>SUM(E286:E299)</f>
        <v>108.4</v>
      </c>
      <c r="F300" s="56">
        <f>SUM(F286:F299)</f>
        <v>160</v>
      </c>
      <c r="G300" s="34" t="s">
        <v>66</v>
      </c>
    </row>
    <row r="301" spans="2:8" ht="15.75" thickBot="1">
      <c r="B301" s="3"/>
      <c r="C301" s="3"/>
      <c r="D301" s="3"/>
      <c r="E301" s="3"/>
    </row>
    <row r="302" spans="2:8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8" ht="15" customHeight="1" thickBot="1">
      <c r="B303" s="293"/>
      <c r="C303" s="294"/>
      <c r="D303" s="294"/>
      <c r="E303" s="294"/>
      <c r="F303" s="294"/>
      <c r="G303" s="295"/>
    </row>
    <row r="304" spans="2:8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>
        <f>35.23</f>
        <v>35.229999999999997</v>
      </c>
      <c r="E306" s="58"/>
      <c r="F306" s="58"/>
      <c r="G306" s="33" t="s">
        <v>216</v>
      </c>
    </row>
    <row r="307" spans="2:7">
      <c r="B307" s="84"/>
      <c r="C307" s="66"/>
      <c r="D307" s="57">
        <f>10.89+37.34-7</f>
        <v>41.230000000000004</v>
      </c>
      <c r="E307" s="58"/>
      <c r="F307" s="58"/>
      <c r="G307" s="33" t="s">
        <v>97</v>
      </c>
    </row>
    <row r="308" spans="2:7">
      <c r="B308" s="84"/>
      <c r="C308" s="66"/>
      <c r="D308" s="57">
        <f>34.5+34.5</f>
        <v>69</v>
      </c>
      <c r="E308" s="58"/>
      <c r="F308" s="58"/>
      <c r="G308" s="33" t="s">
        <v>225</v>
      </c>
    </row>
    <row r="309" spans="2:7">
      <c r="B309" s="55"/>
      <c r="C309" s="33"/>
      <c r="D309" s="57"/>
      <c r="E309" s="58"/>
      <c r="F309" s="58">
        <f>50</f>
        <v>50</v>
      </c>
      <c r="G309" s="33" t="s">
        <v>239</v>
      </c>
    </row>
    <row r="310" spans="2:7">
      <c r="B310" s="55"/>
      <c r="C310" s="33"/>
      <c r="D310" s="57"/>
      <c r="E310" s="58"/>
      <c r="F310" s="58">
        <f>62</f>
        <v>62</v>
      </c>
      <c r="G310" s="33" t="s">
        <v>269</v>
      </c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145.46</v>
      </c>
      <c r="E320" s="56">
        <f>SUM(E306:E319)</f>
        <v>0</v>
      </c>
      <c r="F320" s="56">
        <f>SUM(F306:F319)</f>
        <v>112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50</v>
      </c>
      <c r="C326" s="36"/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50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>
        <v>150</v>
      </c>
      <c r="G346" s="33" t="s">
        <v>247</v>
      </c>
    </row>
    <row r="347" spans="2:7">
      <c r="B347" s="55"/>
      <c r="C347" s="33"/>
      <c r="D347" s="57">
        <v>266.13</v>
      </c>
      <c r="E347" s="58"/>
      <c r="F347" s="58"/>
      <c r="G347" s="33" t="s">
        <v>273</v>
      </c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266.13</v>
      </c>
      <c r="E360" s="56">
        <f>SUM(E346:E359)</f>
        <v>0</v>
      </c>
      <c r="F360" s="56">
        <f>SUM(F346:F359)</f>
        <v>150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30</v>
      </c>
      <c r="C366" s="36" t="s">
        <v>36</v>
      </c>
      <c r="D366" s="57"/>
      <c r="E366" s="58"/>
      <c r="F366" s="58">
        <f>3.4+4.5+3.8+3.4+3.4+3.5</f>
        <v>22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/>
      <c r="E368" s="58">
        <v>12.99</v>
      </c>
      <c r="F368" s="58"/>
      <c r="G368" s="33" t="s">
        <v>271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30</v>
      </c>
      <c r="C380" s="34" t="s">
        <v>66</v>
      </c>
      <c r="D380" s="56">
        <f>SUM(D366:D379)</f>
        <v>0</v>
      </c>
      <c r="E380" s="56">
        <f>SUM(E366:E379)</f>
        <v>12.99</v>
      </c>
      <c r="F380" s="56">
        <f>SUM(F366:F379)</f>
        <v>22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1.01</v>
      </c>
      <c r="C406" s="36" t="s">
        <v>208</v>
      </c>
      <c r="D406" s="57">
        <f>30.78+12.1</f>
        <v>42.88</v>
      </c>
      <c r="E406" s="58"/>
      <c r="F406" s="58"/>
      <c r="G406" s="33" t="s">
        <v>237</v>
      </c>
    </row>
    <row r="407" spans="2:7">
      <c r="B407" s="55">
        <f>2831.41-345</f>
        <v>2486.41</v>
      </c>
      <c r="C407" s="33" t="s">
        <v>213</v>
      </c>
      <c r="D407" s="57"/>
      <c r="E407" s="58"/>
      <c r="F407" s="58"/>
      <c r="G407" s="33"/>
    </row>
    <row r="408" spans="2:7">
      <c r="B408" s="55">
        <v>0.05</v>
      </c>
      <c r="C408" s="33" t="s">
        <v>73</v>
      </c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2487.4700000000003</v>
      </c>
      <c r="C420" s="34" t="s">
        <v>66</v>
      </c>
      <c r="D420" s="56">
        <f>SUM(D406:D419)</f>
        <v>42.88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0" t="str">
        <f>'2018'!A41</f>
        <v>Ahorros Colchón</v>
      </c>
      <c r="C422" s="291"/>
      <c r="D422" s="291"/>
      <c r="E422" s="291"/>
      <c r="F422" s="291"/>
      <c r="G422" s="292"/>
    </row>
    <row r="423" spans="2:7" ht="15" customHeight="1" thickBot="1">
      <c r="B423" s="293"/>
      <c r="C423" s="294"/>
      <c r="D423" s="294"/>
      <c r="E423" s="294"/>
      <c r="F423" s="294"/>
      <c r="G423" s="295"/>
    </row>
    <row r="424" spans="2:7">
      <c r="B424" s="301" t="s">
        <v>10</v>
      </c>
      <c r="C424" s="302"/>
      <c r="D424" s="303" t="s">
        <v>11</v>
      </c>
      <c r="E424" s="303"/>
      <c r="F424" s="303"/>
      <c r="G424" s="302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-636.14</f>
        <v>-636.14</v>
      </c>
      <c r="C426" s="36" t="s">
        <v>277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-636.14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0" t="str">
        <f>'2018'!A42</f>
        <v>Dinero Bloqueado</v>
      </c>
      <c r="C442" s="291"/>
      <c r="D442" s="291"/>
      <c r="E442" s="291"/>
      <c r="F442" s="291"/>
      <c r="G442" s="292"/>
    </row>
    <row r="443" spans="2:7" ht="15" customHeight="1" thickBot="1">
      <c r="B443" s="293"/>
      <c r="C443" s="294"/>
      <c r="D443" s="294"/>
      <c r="E443" s="294"/>
      <c r="F443" s="294"/>
      <c r="G443" s="295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>
        <v>1800.04</v>
      </c>
      <c r="C446" s="36" t="s">
        <v>264</v>
      </c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1800.04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0" t="str">
        <f>'2018'!A43</f>
        <v>Cartama Finanazas</v>
      </c>
      <c r="C462" s="291"/>
      <c r="D462" s="291"/>
      <c r="E462" s="291"/>
      <c r="F462" s="291"/>
      <c r="G462" s="292"/>
    </row>
    <row r="463" spans="2:7" ht="15" customHeight="1" thickBot="1">
      <c r="B463" s="293"/>
      <c r="C463" s="294"/>
      <c r="D463" s="294"/>
      <c r="E463" s="294"/>
      <c r="F463" s="294"/>
      <c r="G463" s="295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291"/>
      <c r="D482" s="291"/>
      <c r="E482" s="291"/>
      <c r="F482" s="291"/>
      <c r="G482" s="292"/>
    </row>
    <row r="483" spans="2:7" ht="15" customHeight="1" thickBot="1">
      <c r="B483" s="293"/>
      <c r="C483" s="294"/>
      <c r="D483" s="294"/>
      <c r="E483" s="294"/>
      <c r="F483" s="294"/>
      <c r="G483" s="295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0" t="str">
        <f>'2018'!A45</f>
        <v>OTROS</v>
      </c>
      <c r="C502" s="291"/>
      <c r="D502" s="291"/>
      <c r="E502" s="291"/>
      <c r="F502" s="291"/>
      <c r="G502" s="292"/>
    </row>
    <row r="503" spans="2:7" ht="15" customHeight="1" thickBot="1">
      <c r="B503" s="293"/>
      <c r="C503" s="294"/>
      <c r="D503" s="294"/>
      <c r="E503" s="294"/>
      <c r="F503" s="294"/>
      <c r="G503" s="295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/>
      <c r="D520" s="56"/>
      <c r="E520" s="56"/>
      <c r="F520" s="56"/>
      <c r="G520" s="34"/>
    </row>
  </sheetData>
  <mergeCells count="111"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</mergeCells>
  <hyperlinks>
    <hyperlink ref="I2" location="Trimestre!C39:F40" display="TELÉFONO" xr:uid="{00000000-0004-0000-0100-000000000000}"/>
    <hyperlink ref="I2:L3" location="'2018'!C4:F4" display="SALDO REAL" xr:uid="{00000000-0004-0000-0100-000001000000}"/>
    <hyperlink ref="I22" location="Trimestre!C39:F40" display="TELÉFONO" xr:uid="{00000000-0004-0000-0100-000002000000}"/>
    <hyperlink ref="I22:L23" location="'2018'!C7:F7" display="INGRESOS" xr:uid="{00000000-0004-0000-0100-000003000000}"/>
    <hyperlink ref="B2" location="Trimestre!C25:F26" display="HIPOTECA" xr:uid="{00000000-0004-0000-0100-000004000000}"/>
    <hyperlink ref="B2:G3" location="'2018'!C20:F20" display="'2018'!C20:F20" xr:uid="{00000000-0004-0000-0100-000005000000}"/>
    <hyperlink ref="B22" location="Trimestre!C25:F26" display="HIPOTECA" xr:uid="{00000000-0004-0000-0100-000006000000}"/>
    <hyperlink ref="B22:G23" location="'2018'!C21:F21" display="'2018'!C21:F21" xr:uid="{00000000-0004-0000-0100-000007000000}"/>
    <hyperlink ref="B42" location="Trimestre!C25:F26" display="HIPOTECA" xr:uid="{00000000-0004-0000-0100-000008000000}"/>
    <hyperlink ref="B42:G43" location="'2018'!C22:F22" display="'2018'!C22:F22" xr:uid="{00000000-0004-0000-0100-000009000000}"/>
    <hyperlink ref="B62" location="Trimestre!C25:F26" display="HIPOTECA" xr:uid="{00000000-0004-0000-0100-00000A000000}"/>
    <hyperlink ref="B62:G63" location="'2018'!C23:F23" display="'2018'!C23:F23" xr:uid="{00000000-0004-0000-0100-00000B000000}"/>
    <hyperlink ref="B82" location="Trimestre!C25:F26" display="HIPOTECA" xr:uid="{00000000-0004-0000-0100-00000C000000}"/>
    <hyperlink ref="B82:G83" location="'2018'!C24:F24" display="'2018'!C24:F24" xr:uid="{00000000-0004-0000-0100-00000D000000}"/>
    <hyperlink ref="B102" location="Trimestre!C25:F26" display="HIPOTECA" xr:uid="{00000000-0004-0000-0100-00000E000000}"/>
    <hyperlink ref="B102:G103" location="'2018'!C25:F25" display="'2018'!C25:F25" xr:uid="{00000000-0004-0000-0100-00000F000000}"/>
    <hyperlink ref="B122" location="Trimestre!C25:F26" display="HIPOTECA" xr:uid="{00000000-0004-0000-0100-000010000000}"/>
    <hyperlink ref="B122:G123" location="'2018'!C26:F26" display="'2018'!C26:F26" xr:uid="{00000000-0004-0000-0100-000011000000}"/>
    <hyperlink ref="B142" location="Trimestre!C25:F26" display="HIPOTECA" xr:uid="{00000000-0004-0000-0100-000012000000}"/>
    <hyperlink ref="B142:G143" location="'2018'!C27:F27" display="'2018'!C27:F27" xr:uid="{00000000-0004-0000-0100-000013000000}"/>
    <hyperlink ref="B162" location="Trimestre!C25:F26" display="HIPOTECA" xr:uid="{00000000-0004-0000-0100-000014000000}"/>
    <hyperlink ref="B162:G163" location="'2018'!C28:F28" display="'2018'!C28:F28" xr:uid="{00000000-0004-0000-0100-000015000000}"/>
    <hyperlink ref="B182" location="Trimestre!C25:F26" display="HIPOTECA" xr:uid="{00000000-0004-0000-0100-000016000000}"/>
    <hyperlink ref="B182:G183" location="'2018'!C29:F29" display="'2018'!C29:F29" xr:uid="{00000000-0004-0000-0100-000017000000}"/>
    <hyperlink ref="B202" location="Trimestre!C25:F26" display="HIPOTECA" xr:uid="{00000000-0004-0000-0100-000018000000}"/>
    <hyperlink ref="B202:G203" location="'2018'!C30:F30" display="'2018'!C30:F30" xr:uid="{00000000-0004-0000-0100-000019000000}"/>
    <hyperlink ref="B222" location="Trimestre!C25:F26" display="HIPOTECA" xr:uid="{00000000-0004-0000-0100-00001A000000}"/>
    <hyperlink ref="B222:G223" location="'2018'!C31:F31" display="'2018'!C31:F31" xr:uid="{00000000-0004-0000-0100-00001B000000}"/>
    <hyperlink ref="B242" location="Trimestre!C25:F26" display="HIPOTECA" xr:uid="{00000000-0004-0000-0100-00001C000000}"/>
    <hyperlink ref="B242:G243" location="'2018'!C32:F32" display="'2018'!C32:F32" xr:uid="{00000000-0004-0000-0100-00001D000000}"/>
    <hyperlink ref="B262" location="Trimestre!C25:F26" display="HIPOTECA" xr:uid="{00000000-0004-0000-0100-00001E000000}"/>
    <hyperlink ref="B262:G263" location="'2018'!C33:F33" display="'2018'!C33:F33" xr:uid="{00000000-0004-0000-0100-00001F000000}"/>
    <hyperlink ref="B282" location="Trimestre!C25:F26" display="HIPOTECA" xr:uid="{00000000-0004-0000-0100-000020000000}"/>
    <hyperlink ref="B282:G283" location="'2018'!C34:F34" display="'2018'!C34:F34" xr:uid="{00000000-0004-0000-0100-000021000000}"/>
    <hyperlink ref="B302" location="Trimestre!C25:F26" display="HIPOTECA" xr:uid="{00000000-0004-0000-0100-000022000000}"/>
    <hyperlink ref="B302:G303" location="'2018'!C35:F35" display="'2018'!C35:F35" xr:uid="{00000000-0004-0000-0100-000023000000}"/>
    <hyperlink ref="B322" location="Trimestre!C25:F26" display="HIPOTECA" xr:uid="{00000000-0004-0000-0100-000024000000}"/>
    <hyperlink ref="B322:G323" location="'2018'!C36:F36" display="'2018'!C36:F36" xr:uid="{00000000-0004-0000-0100-000025000000}"/>
    <hyperlink ref="B342" location="Trimestre!C25:F26" display="HIPOTECA" xr:uid="{00000000-0004-0000-0100-000026000000}"/>
    <hyperlink ref="B342:G343" location="'2018'!C37:F37" display="'2018'!C37:F37" xr:uid="{00000000-0004-0000-0100-000027000000}"/>
    <hyperlink ref="B362" location="Trimestre!C25:F26" display="HIPOTECA" xr:uid="{00000000-0004-0000-0100-000028000000}"/>
    <hyperlink ref="B362:G363" location="'2018'!C38:F38" display="'2018'!C38:F38" xr:uid="{00000000-0004-0000-0100-000029000000}"/>
    <hyperlink ref="B382" location="Trimestre!C25:F26" display="HIPOTECA" xr:uid="{00000000-0004-0000-0100-00002A000000}"/>
    <hyperlink ref="B382:G383" location="'2018'!C39:F39" display="'2018'!C39:F39" xr:uid="{00000000-0004-0000-0100-00002B000000}"/>
    <hyperlink ref="B402" location="Trimestre!C25:F26" display="HIPOTECA" xr:uid="{00000000-0004-0000-0100-00002C000000}"/>
    <hyperlink ref="B402:G403" location="'2018'!C40:F40" display="'2018'!C40:F40" xr:uid="{00000000-0004-0000-0100-00002D000000}"/>
    <hyperlink ref="B422" location="Trimestre!C25:F26" display="HIPOTECA" xr:uid="{00000000-0004-0000-0100-00002E000000}"/>
    <hyperlink ref="B422:G423" location="'2018'!C41:F41" display="'2018'!C41:F41" xr:uid="{00000000-0004-0000-0100-00002F000000}"/>
    <hyperlink ref="B442" location="Trimestre!C25:F26" display="HIPOTECA" xr:uid="{00000000-0004-0000-0100-000030000000}"/>
    <hyperlink ref="B442:G443" location="'2018'!C42:F42" display="'2018'!C42:F42" xr:uid="{00000000-0004-0000-0100-000031000000}"/>
    <hyperlink ref="B462" location="Trimestre!C25:F26" display="HIPOTECA" xr:uid="{00000000-0004-0000-0100-000032000000}"/>
    <hyperlink ref="B462:G463" location="'2018'!C43:F43" display="'2018'!C43:F43" xr:uid="{00000000-0004-0000-0100-000033000000}"/>
    <hyperlink ref="B482" location="Trimestre!C25:F26" display="HIPOTECA" xr:uid="{00000000-0004-0000-0100-000034000000}"/>
    <hyperlink ref="B482:G483" location="'2018'!C44:F44" display="'2018'!C44:F44" xr:uid="{00000000-0004-0000-0100-000035000000}"/>
    <hyperlink ref="B502" location="Trimestre!C25:F26" display="HIPOTECA" xr:uid="{00000000-0004-0000-0100-000036000000}"/>
    <hyperlink ref="B502:G503" location="'2018'!C45:F45" display="'2018'!C45:F45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2" workbookViewId="0">
      <selection activeCell="E8" sqref="E8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31" t="s">
        <v>70</v>
      </c>
      <c r="J4" s="32" t="s">
        <v>71</v>
      </c>
      <c r="K4" s="296" t="s">
        <v>72</v>
      </c>
      <c r="L4" s="297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8">
        <v>1295.79</v>
      </c>
      <c r="L5" s="299"/>
      <c r="M5" s="82"/>
      <c r="N5" s="1"/>
      <c r="R5" s="3"/>
    </row>
    <row r="6" spans="1:22" ht="15.75">
      <c r="A6" s="163">
        <f>'01'!A6+B6-E6</f>
        <v>1.2400000000000091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88">
        <v>379.61</v>
      </c>
      <c r="L6" s="289"/>
      <c r="M6" s="1" t="s">
        <v>266</v>
      </c>
      <c r="N6" s="1"/>
      <c r="R6" s="3"/>
    </row>
    <row r="7" spans="1:22" ht="15.75">
      <c r="A7" s="163">
        <f>'01'!A7+B7-E7</f>
        <v>151.65</v>
      </c>
      <c r="B7" s="55">
        <v>56</v>
      </c>
      <c r="C7" s="33" t="s">
        <v>100</v>
      </c>
      <c r="D7" s="57"/>
      <c r="E7" s="58"/>
      <c r="F7" s="58"/>
      <c r="G7" s="33" t="s">
        <v>106</v>
      </c>
      <c r="H7" s="1"/>
      <c r="I7" s="62" t="s">
        <v>76</v>
      </c>
      <c r="J7" s="35" t="s">
        <v>77</v>
      </c>
      <c r="K7" s="288">
        <v>7271.78</v>
      </c>
      <c r="L7" s="289"/>
      <c r="M7" s="1"/>
      <c r="N7" s="1"/>
      <c r="R7" s="3"/>
    </row>
    <row r="8" spans="1:22" ht="15.75">
      <c r="A8" s="163">
        <f>'01'!A8+B8-E8</f>
        <v>-119.41</v>
      </c>
      <c r="B8" s="55">
        <v>0</v>
      </c>
      <c r="C8" s="33" t="s">
        <v>38</v>
      </c>
      <c r="D8" s="57"/>
      <c r="E8" s="137">
        <v>119.41</v>
      </c>
      <c r="F8" s="58"/>
      <c r="G8" s="33" t="s">
        <v>38</v>
      </c>
      <c r="H8" s="1"/>
      <c r="I8" s="62" t="s">
        <v>76</v>
      </c>
      <c r="J8" s="35" t="s">
        <v>78</v>
      </c>
      <c r="K8" s="288">
        <v>9090.56</v>
      </c>
      <c r="L8" s="289"/>
      <c r="M8" s="1"/>
      <c r="N8" s="1"/>
      <c r="R8" s="3"/>
    </row>
    <row r="9" spans="1:22" ht="15.75">
      <c r="A9" s="163">
        <f>'01'!A9+B9-E9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88">
        <v>69.22</v>
      </c>
      <c r="L9" s="289"/>
      <c r="M9" s="1"/>
      <c r="N9" s="1"/>
      <c r="R9" s="3"/>
    </row>
    <row r="10" spans="1:22" ht="15.75">
      <c r="A10" s="163">
        <f>'01'!A10+B10-E10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8">
        <v>1800.04</v>
      </c>
      <c r="L10" s="289"/>
      <c r="M10" s="1" t="s">
        <v>265</v>
      </c>
      <c r="N10" s="1"/>
      <c r="R10" s="3"/>
    </row>
    <row r="11" spans="1:22" ht="15.75">
      <c r="A11" s="163">
        <f>'01'!A11+B11-E11</f>
        <v>1.5200000000000031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8">
        <f>290+20</f>
        <v>310</v>
      </c>
      <c r="L11" s="289"/>
      <c r="M11" s="1"/>
      <c r="N11" s="1"/>
      <c r="R11" s="3"/>
    </row>
    <row r="12" spans="1:22" ht="15.75">
      <c r="A12" s="163">
        <f>'01'!A12+B12-E12</f>
        <v>232.76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/>
      <c r="J12" s="35"/>
      <c r="K12" s="288"/>
      <c r="L12" s="289"/>
      <c r="N12" s="1"/>
      <c r="R12" s="3"/>
    </row>
    <row r="13" spans="1:22" ht="15.75">
      <c r="A13" s="163">
        <f>'01'!A13+B13-E13</f>
        <v>60</v>
      </c>
      <c r="B13" s="55">
        <v>55</v>
      </c>
      <c r="C13" s="33" t="s">
        <v>196</v>
      </c>
      <c r="D13" s="57"/>
      <c r="E13" s="58"/>
      <c r="F13" s="58"/>
      <c r="G13" s="33"/>
      <c r="H13" s="1"/>
      <c r="I13" s="62"/>
      <c r="J13" s="35"/>
      <c r="K13" s="288"/>
      <c r="L13" s="289"/>
      <c r="M13" s="1"/>
      <c r="N13" s="1"/>
      <c r="R13" s="3"/>
    </row>
    <row r="14" spans="1:22" ht="15.75">
      <c r="A14" s="163">
        <f>'01'!A14+B14-E14</f>
        <v>50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8"/>
      <c r="L14" s="289"/>
      <c r="M14" s="1"/>
      <c r="N14" s="1"/>
      <c r="R14" s="3"/>
    </row>
    <row r="15" spans="1:22" ht="15.75">
      <c r="A15" s="163">
        <f>'01'!A15+B15-E15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88"/>
      <c r="L15" s="289"/>
      <c r="M15" s="1"/>
      <c r="N15" s="1"/>
      <c r="R15" s="3"/>
    </row>
    <row r="16" spans="1:22" ht="15.75">
      <c r="A16" s="163">
        <f>'01'!A16+B16-E16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8"/>
      <c r="L16" s="28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8"/>
      <c r="L17" s="28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4"/>
      <c r="L18" s="30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4">
        <f>SUM(K5:K18)</f>
        <v>20217</v>
      </c>
      <c r="L19" s="305"/>
      <c r="M19" s="1"/>
      <c r="N19" s="1"/>
      <c r="R19" s="3"/>
    </row>
    <row r="20" spans="1:18" ht="16.5" thickBot="1">
      <c r="A20" s="163">
        <f>SUM(A6:A15)</f>
        <v>380.76</v>
      </c>
      <c r="B20" s="56">
        <f>SUM(B6:B19)</f>
        <v>700</v>
      </c>
      <c r="C20" s="34" t="s">
        <v>66</v>
      </c>
      <c r="D20" s="56">
        <f>SUM(D6:D19)</f>
        <v>0</v>
      </c>
      <c r="E20" s="56">
        <f>SUM(E6:E19)</f>
        <v>605.65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296" t="s">
        <v>134</v>
      </c>
      <c r="L24" s="297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278</v>
      </c>
      <c r="K25" s="288">
        <v>176.46</v>
      </c>
      <c r="L25" s="289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9</v>
      </c>
      <c r="J26" s="35" t="s">
        <v>279</v>
      </c>
      <c r="K26" s="288">
        <v>47.52</v>
      </c>
      <c r="L26" s="289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v>151.16999999999999</v>
      </c>
      <c r="E27" s="58"/>
      <c r="F27" s="58"/>
      <c r="G27" s="33" t="s">
        <v>44</v>
      </c>
      <c r="H27" s="1"/>
      <c r="I27" s="151">
        <v>6</v>
      </c>
      <c r="J27" s="35" t="s">
        <v>223</v>
      </c>
      <c r="K27" s="288">
        <v>93.93</v>
      </c>
      <c r="L27" s="289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5</v>
      </c>
      <c r="J28" s="35" t="s">
        <v>309</v>
      </c>
      <c r="K28" s="288">
        <v>447.43</v>
      </c>
      <c r="L28" s="289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1</v>
      </c>
      <c r="J29" s="35" t="s">
        <v>312</v>
      </c>
      <c r="K29" s="288">
        <v>1638.24</v>
      </c>
      <c r="L29" s="289"/>
      <c r="M29" s="1"/>
      <c r="R29" s="3"/>
    </row>
    <row r="30" spans="1:18" ht="15.75">
      <c r="A30" s="1"/>
      <c r="B30" s="55">
        <v>47.52</v>
      </c>
      <c r="C30" s="66" t="s">
        <v>280</v>
      </c>
      <c r="D30" s="57"/>
      <c r="E30" s="58"/>
      <c r="F30" s="58"/>
      <c r="G30" s="33"/>
      <c r="H30" s="1"/>
      <c r="I30" s="151"/>
      <c r="J30" s="35"/>
      <c r="K30" s="288"/>
      <c r="L30" s="28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8"/>
      <c r="L31" s="28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8"/>
      <c r="L32" s="28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8"/>
      <c r="L33" s="28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8"/>
      <c r="L34" s="28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8"/>
      <c r="L35" s="28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8"/>
      <c r="L36" s="28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8"/>
      <c r="L37" s="28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4"/>
      <c r="L38" s="30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1205.52</v>
      </c>
      <c r="C40" s="34" t="s">
        <v>66</v>
      </c>
      <c r="D40" s="56">
        <f>SUM(D26:D39)</f>
        <v>1068.6300000000001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159.38+43.55</f>
        <v>202.93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/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19.12+24.23+26.6</f>
        <v>69.95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/>
      <c r="C49" s="33"/>
      <c r="D49" s="57">
        <v>6.86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17.79</f>
        <v>17.79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53.39+12.38</f>
        <v>65.77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f>130.1-55</f>
        <v>75.099999999999994</v>
      </c>
      <c r="E54" s="58"/>
      <c r="F54" s="58"/>
      <c r="G54" s="33" t="s">
        <v>290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400</v>
      </c>
      <c r="C60" s="34" t="s">
        <v>66</v>
      </c>
      <c r="D60" s="56">
        <f>SUM(D46:D59)</f>
        <v>438.4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f>23.5</f>
        <v>23.5</v>
      </c>
      <c r="G66" s="36" t="s">
        <v>281</v>
      </c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>
        <f>16</f>
        <v>16</v>
      </c>
      <c r="G67" s="70" t="s">
        <v>282</v>
      </c>
      <c r="H67" s="1"/>
      <c r="M67" s="1"/>
      <c r="R67" s="3"/>
    </row>
    <row r="68" spans="1:18" ht="15.75">
      <c r="A68" s="1"/>
      <c r="B68" s="55"/>
      <c r="C68" s="33"/>
      <c r="D68" s="57">
        <f>23.85</f>
        <v>23.85</v>
      </c>
      <c r="E68" s="58"/>
      <c r="F68" s="58"/>
      <c r="G68" s="33" t="s">
        <v>207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v>5</v>
      </c>
      <c r="G69" s="33" t="s">
        <v>297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v>28</v>
      </c>
      <c r="G70" s="33" t="s">
        <v>301</v>
      </c>
      <c r="H70" s="1"/>
      <c r="M70" s="1"/>
      <c r="R70" s="3"/>
    </row>
    <row r="71" spans="1:18" ht="15.75">
      <c r="A71" s="1"/>
      <c r="B71" s="55">
        <v>51</v>
      </c>
      <c r="C71" s="33" t="s">
        <v>306</v>
      </c>
      <c r="D71" s="57">
        <v>26</v>
      </c>
      <c r="E71" s="58"/>
      <c r="F71" s="58">
        <v>25</v>
      </c>
      <c r="G71" s="33" t="s">
        <v>305</v>
      </c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201</v>
      </c>
      <c r="C80" s="34" t="s">
        <v>66</v>
      </c>
      <c r="D80" s="56">
        <f>SUM(D66:D79)</f>
        <v>49.85</v>
      </c>
      <c r="E80" s="56">
        <f>SUM(E66:E79)</f>
        <v>0</v>
      </c>
      <c r="F80" s="56">
        <f>SUM(F66:F79)</f>
        <v>97.5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51.13+35.12+43.83+52.84</f>
        <v>182.92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182.92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f>22.5</f>
        <v>22.5</v>
      </c>
      <c r="C127" s="33" t="s">
        <v>58</v>
      </c>
      <c r="D127" s="57">
        <f>10+10</f>
        <v>20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50</v>
      </c>
      <c r="C140" s="34" t="s">
        <v>66</v>
      </c>
      <c r="D140" s="56">
        <f>SUM(D126:D139)</f>
        <v>47.5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/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v>23.07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23.07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447.43</f>
        <v>447.43</v>
      </c>
      <c r="F166" s="58"/>
      <c r="G166" s="33" t="s">
        <v>291</v>
      </c>
      <c r="H166" s="82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447.43</v>
      </c>
      <c r="C167" s="33" t="s">
        <v>308</v>
      </c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647.43000000000006</v>
      </c>
      <c r="C180" s="34" t="s">
        <v>66</v>
      </c>
      <c r="D180" s="56">
        <f>SUM(D166:D179)</f>
        <v>0</v>
      </c>
      <c r="E180" s="56">
        <f>SUM(E166:E179)</f>
        <v>447.43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88.32-D286</f>
        <v>58.319999999999993</v>
      </c>
      <c r="E186" s="58"/>
      <c r="F186" s="58"/>
      <c r="G186" s="33" t="s">
        <v>288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/>
      <c r="G187" s="3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58.319999999999993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45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70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50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65.16</f>
        <v>65.16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65.16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8">
      <c r="B273" s="55"/>
      <c r="C273" s="33"/>
      <c r="D273" s="57"/>
      <c r="E273" s="58"/>
      <c r="F273" s="58"/>
      <c r="G273" s="33"/>
    </row>
    <row r="274" spans="2:8">
      <c r="B274" s="55"/>
      <c r="C274" s="33"/>
      <c r="D274" s="57"/>
      <c r="E274" s="58"/>
      <c r="F274" s="58"/>
      <c r="G274" s="33"/>
    </row>
    <row r="275" spans="2:8">
      <c r="B275" s="55"/>
      <c r="C275" s="33"/>
      <c r="D275" s="57"/>
      <c r="E275" s="58"/>
      <c r="F275" s="58"/>
      <c r="G275" s="33"/>
    </row>
    <row r="276" spans="2:8">
      <c r="B276" s="55"/>
      <c r="C276" s="33"/>
      <c r="D276" s="57"/>
      <c r="E276" s="58"/>
      <c r="F276" s="58"/>
      <c r="G276" s="33"/>
    </row>
    <row r="277" spans="2:8">
      <c r="B277" s="55"/>
      <c r="C277" s="33"/>
      <c r="D277" s="57"/>
      <c r="E277" s="58"/>
      <c r="F277" s="58"/>
      <c r="G277" s="33"/>
    </row>
    <row r="278" spans="2:8">
      <c r="B278" s="55"/>
      <c r="C278" s="33"/>
      <c r="D278" s="57"/>
      <c r="E278" s="58"/>
      <c r="F278" s="58"/>
      <c r="G278" s="33"/>
    </row>
    <row r="279" spans="2:8" ht="15.75" thickBot="1">
      <c r="B279" s="56"/>
      <c r="C279" s="34"/>
      <c r="D279" s="56"/>
      <c r="E279" s="59"/>
      <c r="F279" s="59"/>
      <c r="G279" s="34"/>
    </row>
    <row r="280" spans="2:8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8" ht="15" customHeight="1" thickBot="1">
      <c r="B283" s="293"/>
      <c r="C283" s="294"/>
      <c r="D283" s="294"/>
      <c r="E283" s="294"/>
      <c r="F283" s="294"/>
      <c r="G283" s="295"/>
    </row>
    <row r="284" spans="2:8">
      <c r="B284" s="301" t="s">
        <v>10</v>
      </c>
      <c r="C284" s="302"/>
      <c r="D284" s="303" t="s">
        <v>11</v>
      </c>
      <c r="E284" s="303"/>
      <c r="F284" s="303"/>
      <c r="G284" s="302"/>
    </row>
    <row r="285" spans="2:8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8">
      <c r="B286" s="54">
        <v>120</v>
      </c>
      <c r="C286" s="36" t="s">
        <v>36</v>
      </c>
      <c r="D286" s="57">
        <f>30</f>
        <v>30</v>
      </c>
      <c r="E286" s="58"/>
      <c r="F286" s="58"/>
      <c r="G286" s="33" t="s">
        <v>288</v>
      </c>
    </row>
    <row r="287" spans="2:8">
      <c r="B287" s="55"/>
      <c r="C287" s="33"/>
      <c r="D287" s="57">
        <v>54.1</v>
      </c>
      <c r="E287" s="58"/>
      <c r="F287" s="58"/>
      <c r="G287" s="33" t="s">
        <v>289</v>
      </c>
    </row>
    <row r="288" spans="2:8">
      <c r="B288" s="55"/>
      <c r="C288" s="33"/>
      <c r="D288" s="57">
        <f>0.9</f>
        <v>0.9</v>
      </c>
      <c r="E288" s="58"/>
      <c r="F288" s="58"/>
      <c r="G288" s="33" t="s">
        <v>240</v>
      </c>
      <c r="H288" s="137">
        <v>0.95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85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/>
      <c r="E307" s="58"/>
      <c r="F307" s="58"/>
      <c r="G307" s="33" t="s">
        <v>97</v>
      </c>
    </row>
    <row r="308" spans="2:7">
      <c r="B308" s="84"/>
      <c r="C308" s="66"/>
      <c r="D308" s="57">
        <f>20.67</f>
        <v>20.67</v>
      </c>
      <c r="E308" s="58"/>
      <c r="F308" s="58"/>
      <c r="G308" s="33" t="s">
        <v>216</v>
      </c>
    </row>
    <row r="309" spans="2:7">
      <c r="B309" s="55"/>
      <c r="C309" s="33"/>
      <c r="D309" s="57"/>
      <c r="E309" s="58"/>
      <c r="F309" s="58">
        <f>38.12</f>
        <v>38.119999999999997</v>
      </c>
      <c r="G309" s="33" t="s">
        <v>239</v>
      </c>
    </row>
    <row r="310" spans="2:7">
      <c r="B310" s="55"/>
      <c r="C310" s="33"/>
      <c r="D310" s="57"/>
      <c r="E310" s="58"/>
      <c r="F310" s="58">
        <f>65</f>
        <v>65</v>
      </c>
      <c r="G310" s="33" t="s">
        <v>296</v>
      </c>
    </row>
    <row r="311" spans="2:7">
      <c r="B311" s="55"/>
      <c r="C311" s="33"/>
      <c r="D311" s="57">
        <v>40</v>
      </c>
      <c r="E311" s="58"/>
      <c r="F311" s="58"/>
      <c r="G311" s="33" t="s">
        <v>298</v>
      </c>
    </row>
    <row r="312" spans="2:7">
      <c r="B312" s="55"/>
      <c r="C312" s="33"/>
      <c r="D312" s="57">
        <v>57</v>
      </c>
      <c r="E312" s="58"/>
      <c r="F312" s="58"/>
      <c r="G312" s="33" t="s">
        <v>300</v>
      </c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117.67</v>
      </c>
      <c r="E320" s="56">
        <f>SUM(E306:E319)</f>
        <v>0</v>
      </c>
      <c r="F320" s="56">
        <f>SUM(F306:F319)</f>
        <v>103.12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50</v>
      </c>
      <c r="C326" s="36"/>
      <c r="D326" s="57">
        <v>600</v>
      </c>
      <c r="E326" s="58"/>
      <c r="F326" s="58"/>
      <c r="G326" s="33" t="s">
        <v>286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50</v>
      </c>
      <c r="C340" s="34" t="s">
        <v>66</v>
      </c>
      <c r="D340" s="56">
        <f>SUM(D326:D339)</f>
        <v>600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50</v>
      </c>
      <c r="C366" s="36" t="s">
        <v>36</v>
      </c>
      <c r="D366" s="57"/>
      <c r="E366" s="58"/>
      <c r="F366" s="58">
        <f>4.45+3.4+4.45+4+4+3.5+3.4+3.5</f>
        <v>30.7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>
        <f>27.49+40.48</f>
        <v>67.97</v>
      </c>
      <c r="E368" s="58">
        <f>25.05</f>
        <v>25.05</v>
      </c>
      <c r="F368" s="58"/>
      <c r="G368" s="33" t="s">
        <v>295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50</v>
      </c>
      <c r="C380" s="34" t="s">
        <v>66</v>
      </c>
      <c r="D380" s="56">
        <f>SUM(D366:D379)</f>
        <v>67.97</v>
      </c>
      <c r="E380" s="56">
        <f>SUM(E366:E379)</f>
        <v>25.05</v>
      </c>
      <c r="F380" s="56">
        <f>SUM(F366:F379)</f>
        <v>30.7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-5092.08</v>
      </c>
      <c r="C406" s="36" t="s">
        <v>310</v>
      </c>
      <c r="D406" s="57">
        <v>56.01</v>
      </c>
      <c r="E406" s="58"/>
      <c r="F406" s="58"/>
      <c r="G406" s="33" t="s">
        <v>302</v>
      </c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-5092.08</v>
      </c>
      <c r="C420" s="34" t="s">
        <v>66</v>
      </c>
      <c r="D420" s="56">
        <f>SUM(D406:D419)</f>
        <v>56.01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0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301" t="s">
        <v>10</v>
      </c>
      <c r="C424" s="302"/>
      <c r="D424" s="303" t="s">
        <v>11</v>
      </c>
      <c r="E424" s="303"/>
      <c r="F424" s="303"/>
      <c r="G424" s="302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1117.3900000000001</v>
      </c>
      <c r="C426" s="36" t="s">
        <v>306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1117.3900000000001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>
        <v>5092.08</v>
      </c>
      <c r="C446" s="36" t="s">
        <v>310</v>
      </c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5092.08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200-000000000000}"/>
    <hyperlink ref="I2:L3" location="'2018'!G4:J4" display="SALDO REAL" xr:uid="{00000000-0004-0000-0200-000001000000}"/>
    <hyperlink ref="I22" location="Trimestre!C39:F40" display="TELÉFONO" xr:uid="{00000000-0004-0000-0200-000002000000}"/>
    <hyperlink ref="I22:L23" location="'2018'!G7:J7" display="INGRESOS" xr:uid="{00000000-0004-0000-0200-000003000000}"/>
    <hyperlink ref="B2" location="Trimestre!C25:F26" display="HIPOTECA" xr:uid="{00000000-0004-0000-0200-000004000000}"/>
    <hyperlink ref="B2:G3" location="'2018'!G20:J20" display="'2018'!G20:J20" xr:uid="{00000000-0004-0000-0200-000005000000}"/>
    <hyperlink ref="B22" location="Trimestre!C25:F26" display="HIPOTECA" xr:uid="{00000000-0004-0000-0200-000006000000}"/>
    <hyperlink ref="B22:G23" location="'2018'!G21:J21" display="'2018'!G21:J21" xr:uid="{00000000-0004-0000-0200-000007000000}"/>
    <hyperlink ref="B42" location="Trimestre!C25:F26" display="HIPOTECA" xr:uid="{00000000-0004-0000-0200-000008000000}"/>
    <hyperlink ref="B42:G43" location="'2018'!G22:J22" display="'2018'!G22:J22" xr:uid="{00000000-0004-0000-0200-000009000000}"/>
    <hyperlink ref="B62" location="Trimestre!C25:F26" display="HIPOTECA" xr:uid="{00000000-0004-0000-0200-00000A000000}"/>
    <hyperlink ref="B62:G63" location="'2018'!G23:J23" display="'2018'!G23:J23" xr:uid="{00000000-0004-0000-0200-00000B000000}"/>
    <hyperlink ref="B82" location="Trimestre!C25:F26" display="HIPOTECA" xr:uid="{00000000-0004-0000-0200-00000C000000}"/>
    <hyperlink ref="B82:G83" location="'2018'!G24:J24" display="'2018'!G24:J24" xr:uid="{00000000-0004-0000-0200-00000D000000}"/>
    <hyperlink ref="B102" location="Trimestre!C25:F26" display="HIPOTECA" xr:uid="{00000000-0004-0000-0200-00000E000000}"/>
    <hyperlink ref="B102:G103" location="'2018'!G25:J25" display="'2018'!G25:J25" xr:uid="{00000000-0004-0000-0200-00000F000000}"/>
    <hyperlink ref="B122" location="Trimestre!C25:F26" display="HIPOTECA" xr:uid="{00000000-0004-0000-0200-000010000000}"/>
    <hyperlink ref="B122:G123" location="'2018'!G26:J26" display="'2018'!G26:J26" xr:uid="{00000000-0004-0000-0200-000011000000}"/>
    <hyperlink ref="B142" location="Trimestre!C25:F26" display="HIPOTECA" xr:uid="{00000000-0004-0000-0200-000012000000}"/>
    <hyperlink ref="B142:G143" location="'2018'!G27:J27" display="'2018'!G27:J27" xr:uid="{00000000-0004-0000-0200-000013000000}"/>
    <hyperlink ref="B162" location="Trimestre!C25:F26" display="HIPOTECA" xr:uid="{00000000-0004-0000-0200-000014000000}"/>
    <hyperlink ref="B162:G163" location="'2018'!G28:J28" display="'2018'!G28:J28" xr:uid="{00000000-0004-0000-0200-000015000000}"/>
    <hyperlink ref="B182" location="Trimestre!C25:F26" display="HIPOTECA" xr:uid="{00000000-0004-0000-0200-000016000000}"/>
    <hyperlink ref="B182:G183" location="'2018'!G29:J29" display="'2018'!G29:J29" xr:uid="{00000000-0004-0000-0200-000017000000}"/>
    <hyperlink ref="B202" location="Trimestre!C25:F26" display="HIPOTECA" xr:uid="{00000000-0004-0000-0200-000018000000}"/>
    <hyperlink ref="B202:G203" location="'2018'!G30:J30" display="'2018'!G30:J30" xr:uid="{00000000-0004-0000-0200-000019000000}"/>
    <hyperlink ref="B222" location="Trimestre!C25:F26" display="HIPOTECA" xr:uid="{00000000-0004-0000-0200-00001A000000}"/>
    <hyperlink ref="B222:G223" location="'2018'!G31:J31" display="'2018'!G31:J31" xr:uid="{00000000-0004-0000-0200-00001B000000}"/>
    <hyperlink ref="B242" location="Trimestre!C25:F26" display="HIPOTECA" xr:uid="{00000000-0004-0000-0200-00001C000000}"/>
    <hyperlink ref="B242:G243" location="'2018'!G32:J32" display="'2018'!G32:J32" xr:uid="{00000000-0004-0000-0200-00001D000000}"/>
    <hyperlink ref="B262" location="Trimestre!C25:F26" display="HIPOTECA" xr:uid="{00000000-0004-0000-0200-00001E000000}"/>
    <hyperlink ref="B262:G263" location="'2018'!G33:J33" display="'2018'!G33:J33" xr:uid="{00000000-0004-0000-0200-00001F000000}"/>
    <hyperlink ref="B282" location="Trimestre!C25:F26" display="HIPOTECA" xr:uid="{00000000-0004-0000-0200-000020000000}"/>
    <hyperlink ref="B282:G283" location="'2018'!G34:J34" display="'2018'!G34:J34" xr:uid="{00000000-0004-0000-0200-000021000000}"/>
    <hyperlink ref="B302" location="Trimestre!C25:F26" display="HIPOTECA" xr:uid="{00000000-0004-0000-0200-000022000000}"/>
    <hyperlink ref="B302:G303" location="'2018'!G35:J35" display="'2018'!G35:J35" xr:uid="{00000000-0004-0000-0200-000023000000}"/>
    <hyperlink ref="B322" location="Trimestre!C25:F26" display="HIPOTECA" xr:uid="{00000000-0004-0000-0200-000024000000}"/>
    <hyperlink ref="B322:G323" location="'2018'!G36:J36" display="'2018'!G36:J36" xr:uid="{00000000-0004-0000-0200-000025000000}"/>
    <hyperlink ref="B342" location="Trimestre!C25:F26" display="HIPOTECA" xr:uid="{00000000-0004-0000-0200-000026000000}"/>
    <hyperlink ref="B342:G343" location="'2018'!G37:J37" display="'2018'!G37:J37" xr:uid="{00000000-0004-0000-0200-000027000000}"/>
    <hyperlink ref="B362" location="Trimestre!C25:F26" display="HIPOTECA" xr:uid="{00000000-0004-0000-0200-000028000000}"/>
    <hyperlink ref="B362:G363" location="'2018'!G38:J38" display="'2018'!G38:J38" xr:uid="{00000000-0004-0000-0200-000029000000}"/>
    <hyperlink ref="B382" location="Trimestre!C25:F26" display="HIPOTECA" xr:uid="{00000000-0004-0000-0200-00002A000000}"/>
    <hyperlink ref="B382:G383" location="'2018'!G39:J39" display="'2018'!G39:J39" xr:uid="{00000000-0004-0000-0200-00002B000000}"/>
    <hyperlink ref="B402" location="Trimestre!C25:F26" display="HIPOTECA" xr:uid="{00000000-0004-0000-0200-00002C000000}"/>
    <hyperlink ref="B402:G403" location="'2018'!G40:J40" display="'2018'!G40:J40" xr:uid="{00000000-0004-0000-0200-00002D000000}"/>
    <hyperlink ref="B422" location="Trimestre!C25:F26" display="HIPOTECA" xr:uid="{00000000-0004-0000-0200-00002E000000}"/>
    <hyperlink ref="B422:G423" location="'2018'!G41:J41" display="'2018'!G41:J41" xr:uid="{00000000-0004-0000-0200-00002F000000}"/>
    <hyperlink ref="B442" location="Trimestre!C25:F26" display="HIPOTECA" xr:uid="{00000000-0004-0000-0200-000030000000}"/>
    <hyperlink ref="B442:G443" location="'2018'!G42:J42" display="'2018'!G42:J42" xr:uid="{00000000-0004-0000-0200-000031000000}"/>
    <hyperlink ref="B462" location="Trimestre!C25:F26" display="HIPOTECA" xr:uid="{00000000-0004-0000-0200-000032000000}"/>
    <hyperlink ref="B462:G463" location="'2018'!G43:J43" display="'2018'!G43:J43" xr:uid="{00000000-0004-0000-0200-000033000000}"/>
    <hyperlink ref="B482" location="Trimestre!C25:F26" display="HIPOTECA" xr:uid="{00000000-0004-0000-0200-000034000000}"/>
    <hyperlink ref="B482:G483" location="'2018'!G44:J44" display="'2018'!G44:J44" xr:uid="{00000000-0004-0000-0200-000035000000}"/>
    <hyperlink ref="B502" location="Trimestre!C25:F26" display="HIPOTECA" xr:uid="{00000000-0004-0000-0200-000036000000}"/>
    <hyperlink ref="B502:G503" location="'2018'!G45:J45" display="'2018'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workbookViewId="0">
      <selection activeCell="G16" sqref="G16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31" t="s">
        <v>70</v>
      </c>
      <c r="J4" s="32" t="s">
        <v>71</v>
      </c>
      <c r="K4" s="296" t="s">
        <v>72</v>
      </c>
      <c r="L4" s="297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8">
        <v>1852.76</v>
      </c>
      <c r="L5" s="299"/>
      <c r="M5" s="82"/>
      <c r="N5" s="1"/>
      <c r="R5" s="3"/>
    </row>
    <row r="6" spans="1:22" ht="15.75">
      <c r="A6" s="163">
        <f>'02'!A6+B6-E6</f>
        <v>1.8600000000000136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88">
        <v>335.99</v>
      </c>
      <c r="L6" s="289"/>
      <c r="M6" s="1" t="s">
        <v>266</v>
      </c>
      <c r="N6" s="1"/>
      <c r="R6" s="3"/>
    </row>
    <row r="7" spans="1:22" ht="15.75">
      <c r="A7" s="163">
        <f>'02'!A7+B7-E7</f>
        <v>-491.84000000000003</v>
      </c>
      <c r="B7" s="55">
        <v>56</v>
      </c>
      <c r="C7" s="33" t="s">
        <v>100</v>
      </c>
      <c r="D7" s="57"/>
      <c r="E7" s="58">
        <f>310.53+141.02+247.94</f>
        <v>699.49</v>
      </c>
      <c r="F7" s="58"/>
      <c r="G7" s="33" t="s">
        <v>106</v>
      </c>
      <c r="H7" s="82">
        <f>B7*12</f>
        <v>672</v>
      </c>
      <c r="I7" s="62" t="s">
        <v>76</v>
      </c>
      <c r="J7" s="35" t="s">
        <v>77</v>
      </c>
      <c r="K7" s="288">
        <v>7882.01</v>
      </c>
      <c r="L7" s="289"/>
      <c r="M7" s="1"/>
      <c r="N7" s="1"/>
      <c r="R7" s="3"/>
    </row>
    <row r="8" spans="1:22" ht="15.75">
      <c r="A8" s="163">
        <f>'02'!A8+B8-E8</f>
        <v>-119.41</v>
      </c>
      <c r="B8" s="55">
        <v>0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88">
        <v>3390.56</v>
      </c>
      <c r="L8" s="289"/>
      <c r="M8" s="1"/>
      <c r="N8" s="1"/>
      <c r="R8" s="3"/>
    </row>
    <row r="9" spans="1:22" ht="15.75">
      <c r="A9" s="163">
        <f>'02'!A9+B9-E9</f>
        <v>0</v>
      </c>
      <c r="B9" s="55">
        <v>20.100000000000001</v>
      </c>
      <c r="C9" s="33" t="s">
        <v>40</v>
      </c>
      <c r="D9" s="57"/>
      <c r="E9" s="58">
        <v>20.100000000000001</v>
      </c>
      <c r="F9" s="58"/>
      <c r="G9" s="33" t="s">
        <v>40</v>
      </c>
      <c r="H9" s="1"/>
      <c r="I9" s="62" t="s">
        <v>76</v>
      </c>
      <c r="J9" s="35" t="s">
        <v>267</v>
      </c>
      <c r="K9" s="288">
        <v>621.13</v>
      </c>
      <c r="L9" s="289"/>
      <c r="M9" s="1"/>
      <c r="N9" s="1"/>
      <c r="R9" s="3"/>
    </row>
    <row r="10" spans="1:22" ht="15.75">
      <c r="A10" s="163">
        <f>'02'!A10+B10-E10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8">
        <v>1800.04</v>
      </c>
      <c r="L10" s="289"/>
      <c r="M10" s="1" t="s">
        <v>265</v>
      </c>
      <c r="N10" s="1"/>
      <c r="R10" s="3"/>
    </row>
    <row r="11" spans="1:22" ht="15.75">
      <c r="A11" s="163">
        <f>'02'!A11+B11-E11</f>
        <v>2.2800000000000047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8">
        <f>30+40+170</f>
        <v>240</v>
      </c>
      <c r="L11" s="289"/>
      <c r="M11" s="1"/>
      <c r="N11" s="1"/>
      <c r="R11" s="3"/>
    </row>
    <row r="12" spans="1:22" ht="15.75">
      <c r="A12" s="163">
        <f>'02'!A12+B12-E12</f>
        <v>309.14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88">
        <v>5092.08</v>
      </c>
      <c r="L12" s="289"/>
      <c r="M12" s="140" t="s">
        <v>307</v>
      </c>
      <c r="N12" s="1"/>
      <c r="R12" s="3"/>
    </row>
    <row r="13" spans="1:22" ht="15.75">
      <c r="A13" s="163">
        <f>'02'!A13+B13-E13</f>
        <v>100.02</v>
      </c>
      <c r="B13" s="55">
        <v>55</v>
      </c>
      <c r="C13" s="33" t="s">
        <v>196</v>
      </c>
      <c r="D13" s="57"/>
      <c r="E13" s="58">
        <v>14.98</v>
      </c>
      <c r="F13" s="58"/>
      <c r="G13" s="33" t="s">
        <v>315</v>
      </c>
      <c r="H13" s="1"/>
      <c r="I13" s="62"/>
      <c r="J13" s="35"/>
      <c r="K13" s="288"/>
      <c r="L13" s="289"/>
      <c r="M13" s="1"/>
      <c r="N13" s="1"/>
      <c r="R13" s="3"/>
    </row>
    <row r="14" spans="1:22" ht="15.75">
      <c r="A14" s="163">
        <f>'02'!A14+B14-E14</f>
        <v>75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8"/>
      <c r="L14" s="289"/>
      <c r="M14" s="1"/>
      <c r="N14" s="1"/>
      <c r="R14" s="3"/>
    </row>
    <row r="15" spans="1:22" ht="15.75">
      <c r="A15" s="163">
        <f>'02'!A15+B15-E15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88"/>
      <c r="L15" s="289"/>
      <c r="M15" s="1"/>
      <c r="N15" s="1"/>
      <c r="R15" s="3"/>
    </row>
    <row r="16" spans="1:22" ht="15.75">
      <c r="A16" s="163">
        <f>'02'!A16+B16-E16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8"/>
      <c r="L16" s="28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8"/>
      <c r="L17" s="28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4"/>
      <c r="L18" s="30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4">
        <f>SUM(K5:K18)</f>
        <v>21214.57</v>
      </c>
      <c r="L19" s="305"/>
      <c r="M19" s="1"/>
      <c r="N19" s="1"/>
      <c r="R19" s="3"/>
    </row>
    <row r="20" spans="1:18" ht="16.5" thickBot="1">
      <c r="A20" s="163">
        <f>SUM(A6:A15)</f>
        <v>-119.95000000000005</v>
      </c>
      <c r="B20" s="56">
        <f>SUM(B6:B19)</f>
        <v>720.1</v>
      </c>
      <c r="C20" s="34" t="s">
        <v>66</v>
      </c>
      <c r="D20" s="56">
        <f>SUM(D6:D19)</f>
        <v>0</v>
      </c>
      <c r="E20" s="56">
        <f>SUM(E6:E19)</f>
        <v>1220.8099999999997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296" t="s">
        <v>134</v>
      </c>
      <c r="L24" s="297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276</v>
      </c>
      <c r="K25" s="298">
        <v>259.36</v>
      </c>
      <c r="L25" s="299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324</v>
      </c>
      <c r="K26" s="288">
        <v>176.46</v>
      </c>
      <c r="L26" s="289"/>
      <c r="M26" s="1"/>
      <c r="R26" s="3"/>
    </row>
    <row r="27" spans="1:18" ht="15.75">
      <c r="A27" s="1"/>
      <c r="B27" s="55">
        <v>200</v>
      </c>
      <c r="C27" s="66" t="s">
        <v>44</v>
      </c>
      <c r="D27" s="57"/>
      <c r="E27" s="58"/>
      <c r="F27" s="58"/>
      <c r="G27" s="33" t="s">
        <v>44</v>
      </c>
      <c r="H27" s="1"/>
      <c r="I27" s="151"/>
      <c r="J27" s="35"/>
      <c r="K27" s="288"/>
      <c r="L27" s="289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88"/>
      <c r="L28" s="289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8"/>
      <c r="L29" s="289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8"/>
      <c r="L30" s="28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8"/>
      <c r="L31" s="28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8"/>
      <c r="L32" s="28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8"/>
      <c r="L33" s="28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8"/>
      <c r="L34" s="28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8"/>
      <c r="L35" s="28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8"/>
      <c r="L36" s="28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8"/>
      <c r="L37" s="28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4"/>
      <c r="L38" s="30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917.46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370</v>
      </c>
      <c r="C46" s="36"/>
      <c r="D46" s="57">
        <f>166.37-D186+15.91+19.01</f>
        <v>188.29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97.66-D146</f>
        <v>52.93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10.29+13.04+4.68+23.01+61.46</f>
        <v>112.47999999999999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61.46</v>
      </c>
      <c r="C49" s="33" t="s">
        <v>18</v>
      </c>
      <c r="D49" s="57"/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321</v>
      </c>
      <c r="H50" s="1"/>
      <c r="M50" s="1"/>
      <c r="R50" s="3"/>
    </row>
    <row r="51" spans="1:18" ht="15.75">
      <c r="A51" s="1"/>
      <c r="B51" s="55"/>
      <c r="C51" s="33"/>
      <c r="D51" s="57"/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83.18-D250</f>
        <v>70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471.46</v>
      </c>
      <c r="C60" s="34" t="s">
        <v>66</v>
      </c>
      <c r="D60" s="56">
        <f>SUM(D46:D59)</f>
        <v>423.7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31.35+31.35+30.4</f>
        <v>93.1</v>
      </c>
      <c r="E66" s="58"/>
      <c r="F66" s="58"/>
      <c r="G66" s="36" t="s">
        <v>207</v>
      </c>
      <c r="H66" s="1"/>
      <c r="M66" s="1"/>
      <c r="R66" s="3"/>
    </row>
    <row r="67" spans="1:18" ht="15.75">
      <c r="A67" s="1"/>
      <c r="B67" s="55">
        <v>-61.46</v>
      </c>
      <c r="C67" s="33"/>
      <c r="D67" s="57"/>
      <c r="E67" s="58"/>
      <c r="F67" s="58">
        <f>20+7.15</f>
        <v>27.15</v>
      </c>
      <c r="G67" s="70" t="s">
        <v>313</v>
      </c>
      <c r="H67" s="1"/>
      <c r="M67" s="1"/>
      <c r="R67" s="3"/>
    </row>
    <row r="68" spans="1:18" ht="15.75">
      <c r="A68" s="1"/>
      <c r="B68" s="55"/>
      <c r="C68" s="33"/>
      <c r="D68" s="57">
        <v>19.8</v>
      </c>
      <c r="E68" s="58"/>
      <c r="F68" s="58"/>
      <c r="G68" s="33" t="s">
        <v>323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f>40</f>
        <v>40</v>
      </c>
      <c r="G69" s="33" t="s">
        <v>326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88.539999999999992</v>
      </c>
      <c r="C80" s="34" t="s">
        <v>66</v>
      </c>
      <c r="D80" s="56">
        <f>SUM(D66:D79)</f>
        <v>112.89999999999999</v>
      </c>
      <c r="E80" s="56">
        <f>SUM(E66:E79)</f>
        <v>0</v>
      </c>
      <c r="F80" s="56">
        <f>SUM(F66:F79)</f>
        <v>67.150000000000006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37.09+51.1+44.82</f>
        <v>133.01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>
        <v>5</v>
      </c>
      <c r="F90" s="58">
        <f>2+2</f>
        <v>4</v>
      </c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133.01</v>
      </c>
      <c r="E100" s="56">
        <f>SUM(E86:E99)</f>
        <v>5</v>
      </c>
      <c r="F100" s="56">
        <f>SUM(F86:F99)</f>
        <v>4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10</v>
      </c>
      <c r="C127" s="33" t="s">
        <v>58</v>
      </c>
      <c r="D127" s="57">
        <f>15</f>
        <v>15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37.5</v>
      </c>
      <c r="C140" s="34" t="s">
        <v>66</v>
      </c>
      <c r="D140" s="56">
        <f>SUM(D126:D139)</f>
        <v>42.5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>
        <v>44.73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44.73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25</f>
        <v>25</v>
      </c>
      <c r="F166" s="58"/>
      <c r="G166" s="33" t="s">
        <v>317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f>25</f>
        <v>25</v>
      </c>
      <c r="E167" s="58"/>
      <c r="F167" s="58"/>
      <c r="G167" s="33" t="s">
        <v>327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>
        <v>90</v>
      </c>
      <c r="G168" s="33" t="s">
        <v>332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25</v>
      </c>
      <c r="E180" s="56">
        <f>SUM(E166:E179)</f>
        <v>25</v>
      </c>
      <c r="F180" s="56">
        <f>SUM(F166:F179)</f>
        <v>90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5+7+1</f>
        <v>13</v>
      </c>
      <c r="E186" s="58"/>
      <c r="F186" s="58"/>
      <c r="G186" s="33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f>29.95+41.8</f>
        <v>71.75</v>
      </c>
      <c r="E187" s="58"/>
      <c r="F187" s="58"/>
      <c r="G187" s="33" t="s">
        <v>235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f>69.42-D288</f>
        <v>39.42</v>
      </c>
      <c r="E188" s="58"/>
      <c r="F188" s="58"/>
      <c r="G188" s="33" t="s">
        <v>288</v>
      </c>
    </row>
    <row r="189" spans="1:22">
      <c r="B189" s="55"/>
      <c r="C189" s="33"/>
      <c r="D189" s="57"/>
      <c r="E189" s="58"/>
      <c r="F189" s="58">
        <v>20</v>
      </c>
      <c r="G189" s="33" t="s">
        <v>331</v>
      </c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124.17</v>
      </c>
      <c r="E200" s="56">
        <f>SUM(E186:E199)</f>
        <v>0</v>
      </c>
      <c r="F200" s="56">
        <f>SUM(F186:F199)</f>
        <v>20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>
        <v>40</v>
      </c>
      <c r="G207" s="33" t="s">
        <v>332</v>
      </c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40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>
        <v>180</v>
      </c>
      <c r="G227" s="33" t="s">
        <v>319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180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70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48.34-D287-D167</f>
        <v>13.340000000000003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f>13.18</f>
        <v>13.18</v>
      </c>
      <c r="E250" s="58"/>
      <c r="F250" s="58"/>
      <c r="G250" s="33" t="s">
        <v>111</v>
      </c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70</v>
      </c>
      <c r="C260" s="34" t="s">
        <v>66</v>
      </c>
      <c r="D260" s="56">
        <f>SUM(D246:D259)</f>
        <v>26.520000000000003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20</v>
      </c>
      <c r="C266" s="36"/>
      <c r="D266" s="57"/>
      <c r="E266" s="58">
        <v>19.04</v>
      </c>
      <c r="F266" s="58"/>
      <c r="G266" s="33" t="s">
        <v>320</v>
      </c>
    </row>
    <row r="267" spans="2:7">
      <c r="B267" s="55"/>
      <c r="C267" s="33"/>
      <c r="D267" s="57">
        <f>12.5</f>
        <v>12.5</v>
      </c>
      <c r="E267" s="58"/>
      <c r="F267" s="58"/>
      <c r="G267" s="33" t="s">
        <v>322</v>
      </c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20</v>
      </c>
      <c r="C280" s="34" t="s">
        <v>66</v>
      </c>
      <c r="D280" s="56">
        <f>SUM(D266:D279)</f>
        <v>12.5</v>
      </c>
      <c r="E280" s="56">
        <f>SUM(E266:E279)</f>
        <v>19.04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7" ht="15" customHeight="1" thickBot="1">
      <c r="B283" s="293"/>
      <c r="C283" s="294"/>
      <c r="D283" s="294"/>
      <c r="E283" s="294"/>
      <c r="F283" s="294"/>
      <c r="G283" s="295"/>
    </row>
    <row r="284" spans="2:7">
      <c r="B284" s="301" t="s">
        <v>10</v>
      </c>
      <c r="C284" s="302"/>
      <c r="D284" s="303" t="s">
        <v>11</v>
      </c>
      <c r="E284" s="303"/>
      <c r="F284" s="303"/>
      <c r="G284" s="302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120</v>
      </c>
      <c r="C286" s="36" t="s">
        <v>36</v>
      </c>
      <c r="D286" s="57"/>
      <c r="E286" s="58">
        <v>35.090000000000003</v>
      </c>
      <c r="F286" s="58"/>
      <c r="G286" s="33" t="s">
        <v>316</v>
      </c>
    </row>
    <row r="287" spans="2:7">
      <c r="B287" s="55"/>
      <c r="C287" s="33"/>
      <c r="D287" s="57">
        <v>10</v>
      </c>
      <c r="E287" s="58"/>
      <c r="F287" s="58"/>
      <c r="G287" s="33" t="s">
        <v>98</v>
      </c>
    </row>
    <row r="288" spans="2:7">
      <c r="B288" s="55"/>
      <c r="C288" s="33"/>
      <c r="D288" s="57">
        <v>30</v>
      </c>
      <c r="E288" s="58"/>
      <c r="F288" s="58"/>
      <c r="G288" s="33" t="s">
        <v>288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40</v>
      </c>
      <c r="E300" s="56">
        <f>SUM(E286:E299)</f>
        <v>35.090000000000003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>
        <f>161.13</f>
        <v>161.13</v>
      </c>
      <c r="E307" s="58"/>
      <c r="F307" s="58"/>
      <c r="G307" s="33" t="s">
        <v>97</v>
      </c>
    </row>
    <row r="308" spans="2:7">
      <c r="B308" s="84"/>
      <c r="C308" s="66"/>
      <c r="D308" s="57">
        <f>68.66+13.86</f>
        <v>82.52</v>
      </c>
      <c r="E308" s="58"/>
      <c r="F308" s="58"/>
      <c r="G308" s="33" t="s">
        <v>216</v>
      </c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243.64999999999998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30</v>
      </c>
      <c r="C326" s="36"/>
      <c r="D326" s="57"/>
      <c r="E326" s="58">
        <f>88.25</f>
        <v>88.25</v>
      </c>
      <c r="F326" s="58"/>
      <c r="G326" s="33" t="s">
        <v>318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30</v>
      </c>
      <c r="C340" s="34" t="s">
        <v>66</v>
      </c>
      <c r="D340" s="56">
        <f>SUM(D326:D339)</f>
        <v>0</v>
      </c>
      <c r="E340" s="56">
        <f>SUM(E326:E339)</f>
        <v>88.25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40</v>
      </c>
      <c r="C366" s="36" t="s">
        <v>36</v>
      </c>
      <c r="D366" s="57"/>
      <c r="E366" s="58"/>
      <c r="F366" s="58">
        <f>4+4.45+4+3.4+4.5+3.5+4.45</f>
        <v>28.3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40</v>
      </c>
      <c r="C380" s="34" t="s">
        <v>66</v>
      </c>
      <c r="D380" s="56">
        <f>SUM(D366:D379)</f>
        <v>0</v>
      </c>
      <c r="E380" s="56">
        <f>SUM(E366:E379)</f>
        <v>0</v>
      </c>
      <c r="F380" s="56">
        <f>SUM(F366:F379)</f>
        <v>28.3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0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301" t="s">
        <v>10</v>
      </c>
      <c r="C424" s="302"/>
      <c r="D424" s="303" t="s">
        <v>11</v>
      </c>
      <c r="E424" s="303"/>
      <c r="F424" s="303"/>
      <c r="G424" s="302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-59.16</v>
      </c>
      <c r="C426" s="36" t="s">
        <v>334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-59.16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>
        <v>3.5</v>
      </c>
      <c r="G506" s="33" t="s">
        <v>330</v>
      </c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3.5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300-000000000000}"/>
    <hyperlink ref="I2:L3" location="'2018'!K4:N4" display="SALDO REAL" xr:uid="{00000000-0004-0000-0300-000001000000}"/>
    <hyperlink ref="I22" location="Trimestre!C39:F40" display="TELÉFONO" xr:uid="{00000000-0004-0000-0300-000002000000}"/>
    <hyperlink ref="I22:L23" location="'2018'!K7:N7" display="INGRESOS" xr:uid="{00000000-0004-0000-0300-000003000000}"/>
    <hyperlink ref="B2" location="Trimestre!C25:F26" display="HIPOTECA" xr:uid="{00000000-0004-0000-0300-000004000000}"/>
    <hyperlink ref="B2:G3" location="'2018'!K20:N20" display="'2018'!K20:N20" xr:uid="{00000000-0004-0000-0300-000005000000}"/>
    <hyperlink ref="B22" location="Trimestre!C25:F26" display="HIPOTECA" xr:uid="{00000000-0004-0000-0300-000006000000}"/>
    <hyperlink ref="B22:G23" location="'2018'!K21:N21" display="'2018'!K21:N21" xr:uid="{00000000-0004-0000-0300-000007000000}"/>
    <hyperlink ref="B42" location="Trimestre!C25:F26" display="HIPOTECA" xr:uid="{00000000-0004-0000-0300-000008000000}"/>
    <hyperlink ref="B42:G43" location="'2018'!K22:N22" display="'2018'!K22:N22" xr:uid="{00000000-0004-0000-0300-000009000000}"/>
    <hyperlink ref="B62" location="Trimestre!C25:F26" display="HIPOTECA" xr:uid="{00000000-0004-0000-0300-00000A000000}"/>
    <hyperlink ref="B62:G63" location="'2018'!K23:N23" display="'2018'!K23:N23" xr:uid="{00000000-0004-0000-0300-00000B000000}"/>
    <hyperlink ref="B82" location="Trimestre!C25:F26" display="HIPOTECA" xr:uid="{00000000-0004-0000-0300-00000C000000}"/>
    <hyperlink ref="B82:G83" location="'2018'!K24:N24" display="'2018'!K24:N24" xr:uid="{00000000-0004-0000-0300-00000D000000}"/>
    <hyperlink ref="B102" location="Trimestre!C25:F26" display="HIPOTECA" xr:uid="{00000000-0004-0000-0300-00000E000000}"/>
    <hyperlink ref="B102:G103" location="'2018'!K25:N25" display="'2018'!K25:N25" xr:uid="{00000000-0004-0000-0300-00000F000000}"/>
    <hyperlink ref="B122" location="Trimestre!C25:F26" display="HIPOTECA" xr:uid="{00000000-0004-0000-0300-000010000000}"/>
    <hyperlink ref="B122:G123" location="'2018'!K26:N26" display="'2018'!K26:N26" xr:uid="{00000000-0004-0000-0300-000011000000}"/>
    <hyperlink ref="B142" location="Trimestre!C25:F26" display="HIPOTECA" xr:uid="{00000000-0004-0000-0300-000012000000}"/>
    <hyperlink ref="B142:G143" location="'2018'!K27:N27" display="'2018'!K27:N27" xr:uid="{00000000-0004-0000-0300-000013000000}"/>
    <hyperlink ref="B162" location="Trimestre!C25:F26" display="HIPOTECA" xr:uid="{00000000-0004-0000-0300-000014000000}"/>
    <hyperlink ref="B162:G163" location="'2018'!K28:N28" display="'2018'!K28:N28" xr:uid="{00000000-0004-0000-0300-000015000000}"/>
    <hyperlink ref="B182" location="Trimestre!C25:F26" display="HIPOTECA" xr:uid="{00000000-0004-0000-0300-000016000000}"/>
    <hyperlink ref="B182:G183" location="'2018'!K29:N29" display="'2018'!K29:N29" xr:uid="{00000000-0004-0000-0300-000017000000}"/>
    <hyperlink ref="B202" location="Trimestre!C25:F26" display="HIPOTECA" xr:uid="{00000000-0004-0000-0300-000018000000}"/>
    <hyperlink ref="B202:G203" location="'2018'!K30:N30" display="'2018'!K30:N30" xr:uid="{00000000-0004-0000-0300-000019000000}"/>
    <hyperlink ref="B222" location="Trimestre!C25:F26" display="HIPOTECA" xr:uid="{00000000-0004-0000-0300-00001A000000}"/>
    <hyperlink ref="B222:G223" location="'2018'!K31:N31" display="'2018'!K31:N31" xr:uid="{00000000-0004-0000-0300-00001B000000}"/>
    <hyperlink ref="B242" location="Trimestre!C25:F26" display="HIPOTECA" xr:uid="{00000000-0004-0000-0300-00001C000000}"/>
    <hyperlink ref="B242:G243" location="'2018'!K32:N32" display="'2018'!K32:N32" xr:uid="{00000000-0004-0000-0300-00001D000000}"/>
    <hyperlink ref="B262" location="Trimestre!C25:F26" display="HIPOTECA" xr:uid="{00000000-0004-0000-0300-00001E000000}"/>
    <hyperlink ref="B262:G263" location="'2018'!K33:N33" display="'2018'!K33:N33" xr:uid="{00000000-0004-0000-0300-00001F000000}"/>
    <hyperlink ref="B282" location="Trimestre!C25:F26" display="HIPOTECA" xr:uid="{00000000-0004-0000-0300-000020000000}"/>
    <hyperlink ref="B282:G283" location="'2018'!K34:N34" display="'2018'!K34:N34" xr:uid="{00000000-0004-0000-0300-000021000000}"/>
    <hyperlink ref="B302" location="Trimestre!C25:F26" display="HIPOTECA" xr:uid="{00000000-0004-0000-0300-000022000000}"/>
    <hyperlink ref="B302:G303" location="'2018'!K35:N35" display="'2018'!K35:N35" xr:uid="{00000000-0004-0000-0300-000023000000}"/>
    <hyperlink ref="B322" location="Trimestre!C25:F26" display="HIPOTECA" xr:uid="{00000000-0004-0000-0300-000024000000}"/>
    <hyperlink ref="B322:G323" location="'2018'!K36:N36" display="'2018'!K36:N36" xr:uid="{00000000-0004-0000-0300-000025000000}"/>
    <hyperlink ref="B342" location="Trimestre!C25:F26" display="HIPOTECA" xr:uid="{00000000-0004-0000-0300-000026000000}"/>
    <hyperlink ref="B342:G343" location="'2018'!K37:N37" display="'2018'!K37:N37" xr:uid="{00000000-0004-0000-0300-000027000000}"/>
    <hyperlink ref="B362" location="Trimestre!C25:F26" display="HIPOTECA" xr:uid="{00000000-0004-0000-0300-000028000000}"/>
    <hyperlink ref="B362:G363" location="'2018'!K38:N38" display="'2018'!K38:N38" xr:uid="{00000000-0004-0000-0300-000029000000}"/>
    <hyperlink ref="B382" location="Trimestre!C25:F26" display="HIPOTECA" xr:uid="{00000000-0004-0000-0300-00002A000000}"/>
    <hyperlink ref="B382:G383" location="'2018'!K39:N39" display="'2018'!K39:N39" xr:uid="{00000000-0004-0000-0300-00002B000000}"/>
    <hyperlink ref="B402" location="Trimestre!C25:F26" display="HIPOTECA" xr:uid="{00000000-0004-0000-0300-00002C000000}"/>
    <hyperlink ref="B402:G403" location="'2018'!K40:N40" display="'2018'!K40:N40" xr:uid="{00000000-0004-0000-0300-00002D000000}"/>
    <hyperlink ref="B422" location="Trimestre!C25:F26" display="HIPOTECA" xr:uid="{00000000-0004-0000-0300-00002E000000}"/>
    <hyperlink ref="B422:G423" location="'2018'!K41:N41" display="'2018'!K41:N41" xr:uid="{00000000-0004-0000-0300-00002F000000}"/>
    <hyperlink ref="B442" location="Trimestre!C25:F26" display="HIPOTECA" xr:uid="{00000000-0004-0000-0300-000030000000}"/>
    <hyperlink ref="B442:G443" location="'2018'!K42:N42" display="'2018'!K42:N42" xr:uid="{00000000-0004-0000-0300-000031000000}"/>
    <hyperlink ref="B462" location="Trimestre!C25:F26" display="HIPOTECA" xr:uid="{00000000-0004-0000-0300-000032000000}"/>
    <hyperlink ref="B462:G463" location="'2018'!K43:N43" display="'2018'!K43:N43" xr:uid="{00000000-0004-0000-0300-000033000000}"/>
    <hyperlink ref="B482" location="Trimestre!C25:F26" display="HIPOTECA" xr:uid="{00000000-0004-0000-0300-000034000000}"/>
    <hyperlink ref="B482:G483" location="'2018'!K44:N44" display="'2018'!K44:N44" xr:uid="{00000000-0004-0000-0300-000035000000}"/>
    <hyperlink ref="B502" location="Trimestre!C25:F26" display="HIPOTECA" xr:uid="{00000000-0004-0000-0300-000036000000}"/>
    <hyperlink ref="B502:G503" location="'2018'!K45:N45" display="'2018'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workbookViewId="0">
      <selection activeCell="D13" sqref="D1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31" t="s">
        <v>70</v>
      </c>
      <c r="J4" s="32" t="s">
        <v>71</v>
      </c>
      <c r="K4" s="296" t="s">
        <v>72</v>
      </c>
      <c r="L4" s="297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8">
        <v>1117.3699999999999</v>
      </c>
      <c r="L5" s="299"/>
      <c r="M5" s="82"/>
      <c r="N5" s="1"/>
      <c r="R5" s="3"/>
    </row>
    <row r="6" spans="1:22" ht="15.75">
      <c r="A6" s="163">
        <f>'03'!A6+B6-E6</f>
        <v>2.5500000000000114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62" t="s">
        <v>73</v>
      </c>
      <c r="J6" s="35" t="s">
        <v>75</v>
      </c>
      <c r="K6" s="288">
        <v>292.37</v>
      </c>
      <c r="L6" s="289"/>
      <c r="M6" s="1" t="s">
        <v>266</v>
      </c>
      <c r="N6" s="1"/>
      <c r="R6" s="3"/>
    </row>
    <row r="7" spans="1:22" ht="15.75">
      <c r="A7" s="163">
        <f>'03'!A7+B7-E7</f>
        <v>-449.3</v>
      </c>
      <c r="B7" s="55">
        <v>60</v>
      </c>
      <c r="C7" s="33" t="s">
        <v>325</v>
      </c>
      <c r="D7" s="57"/>
      <c r="E7" s="58">
        <v>17.46</v>
      </c>
      <c r="F7" s="58"/>
      <c r="G7" s="33" t="s">
        <v>106</v>
      </c>
      <c r="H7" s="82"/>
      <c r="I7" s="62" t="s">
        <v>76</v>
      </c>
      <c r="J7" s="35" t="s">
        <v>77</v>
      </c>
      <c r="K7" s="288">
        <f>6685.64-16.84-6.88</f>
        <v>6661.92</v>
      </c>
      <c r="L7" s="289"/>
      <c r="M7" s="1"/>
      <c r="N7" s="1"/>
      <c r="R7" s="3"/>
    </row>
    <row r="8" spans="1:22" ht="15.75">
      <c r="A8" s="163">
        <f>'03'!A8+B8-E8</f>
        <v>-219.42000000000002</v>
      </c>
      <c r="B8" s="55">
        <v>0</v>
      </c>
      <c r="C8" s="33" t="s">
        <v>38</v>
      </c>
      <c r="D8" s="57"/>
      <c r="E8" s="58">
        <v>100.01</v>
      </c>
      <c r="F8" s="58"/>
      <c r="G8" s="33" t="s">
        <v>38</v>
      </c>
      <c r="H8" s="1"/>
      <c r="I8" s="62" t="s">
        <v>76</v>
      </c>
      <c r="J8" s="35" t="s">
        <v>78</v>
      </c>
      <c r="K8" s="288">
        <v>5000</v>
      </c>
      <c r="L8" s="289"/>
      <c r="M8" s="1"/>
      <c r="N8" s="1"/>
      <c r="R8" s="3"/>
    </row>
    <row r="9" spans="1:22" ht="15.75">
      <c r="A9" s="163">
        <f>'03'!A9+B9-E9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88">
        <v>621.13</v>
      </c>
      <c r="L9" s="289"/>
      <c r="M9" s="1"/>
      <c r="N9" s="1"/>
      <c r="R9" s="3"/>
    </row>
    <row r="10" spans="1:22" ht="15.75">
      <c r="A10" s="163">
        <f>'03'!A10+B10-E10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8">
        <v>1800.04</v>
      </c>
      <c r="L10" s="289"/>
      <c r="M10" s="1" t="s">
        <v>265</v>
      </c>
      <c r="N10" s="1"/>
      <c r="R10" s="3"/>
    </row>
    <row r="11" spans="1:22" ht="15.75">
      <c r="A11" s="163">
        <f>'03'!A11+B11-E11</f>
        <v>3.0400000000000027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8">
        <f>90+30+15</f>
        <v>135</v>
      </c>
      <c r="L11" s="289"/>
      <c r="M11" s="1"/>
      <c r="N11" s="1"/>
      <c r="R11" s="3"/>
    </row>
    <row r="12" spans="1:22" ht="15.75">
      <c r="A12" s="163">
        <f>'03'!A12+B12-E12</f>
        <v>385.52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88">
        <v>5092.08</v>
      </c>
      <c r="L12" s="289"/>
      <c r="M12" s="140"/>
      <c r="N12" s="1"/>
      <c r="R12" s="3"/>
    </row>
    <row r="13" spans="1:22" ht="15.75">
      <c r="A13" s="163">
        <f>'03'!A13+B13-D13</f>
        <v>67.069999999999979</v>
      </c>
      <c r="B13" s="55">
        <v>50</v>
      </c>
      <c r="C13" s="33" t="s">
        <v>196</v>
      </c>
      <c r="D13" s="57">
        <v>82.95</v>
      </c>
      <c r="E13" s="58"/>
      <c r="F13" s="58"/>
      <c r="G13" s="33" t="s">
        <v>352</v>
      </c>
      <c r="H13" s="1"/>
      <c r="I13" s="62"/>
      <c r="J13" s="35"/>
      <c r="K13" s="288"/>
      <c r="L13" s="289"/>
      <c r="M13" s="1"/>
      <c r="N13" s="1"/>
      <c r="R13" s="3"/>
    </row>
    <row r="14" spans="1:22" ht="15.75">
      <c r="A14" s="163">
        <f>'03'!A14+B14-E14</f>
        <v>100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8"/>
      <c r="L14" s="289"/>
      <c r="M14" s="1"/>
      <c r="N14" s="1"/>
      <c r="R14" s="3"/>
    </row>
    <row r="15" spans="1:22" ht="15.75">
      <c r="A15" s="163">
        <f>'03'!A15+B15-E15</f>
        <v>7</v>
      </c>
      <c r="B15" s="55">
        <v>7</v>
      </c>
      <c r="C15" s="33" t="s">
        <v>352</v>
      </c>
      <c r="D15" s="57"/>
      <c r="E15" s="58"/>
      <c r="F15" s="58"/>
      <c r="G15" s="33"/>
      <c r="H15" s="1"/>
      <c r="I15" s="62"/>
      <c r="J15" s="35"/>
      <c r="K15" s="288"/>
      <c r="L15" s="289"/>
      <c r="M15" s="1"/>
      <c r="N15" s="1"/>
      <c r="R15" s="3"/>
    </row>
    <row r="16" spans="1:22" ht="15.75">
      <c r="A16" s="163">
        <f>'03'!A16+B16-E16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8"/>
      <c r="L16" s="28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8"/>
      <c r="L17" s="28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4"/>
      <c r="L18" s="30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4">
        <f>SUM(K5:K18)</f>
        <v>20719.909999999996</v>
      </c>
      <c r="L19" s="305"/>
      <c r="M19" s="1"/>
      <c r="N19" s="1"/>
      <c r="R19" s="3"/>
    </row>
    <row r="20" spans="1:18" ht="16.5" thickBot="1">
      <c r="A20" s="163">
        <f>SUM(A6:A15)</f>
        <v>-100.54000000000013</v>
      </c>
      <c r="B20" s="56">
        <f>SUM(B6:B19)</f>
        <v>704</v>
      </c>
      <c r="C20" s="34" t="s">
        <v>66</v>
      </c>
      <c r="D20" s="56">
        <f>SUM(D6:D19)</f>
        <v>82.95</v>
      </c>
      <c r="E20" s="56">
        <f>SUM(E6:E19)</f>
        <v>601.64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296" t="s">
        <v>134</v>
      </c>
      <c r="L24" s="297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276</v>
      </c>
      <c r="K25" s="298">
        <v>249.22</v>
      </c>
      <c r="L25" s="299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336</v>
      </c>
      <c r="K26" s="288">
        <v>197.22</v>
      </c>
      <c r="L26" s="289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f>30.68+104.38</f>
        <v>135.06</v>
      </c>
      <c r="E27" s="58"/>
      <c r="F27" s="58"/>
      <c r="G27" s="33" t="s">
        <v>44</v>
      </c>
      <c r="H27" s="1"/>
      <c r="I27" s="151">
        <v>6</v>
      </c>
      <c r="J27" s="35" t="s">
        <v>355</v>
      </c>
      <c r="K27" s="288">
        <v>2290.23</v>
      </c>
      <c r="L27" s="289"/>
      <c r="M27" s="1"/>
      <c r="R27" s="3"/>
    </row>
    <row r="28" spans="1:18" ht="15.75">
      <c r="A28" s="1"/>
      <c r="B28" s="55">
        <v>40</v>
      </c>
      <c r="C28" s="66" t="s">
        <v>45</v>
      </c>
      <c r="D28" s="57">
        <v>258.52</v>
      </c>
      <c r="E28" s="58"/>
      <c r="F28" s="58"/>
      <c r="G28" s="33" t="s">
        <v>45</v>
      </c>
      <c r="H28" s="1"/>
      <c r="I28" s="151">
        <v>5</v>
      </c>
      <c r="J28" s="35" t="s">
        <v>356</v>
      </c>
      <c r="K28" s="288">
        <v>80.099999999999994</v>
      </c>
      <c r="L28" s="289"/>
      <c r="M28" s="1"/>
      <c r="R28" s="3"/>
    </row>
    <row r="29" spans="1:18" ht="15.75">
      <c r="A29" s="1"/>
      <c r="B29" s="55">
        <v>18</v>
      </c>
      <c r="C29" s="66" t="s">
        <v>41</v>
      </c>
      <c r="D29" s="57"/>
      <c r="E29" s="58"/>
      <c r="F29" s="58"/>
      <c r="G29" s="33" t="s">
        <v>41</v>
      </c>
      <c r="H29" s="1"/>
      <c r="I29" s="151">
        <v>4</v>
      </c>
      <c r="J29" s="35" t="s">
        <v>357</v>
      </c>
      <c r="K29" s="288">
        <v>0.03</v>
      </c>
      <c r="L29" s="289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>
        <v>2</v>
      </c>
      <c r="J30" s="35" t="s">
        <v>276</v>
      </c>
      <c r="K30" s="288">
        <v>325.64</v>
      </c>
      <c r="L30" s="28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8"/>
      <c r="L31" s="28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8"/>
      <c r="L32" s="28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8"/>
      <c r="L33" s="28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8"/>
      <c r="L34" s="28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8"/>
      <c r="L35" s="28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8"/>
      <c r="L36" s="28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8"/>
      <c r="L37" s="28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4"/>
      <c r="L38" s="30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1293.58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101.37+37.45+32.49</f>
        <v>171.31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108.9-D146+31.37</f>
        <v>60.050000000000011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11.16+13.38+122.9</f>
        <v>147.44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10</v>
      </c>
      <c r="C49" s="33" t="s">
        <v>329</v>
      </c>
      <c r="D49" s="57">
        <f>12.02+1.54</f>
        <v>13.559999999999999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23.92+31.71</f>
        <v>55.63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85.52+79.04-D187</f>
        <v>151.56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f>6.88</f>
        <v>6.88</v>
      </c>
      <c r="E54" s="58"/>
      <c r="F54" s="58"/>
      <c r="G54" s="33" t="s">
        <v>257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410</v>
      </c>
      <c r="C60" s="34" t="s">
        <v>66</v>
      </c>
      <c r="D60" s="56">
        <f>SUM(D46:D59)</f>
        <v>606.42999999999995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21.3</f>
        <v>21.3</v>
      </c>
      <c r="E66" s="58"/>
      <c r="F66" s="58"/>
      <c r="G66" s="36" t="s">
        <v>301</v>
      </c>
      <c r="H66" s="1"/>
      <c r="M66" s="1"/>
      <c r="R66" s="3"/>
    </row>
    <row r="67" spans="1:18" ht="15.75">
      <c r="A67" s="1"/>
      <c r="B67" s="55"/>
      <c r="C67" s="33"/>
      <c r="D67" s="57">
        <v>6.1</v>
      </c>
      <c r="E67" s="58"/>
      <c r="F67" s="58"/>
      <c r="G67" s="70" t="s">
        <v>338</v>
      </c>
      <c r="H67" s="1"/>
      <c r="M67" s="1"/>
      <c r="R67" s="3"/>
    </row>
    <row r="68" spans="1:18" ht="15.75">
      <c r="A68" s="1"/>
      <c r="B68" s="55"/>
      <c r="C68" s="33"/>
      <c r="D68" s="57">
        <f>22.75+4.9</f>
        <v>27.65</v>
      </c>
      <c r="E68" s="58"/>
      <c r="F68" s="58"/>
      <c r="G68" s="33" t="s">
        <v>342</v>
      </c>
      <c r="H68" s="1"/>
      <c r="M68" s="1"/>
      <c r="R68" s="3"/>
    </row>
    <row r="69" spans="1:18" ht="15.75">
      <c r="A69" s="1"/>
      <c r="B69" s="55"/>
      <c r="C69" s="33"/>
      <c r="D69" s="57">
        <f>30.35</f>
        <v>30.35</v>
      </c>
      <c r="E69" s="58"/>
      <c r="F69" s="58"/>
      <c r="G69" s="33" t="s">
        <v>207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v>12.9</v>
      </c>
      <c r="G70" s="33" t="s">
        <v>350</v>
      </c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85.4</v>
      </c>
      <c r="E80" s="56">
        <f>SUM(E66:E79)</f>
        <v>0</v>
      </c>
      <c r="F80" s="56">
        <f>SUM(F66:F79)</f>
        <v>12.9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42.04+47.79</f>
        <v>89.83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89.83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f>10+15</f>
        <v>25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>
        <v>7.99</v>
      </c>
      <c r="F128" s="58"/>
      <c r="G128" s="33" t="s">
        <v>337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>
        <f>7*11.46</f>
        <v>80.22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f>23.07</f>
        <v>23.07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103.28999999999999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f>88.9+13.6</f>
        <v>102.5</v>
      </c>
      <c r="E166" s="58"/>
      <c r="F166" s="58"/>
      <c r="G166" s="33" t="s">
        <v>332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80.099999999999994</v>
      </c>
      <c r="C167" s="33" t="s">
        <v>308</v>
      </c>
      <c r="D167" s="57"/>
      <c r="E167" s="58">
        <f>80.1</f>
        <v>80.099999999999994</v>
      </c>
      <c r="F167" s="58"/>
      <c r="G167" s="33" t="s">
        <v>268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280.10000000000002</v>
      </c>
      <c r="C180" s="34" t="s">
        <v>66</v>
      </c>
      <c r="D180" s="56">
        <f>SUM(D166:D179)</f>
        <v>102.5</v>
      </c>
      <c r="E180" s="56">
        <f>SUM(E166:E179)</f>
        <v>80.099999999999994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73</v>
      </c>
      <c r="E186" s="58"/>
      <c r="F186" s="58"/>
      <c r="G186" s="33" t="s">
        <v>347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13</v>
      </c>
      <c r="E187" s="58"/>
      <c r="F187" s="58"/>
      <c r="G187" s="33" t="s">
        <v>111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86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>
        <v>24.5</v>
      </c>
      <c r="E207" s="58"/>
      <c r="F207" s="58"/>
      <c r="G207" s="33" t="s">
        <v>343</v>
      </c>
    </row>
    <row r="208" spans="2:7">
      <c r="B208" s="55"/>
      <c r="C208" s="33"/>
      <c r="D208" s="57">
        <v>7.04</v>
      </c>
      <c r="E208" s="58"/>
      <c r="F208" s="58"/>
      <c r="G208" s="33" t="s">
        <v>345</v>
      </c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31.54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70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93.35+8.92</f>
        <v>102.27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v>6</v>
      </c>
      <c r="E250" s="58"/>
      <c r="F250" s="58"/>
      <c r="G250" s="33" t="s">
        <v>340</v>
      </c>
    </row>
    <row r="251" spans="2:7">
      <c r="B251" s="55"/>
      <c r="C251" s="33"/>
      <c r="D251" s="57">
        <f>86.97</f>
        <v>86.97</v>
      </c>
      <c r="E251" s="58"/>
      <c r="F251" s="58"/>
      <c r="G251" s="33" t="s">
        <v>349</v>
      </c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70</v>
      </c>
      <c r="C260" s="34" t="s">
        <v>66</v>
      </c>
      <c r="D260" s="56">
        <f>SUM(D246:D259)</f>
        <v>195.24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20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20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7" ht="15" customHeight="1" thickBot="1">
      <c r="B283" s="293"/>
      <c r="C283" s="294"/>
      <c r="D283" s="294"/>
      <c r="E283" s="294"/>
      <c r="F283" s="294"/>
      <c r="G283" s="295"/>
    </row>
    <row r="284" spans="2:7">
      <c r="B284" s="301" t="s">
        <v>10</v>
      </c>
      <c r="C284" s="302"/>
      <c r="D284" s="303" t="s">
        <v>11</v>
      </c>
      <c r="E284" s="303"/>
      <c r="F284" s="303"/>
      <c r="G284" s="302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150</v>
      </c>
      <c r="C286" s="36" t="s">
        <v>36</v>
      </c>
      <c r="D286" s="57">
        <f>16.84</f>
        <v>16.84</v>
      </c>
      <c r="E286" s="58"/>
      <c r="F286" s="58"/>
      <c r="G286" s="33" t="s">
        <v>333</v>
      </c>
    </row>
    <row r="287" spans="2:7">
      <c r="B287" s="55">
        <v>224.6</v>
      </c>
      <c r="C287" s="33" t="s">
        <v>105</v>
      </c>
      <c r="D287" s="57">
        <v>34.99</v>
      </c>
      <c r="E287" s="58"/>
      <c r="F287" s="58"/>
      <c r="G287" s="33" t="s">
        <v>339</v>
      </c>
    </row>
    <row r="288" spans="2:7">
      <c r="B288" s="55"/>
      <c r="C288" s="33"/>
      <c r="D288" s="57">
        <v>22.15</v>
      </c>
      <c r="E288" s="58"/>
      <c r="F288" s="58"/>
      <c r="G288" s="33" t="s">
        <v>344</v>
      </c>
    </row>
    <row r="289" spans="2:7">
      <c r="B289" s="55"/>
      <c r="C289" s="33"/>
      <c r="D289" s="57">
        <v>198</v>
      </c>
      <c r="E289" s="58"/>
      <c r="F289" s="58"/>
      <c r="G289" s="33" t="s">
        <v>348</v>
      </c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374.6</v>
      </c>
      <c r="C300" s="34" t="s">
        <v>66</v>
      </c>
      <c r="D300" s="56">
        <f>SUM(D286:D299)</f>
        <v>271.98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>
        <f>34.5+34.5</f>
        <v>69</v>
      </c>
      <c r="E306" s="58"/>
      <c r="F306" s="58"/>
      <c r="G306" s="33" t="s">
        <v>101</v>
      </c>
    </row>
    <row r="307" spans="2:7">
      <c r="B307" s="84"/>
      <c r="C307" s="66"/>
      <c r="D307" s="57">
        <f>9.1</f>
        <v>9.1</v>
      </c>
      <c r="E307" s="58"/>
      <c r="F307" s="58">
        <f>3.6</f>
        <v>3.6</v>
      </c>
      <c r="G307" s="33" t="s">
        <v>97</v>
      </c>
    </row>
    <row r="308" spans="2:7">
      <c r="B308" s="84"/>
      <c r="C308" s="66"/>
      <c r="D308" s="57"/>
      <c r="E308" s="58"/>
      <c r="F308" s="58">
        <f>50</f>
        <v>50</v>
      </c>
      <c r="G308" s="33" t="s">
        <v>239</v>
      </c>
    </row>
    <row r="309" spans="2:7">
      <c r="B309" s="55"/>
      <c r="C309" s="33"/>
      <c r="D309" s="57">
        <v>65.819999999999993</v>
      </c>
      <c r="E309" s="58"/>
      <c r="F309" s="58"/>
      <c r="G309" s="33" t="s">
        <v>346</v>
      </c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143.91999999999999</v>
      </c>
      <c r="E320" s="56">
        <f>SUM(E306:E319)</f>
        <v>0</v>
      </c>
      <c r="F320" s="56">
        <f>SUM(F306:F319)</f>
        <v>53.6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-224.6</v>
      </c>
      <c r="C326" s="36" t="s">
        <v>354</v>
      </c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-224.6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353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40</v>
      </c>
      <c r="C366" s="36" t="s">
        <v>36</v>
      </c>
      <c r="D366" s="57">
        <f>3.4+3.5+4.45+4+5+3.7+4.45</f>
        <v>28.5</v>
      </c>
      <c r="E366" s="58"/>
      <c r="F366" s="58"/>
      <c r="G366" s="70" t="s">
        <v>91</v>
      </c>
    </row>
    <row r="367" spans="2:7">
      <c r="B367" s="55"/>
      <c r="C367" s="33"/>
      <c r="D367" s="57">
        <f>40.99</f>
        <v>40.99</v>
      </c>
      <c r="E367" s="58"/>
      <c r="F367" s="58"/>
      <c r="G367" s="70" t="s">
        <v>92</v>
      </c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40</v>
      </c>
      <c r="C380" s="34" t="s">
        <v>66</v>
      </c>
      <c r="D380" s="56">
        <f>SUM(D366:D379)</f>
        <v>69.490000000000009</v>
      </c>
      <c r="E380" s="56">
        <f>SUM(E366:E379)</f>
        <v>0</v>
      </c>
      <c r="F380" s="56">
        <f>SUM(F366:F379)</f>
        <v>0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0.03</v>
      </c>
      <c r="C406" s="36" t="s">
        <v>357</v>
      </c>
      <c r="D406" s="57"/>
      <c r="E406" s="58">
        <v>20</v>
      </c>
      <c r="F406" s="58"/>
      <c r="G406" s="33" t="s">
        <v>341</v>
      </c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0.03</v>
      </c>
      <c r="C420" s="34" t="s">
        <v>66</v>
      </c>
      <c r="D420" s="56">
        <f>SUM(D406:D419)</f>
        <v>0</v>
      </c>
      <c r="E420" s="56">
        <f>SUM(E406:E419)</f>
        <v>20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0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301" t="s">
        <v>10</v>
      </c>
      <c r="C424" s="302"/>
      <c r="D424" s="303" t="s">
        <v>11</v>
      </c>
      <c r="E424" s="303"/>
      <c r="F424" s="303"/>
      <c r="G424" s="302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2290.23</v>
      </c>
      <c r="C426" s="36" t="s">
        <v>358</v>
      </c>
      <c r="D426" s="57"/>
      <c r="E426" s="58"/>
      <c r="F426" s="58"/>
      <c r="G426" s="33"/>
    </row>
    <row r="427" spans="2:7">
      <c r="B427" s="55">
        <v>275.29000000000002</v>
      </c>
      <c r="C427" s="33" t="s">
        <v>360</v>
      </c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2565.52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400-000000000000}"/>
    <hyperlink ref="I2:L3" location="'2018'!O4:R4" display="SALDO REAL" xr:uid="{00000000-0004-0000-0400-000001000000}"/>
    <hyperlink ref="I22" location="Trimestre!C39:F40" display="TELÉFONO" xr:uid="{00000000-0004-0000-0400-000002000000}"/>
    <hyperlink ref="I22:L23" location="'2018'!O7:R7" display="INGRESOS" xr:uid="{00000000-0004-0000-0400-000003000000}"/>
    <hyperlink ref="B2" location="Trimestre!C25:F26" display="HIPOTECA" xr:uid="{00000000-0004-0000-0400-000004000000}"/>
    <hyperlink ref="B2:G3" location="'2018'!O20:R20" display="'2018'!O20:R20" xr:uid="{00000000-0004-0000-0400-000005000000}"/>
    <hyperlink ref="B22" location="Trimestre!C25:F26" display="HIPOTECA" xr:uid="{00000000-0004-0000-0400-000006000000}"/>
    <hyperlink ref="B22:G23" location="'2018'!O21:R21" display="'2018'!O21:R21" xr:uid="{00000000-0004-0000-0400-000007000000}"/>
    <hyperlink ref="B42" location="Trimestre!C25:F26" display="HIPOTECA" xr:uid="{00000000-0004-0000-0400-000008000000}"/>
    <hyperlink ref="B42:G43" location="'2018'!O22:R22" display="'2018'!O22:R22" xr:uid="{00000000-0004-0000-0400-000009000000}"/>
    <hyperlink ref="B62" location="Trimestre!C25:F26" display="HIPOTECA" xr:uid="{00000000-0004-0000-0400-00000A000000}"/>
    <hyperlink ref="B62:G63" location="'2018'!O23:R23" display="'2018'!O23:R23" xr:uid="{00000000-0004-0000-0400-00000B000000}"/>
    <hyperlink ref="B82" location="Trimestre!C25:F26" display="HIPOTECA" xr:uid="{00000000-0004-0000-0400-00000C000000}"/>
    <hyperlink ref="B82:G83" location="'2018'!O24:R24" display="'2018'!O24:R24" xr:uid="{00000000-0004-0000-0400-00000D000000}"/>
    <hyperlink ref="B102" location="Trimestre!C25:F26" display="HIPOTECA" xr:uid="{00000000-0004-0000-0400-00000E000000}"/>
    <hyperlink ref="B102:G103" location="'2018'!O25:R25" display="'2018'!O25:R25" xr:uid="{00000000-0004-0000-0400-00000F000000}"/>
    <hyperlink ref="B122" location="Trimestre!C25:F26" display="HIPOTECA" xr:uid="{00000000-0004-0000-0400-000010000000}"/>
    <hyperlink ref="B122:G123" location="'2018'!O26:R26" display="'2018'!O26:R26" xr:uid="{00000000-0004-0000-0400-000011000000}"/>
    <hyperlink ref="B142" location="Trimestre!C25:F26" display="HIPOTECA" xr:uid="{00000000-0004-0000-0400-000012000000}"/>
    <hyperlink ref="B142:G143" location="'2018'!O27:R27" display="'2018'!O27:R27" xr:uid="{00000000-0004-0000-0400-000013000000}"/>
    <hyperlink ref="B162" location="Trimestre!C25:F26" display="HIPOTECA" xr:uid="{00000000-0004-0000-0400-000014000000}"/>
    <hyperlink ref="B162:G163" location="'2018'!O28:R28" display="'2018'!O28:R28" xr:uid="{00000000-0004-0000-0400-000015000000}"/>
    <hyperlink ref="B182" location="Trimestre!C25:F26" display="HIPOTECA" xr:uid="{00000000-0004-0000-0400-000016000000}"/>
    <hyperlink ref="B182:G183" location="'2018'!O29:R29" display="'2018'!O29:R29" xr:uid="{00000000-0004-0000-0400-000017000000}"/>
    <hyperlink ref="B202" location="Trimestre!C25:F26" display="HIPOTECA" xr:uid="{00000000-0004-0000-0400-000018000000}"/>
    <hyperlink ref="B202:G203" location="'2018'!O30:R30" display="'2018'!O30:R30" xr:uid="{00000000-0004-0000-0400-000019000000}"/>
    <hyperlink ref="B222" location="Trimestre!C25:F26" display="HIPOTECA" xr:uid="{00000000-0004-0000-0400-00001A000000}"/>
    <hyperlink ref="B222:G223" location="'2018'!O31:R31" display="'2018'!O31:R31" xr:uid="{00000000-0004-0000-0400-00001B000000}"/>
    <hyperlink ref="B242" location="Trimestre!C25:F26" display="HIPOTECA" xr:uid="{00000000-0004-0000-0400-00001C000000}"/>
    <hyperlink ref="B242:G243" location="'2018'!O32:R32" display="'2018'!O32:R32" xr:uid="{00000000-0004-0000-0400-00001D000000}"/>
    <hyperlink ref="B262" location="Trimestre!C25:F26" display="HIPOTECA" xr:uid="{00000000-0004-0000-0400-00001E000000}"/>
    <hyperlink ref="B262:G263" location="'2018'!O33:R33" display="'2018'!O33:R33" xr:uid="{00000000-0004-0000-0400-00001F000000}"/>
    <hyperlink ref="B282" location="Trimestre!C25:F26" display="HIPOTECA" xr:uid="{00000000-0004-0000-0400-000020000000}"/>
    <hyperlink ref="B282:G283" location="'2018'!O34:R34" display="'2018'!O34:R34" xr:uid="{00000000-0004-0000-0400-000021000000}"/>
    <hyperlink ref="B302" location="Trimestre!C25:F26" display="HIPOTECA" xr:uid="{00000000-0004-0000-0400-000022000000}"/>
    <hyperlink ref="B302:G303" location="'2018'!O35:R35" display="'2018'!O35:R35" xr:uid="{00000000-0004-0000-0400-000023000000}"/>
    <hyperlink ref="B322" location="Trimestre!C25:F26" display="HIPOTECA" xr:uid="{00000000-0004-0000-0400-000024000000}"/>
    <hyperlink ref="B322:G323" location="'2018'!O36:R36" display="'2018'!O36:R36" xr:uid="{00000000-0004-0000-0400-000025000000}"/>
    <hyperlink ref="B342" location="Trimestre!C25:F26" display="HIPOTECA" xr:uid="{00000000-0004-0000-0400-000026000000}"/>
    <hyperlink ref="B342:G343" location="'2018'!O37:R37" display="'2018'!O37:R37" xr:uid="{00000000-0004-0000-0400-000027000000}"/>
    <hyperlink ref="B362" location="Trimestre!C25:F26" display="HIPOTECA" xr:uid="{00000000-0004-0000-0400-000028000000}"/>
    <hyperlink ref="B362:G363" location="'2018'!O38:R38" display="'2018'!O38:R38" xr:uid="{00000000-0004-0000-0400-000029000000}"/>
    <hyperlink ref="B382" location="Trimestre!C25:F26" display="HIPOTECA" xr:uid="{00000000-0004-0000-0400-00002A000000}"/>
    <hyperlink ref="B382:G383" location="'2018'!O39:R39" display="'2018'!O39:R39" xr:uid="{00000000-0004-0000-0400-00002B000000}"/>
    <hyperlink ref="B402" location="Trimestre!C25:F26" display="HIPOTECA" xr:uid="{00000000-0004-0000-0400-00002C000000}"/>
    <hyperlink ref="B402:G403" location="'2018'!O40:R40" display="'2018'!O40:R40" xr:uid="{00000000-0004-0000-0400-00002D000000}"/>
    <hyperlink ref="B422" location="Trimestre!C25:F26" display="HIPOTECA" xr:uid="{00000000-0004-0000-0400-00002E000000}"/>
    <hyperlink ref="B422:G423" location="'2018'!O41:R41" display="'2018'!O41:R41" xr:uid="{00000000-0004-0000-0400-00002F000000}"/>
    <hyperlink ref="B442" location="Trimestre!C25:F26" display="HIPOTECA" xr:uid="{00000000-0004-0000-0400-000030000000}"/>
    <hyperlink ref="B442:G443" location="'2018'!O42:R42" display="'2018'!O42:R42" xr:uid="{00000000-0004-0000-0400-000031000000}"/>
    <hyperlink ref="B462" location="Trimestre!C25:F26" display="HIPOTECA" xr:uid="{00000000-0004-0000-0400-000032000000}"/>
    <hyperlink ref="B462:G463" location="'2018'!O43:R43" display="'2018'!O43:R43" xr:uid="{00000000-0004-0000-0400-000033000000}"/>
    <hyperlink ref="B482" location="Trimestre!C25:F26" display="HIPOTECA" xr:uid="{00000000-0004-0000-0400-000034000000}"/>
    <hyperlink ref="B482:G483" location="'2018'!O44:R44" display="'2018'!O44:R44" xr:uid="{00000000-0004-0000-0400-000035000000}"/>
    <hyperlink ref="B502" location="Trimestre!C25:F26" display="HIPOTECA" xr:uid="{00000000-0004-0000-0400-000036000000}"/>
    <hyperlink ref="B502:G503" location="'2018'!O45:R45" display="'2018'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B1" workbookViewId="0">
      <selection activeCell="J25" sqref="J25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31" t="s">
        <v>70</v>
      </c>
      <c r="J4" s="32" t="s">
        <v>71</v>
      </c>
      <c r="K4" s="296" t="s">
        <v>72</v>
      </c>
      <c r="L4" s="297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8">
        <v>1091.18</v>
      </c>
      <c r="L5" s="299"/>
      <c r="M5" s="82"/>
      <c r="N5" s="1"/>
      <c r="R5" s="3"/>
    </row>
    <row r="6" spans="1:22" ht="15.75">
      <c r="A6" s="163">
        <f>'04'!A6+B6-E6</f>
        <v>3.2400000000000091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62" t="s">
        <v>73</v>
      </c>
      <c r="J6" s="35" t="s">
        <v>75</v>
      </c>
      <c r="K6" s="288">
        <v>248.78</v>
      </c>
      <c r="L6" s="289"/>
      <c r="M6" s="1" t="s">
        <v>266</v>
      </c>
      <c r="N6" s="1"/>
      <c r="R6" s="3"/>
    </row>
    <row r="7" spans="1:22" ht="15.75">
      <c r="A7" s="163">
        <f>'04'!A7+B7-E7</f>
        <v>-389.3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62" t="s">
        <v>76</v>
      </c>
      <c r="J7" s="35" t="s">
        <v>77</v>
      </c>
      <c r="K7" s="288">
        <v>8736.65</v>
      </c>
      <c r="L7" s="289"/>
      <c r="M7" s="1"/>
      <c r="N7" s="1"/>
      <c r="R7" s="3"/>
    </row>
    <row r="8" spans="1:22" ht="15.75">
      <c r="A8" s="163">
        <f>'04'!A8+B8-E8</f>
        <v>-119.41000000000001</v>
      </c>
      <c r="B8" s="55">
        <v>100.01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88">
        <v>5000</v>
      </c>
      <c r="L8" s="289"/>
      <c r="M8" s="1"/>
      <c r="N8" s="1"/>
      <c r="R8" s="3"/>
    </row>
    <row r="9" spans="1:22" ht="15.75">
      <c r="A9" s="163">
        <f>'04'!A9+B9-E9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88">
        <v>621.13</v>
      </c>
      <c r="L9" s="289"/>
      <c r="M9" s="1"/>
      <c r="N9" s="1"/>
      <c r="R9" s="3"/>
    </row>
    <row r="10" spans="1:22" ht="15.75">
      <c r="A10" s="163">
        <f>'04'!A10+B10-E10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8">
        <v>1800.04</v>
      </c>
      <c r="L10" s="289"/>
      <c r="M10" s="1" t="s">
        <v>265</v>
      </c>
      <c r="N10" s="1"/>
      <c r="R10" s="3"/>
    </row>
    <row r="11" spans="1:22" ht="15.75">
      <c r="A11" s="163">
        <f>'04'!A11+B11-E11</f>
        <v>3.8000000000000078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8">
        <f>40+276</f>
        <v>316</v>
      </c>
      <c r="L11" s="289"/>
      <c r="M11" s="1"/>
      <c r="N11" s="1"/>
      <c r="R11" s="3"/>
    </row>
    <row r="12" spans="1:22" ht="15.75">
      <c r="A12" s="163">
        <f>'04'!A12+B12-E12</f>
        <v>461.9</v>
      </c>
      <c r="B12" s="55">
        <v>120</v>
      </c>
      <c r="C12" s="33" t="s">
        <v>195</v>
      </c>
      <c r="D12" s="57"/>
      <c r="E12" s="58">
        <f>43.62</f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88">
        <v>5092.08</v>
      </c>
      <c r="L12" s="289"/>
      <c r="M12" s="140"/>
      <c r="N12" s="1"/>
      <c r="R12" s="3"/>
    </row>
    <row r="13" spans="1:22" ht="15.75">
      <c r="A13" s="163">
        <f>'04'!A13+B13-E13</f>
        <v>117.06999999999998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62"/>
      <c r="J13" s="35"/>
      <c r="K13" s="288"/>
      <c r="L13" s="289"/>
      <c r="M13" s="1"/>
      <c r="N13" s="1"/>
      <c r="R13" s="3"/>
    </row>
    <row r="14" spans="1:22" ht="15.75">
      <c r="A14" s="163">
        <f>'04'!A14+B14-E14</f>
        <v>125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8"/>
      <c r="L14" s="289"/>
      <c r="M14" s="1"/>
      <c r="N14" s="1"/>
      <c r="R14" s="3"/>
    </row>
    <row r="15" spans="1:22" ht="15.75">
      <c r="A15" s="163">
        <f>'04'!A15+B15-E15</f>
        <v>14</v>
      </c>
      <c r="B15" s="55">
        <v>7</v>
      </c>
      <c r="C15" s="33" t="s">
        <v>352</v>
      </c>
      <c r="D15" s="57"/>
      <c r="E15" s="58"/>
      <c r="F15" s="58"/>
      <c r="G15" s="33"/>
      <c r="H15" s="1"/>
      <c r="I15" s="62"/>
      <c r="J15" s="35"/>
      <c r="K15" s="288"/>
      <c r="L15" s="289"/>
      <c r="M15" s="1"/>
      <c r="N15" s="1"/>
      <c r="R15" s="3"/>
    </row>
    <row r="16" spans="1:22" ht="15.75">
      <c r="A16" s="163">
        <f>'04'!A16+B16-E16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8"/>
      <c r="L16" s="28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8"/>
      <c r="L17" s="28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4"/>
      <c r="L18" s="30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4">
        <f>SUM(K5:K18)</f>
        <v>22905.86</v>
      </c>
      <c r="L19" s="305"/>
      <c r="M19" s="1"/>
      <c r="N19" s="1"/>
      <c r="R19" s="3"/>
    </row>
    <row r="20" spans="1:18" ht="16.5" thickBot="1">
      <c r="A20" s="163">
        <f>SUM(A6:A15)</f>
        <v>219.29999999999995</v>
      </c>
      <c r="B20" s="56">
        <f>SUM(B6:B19)</f>
        <v>804.01</v>
      </c>
      <c r="C20" s="34" t="s">
        <v>66</v>
      </c>
      <c r="D20" s="56">
        <f>SUM(D6:D19)</f>
        <v>0</v>
      </c>
      <c r="E20" s="56">
        <f>SUM(E6:E19)</f>
        <v>484.17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296" t="s">
        <v>134</v>
      </c>
      <c r="L24" s="297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5</v>
      </c>
      <c r="J25" s="3" t="s">
        <v>361</v>
      </c>
      <c r="K25" s="298">
        <v>38.64</v>
      </c>
      <c r="L25" s="299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276</v>
      </c>
      <c r="K26" s="288">
        <v>249.22</v>
      </c>
      <c r="L26" s="289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>
        <v>2</v>
      </c>
      <c r="J27" s="35" t="s">
        <v>336</v>
      </c>
      <c r="K27" s="288">
        <v>155.69999999999999</v>
      </c>
      <c r="L27" s="289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88"/>
      <c r="L28" s="289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8"/>
      <c r="L29" s="289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8"/>
      <c r="L30" s="28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8"/>
      <c r="L31" s="28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8"/>
      <c r="L32" s="28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8"/>
      <c r="L33" s="28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8"/>
      <c r="L34" s="28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8"/>
      <c r="L35" s="28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8"/>
      <c r="L36" s="28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8"/>
      <c r="L37" s="28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4"/>
      <c r="L38" s="30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1021.84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/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14.36</f>
        <v>14.36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/>
      <c r="C48" s="33"/>
      <c r="D48" s="57">
        <f>31.5+7.61+43.66+0.53</f>
        <v>83.3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40</v>
      </c>
      <c r="C49" s="33" t="s">
        <v>335</v>
      </c>
      <c r="D49" s="57">
        <f>8.84+7.49+33.58-4</f>
        <v>45.91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31.71</f>
        <v>31.71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>
        <f>1.49</f>
        <v>1.49</v>
      </c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36.13</f>
        <v>36.130000000000003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v>18.760000000000002</v>
      </c>
      <c r="E54" s="58"/>
      <c r="F54" s="58"/>
      <c r="G54" s="33" t="s">
        <v>98</v>
      </c>
      <c r="H54" s="1"/>
      <c r="M54" s="1"/>
      <c r="R54" s="3"/>
    </row>
    <row r="55" spans="1:18" ht="15.75">
      <c r="A55" s="1"/>
      <c r="B55" s="55"/>
      <c r="C55" s="33"/>
      <c r="D55" s="57">
        <v>7.95</v>
      </c>
      <c r="E55" s="58"/>
      <c r="F55" s="58"/>
      <c r="G55" s="33" t="s">
        <v>98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420</v>
      </c>
      <c r="C60" s="34" t="s">
        <v>66</v>
      </c>
      <c r="D60" s="56">
        <f>SUM(D46:D59)</f>
        <v>239.60999999999999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31.75</f>
        <v>31.75</v>
      </c>
      <c r="E66" s="58">
        <v>56.4</v>
      </c>
      <c r="F66" s="58"/>
      <c r="G66" s="36" t="s">
        <v>207</v>
      </c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>
        <f>9</f>
        <v>9</v>
      </c>
      <c r="G67" s="70" t="s">
        <v>365</v>
      </c>
      <c r="H67" s="1"/>
      <c r="M67" s="1"/>
      <c r="R67" s="3"/>
    </row>
    <row r="68" spans="1:18" ht="15.75">
      <c r="A68" s="1"/>
      <c r="B68" s="55">
        <f>150+73</f>
        <v>223</v>
      </c>
      <c r="C68" s="33" t="s">
        <v>367</v>
      </c>
      <c r="D68" s="57">
        <f>50+100</f>
        <v>150</v>
      </c>
      <c r="E68" s="58"/>
      <c r="F68" s="58">
        <f>35+38</f>
        <v>73</v>
      </c>
      <c r="G68" s="33" t="s">
        <v>367</v>
      </c>
      <c r="H68" s="1"/>
      <c r="M68" s="1"/>
      <c r="R68" s="3"/>
    </row>
    <row r="69" spans="1:18" ht="15.75">
      <c r="A69" s="1"/>
      <c r="B69" s="55"/>
      <c r="C69" s="33"/>
      <c r="D69" s="57">
        <f>8.25</f>
        <v>8.25</v>
      </c>
      <c r="E69" s="58"/>
      <c r="F69" s="58"/>
      <c r="G69" s="33" t="s">
        <v>368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f>6+4.5+8.4+4.1</f>
        <v>23</v>
      </c>
      <c r="G70" s="33" t="s">
        <v>377</v>
      </c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>
        <f>5.58</f>
        <v>5.58</v>
      </c>
      <c r="G71" s="33" t="s">
        <v>338</v>
      </c>
      <c r="H71" s="1"/>
      <c r="M71" s="1"/>
      <c r="R71" s="3"/>
    </row>
    <row r="72" spans="1:18" ht="15.75">
      <c r="A72" s="1"/>
      <c r="B72" s="55"/>
      <c r="C72" s="33"/>
      <c r="D72" s="57">
        <v>17</v>
      </c>
      <c r="E72" s="58"/>
      <c r="F72" s="58"/>
      <c r="G72" s="33" t="s">
        <v>87</v>
      </c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373</v>
      </c>
      <c r="C80" s="34" t="s">
        <v>66</v>
      </c>
      <c r="D80" s="56">
        <f>SUM(D66:D79)</f>
        <v>207</v>
      </c>
      <c r="E80" s="56">
        <f>SUM(E66:E79)</f>
        <v>56.4</v>
      </c>
      <c r="F80" s="56">
        <f>SUM(F66:F79)</f>
        <v>110.58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140</v>
      </c>
      <c r="C86" s="36" t="s">
        <v>51</v>
      </c>
      <c r="D86" s="57">
        <f>52.98+43.86+49.88+45.08</f>
        <v>191.8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140</v>
      </c>
      <c r="C100" s="34" t="s">
        <v>66</v>
      </c>
      <c r="D100" s="56">
        <f>SUM(D86:D99)</f>
        <v>191.8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>
        <v>8</v>
      </c>
      <c r="F128" s="58"/>
      <c r="G128" s="33" t="s">
        <v>337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27.5</v>
      </c>
      <c r="E140" s="56">
        <f>SUM(E126:E139)</f>
        <v>8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/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/>
      <c r="G166" s="3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0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f>52.75-D286</f>
        <v>37.75</v>
      </c>
      <c r="E186" s="58"/>
      <c r="F186" s="58"/>
      <c r="G186" s="33" t="s">
        <v>362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>
        <f>15</f>
        <v>15</v>
      </c>
      <c r="G187" s="33" t="s">
        <v>366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37.5</v>
      </c>
      <c r="E188" s="58"/>
      <c r="F188" s="58"/>
      <c r="G188" s="33" t="s">
        <v>389</v>
      </c>
    </row>
    <row r="189" spans="1:22">
      <c r="B189" s="55"/>
      <c r="C189" s="33"/>
      <c r="D189" s="57">
        <v>18</v>
      </c>
      <c r="E189" s="58"/>
      <c r="F189" s="58"/>
      <c r="G189" s="33" t="s">
        <v>390</v>
      </c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93.25</v>
      </c>
      <c r="E200" s="56">
        <f>SUM(E186:E199)</f>
        <v>0</v>
      </c>
      <c r="F200" s="56">
        <f>SUM(F186:F199)</f>
        <v>15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80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8.54-D52</f>
        <v>7.0499999999999989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v>3.99</v>
      </c>
      <c r="E250" s="58"/>
      <c r="F250" s="58"/>
      <c r="G250" s="33" t="s">
        <v>386</v>
      </c>
    </row>
    <row r="251" spans="2:7">
      <c r="B251" s="55"/>
      <c r="C251" s="33"/>
      <c r="D251" s="57">
        <f>84.34-D55</f>
        <v>76.39</v>
      </c>
      <c r="E251" s="58"/>
      <c r="F251" s="58"/>
      <c r="G251" s="33" t="s">
        <v>98</v>
      </c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87.43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>
        <v>1.54</v>
      </c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11.54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7" ht="15" customHeight="1" thickBot="1">
      <c r="B283" s="293"/>
      <c r="C283" s="294"/>
      <c r="D283" s="294"/>
      <c r="E283" s="294"/>
      <c r="F283" s="294"/>
      <c r="G283" s="295"/>
    </row>
    <row r="284" spans="2:7">
      <c r="B284" s="301" t="s">
        <v>10</v>
      </c>
      <c r="C284" s="302"/>
      <c r="D284" s="303" t="s">
        <v>11</v>
      </c>
      <c r="E284" s="303"/>
      <c r="F284" s="303"/>
      <c r="G284" s="302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150</v>
      </c>
      <c r="C286" s="36" t="s">
        <v>36</v>
      </c>
      <c r="D286" s="57">
        <f>15</f>
        <v>15</v>
      </c>
      <c r="E286" s="58"/>
      <c r="F286" s="58"/>
      <c r="G286" s="33" t="s">
        <v>363</v>
      </c>
    </row>
    <row r="287" spans="2:7">
      <c r="B287" s="55"/>
      <c r="C287" s="33"/>
      <c r="D287" s="57">
        <f>38.95+53</f>
        <v>91.95</v>
      </c>
      <c r="E287" s="58"/>
      <c r="F287" s="58"/>
      <c r="G287" s="33" t="s">
        <v>364</v>
      </c>
    </row>
    <row r="288" spans="2:7">
      <c r="B288" s="55"/>
      <c r="C288" s="33"/>
      <c r="D288" s="57"/>
      <c r="E288" s="58">
        <v>66.59</v>
      </c>
      <c r="F288" s="58"/>
      <c r="G288" s="33" t="s">
        <v>373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150</v>
      </c>
      <c r="C300" s="34" t="s">
        <v>66</v>
      </c>
      <c r="D300" s="56">
        <f>SUM(D286:D299)</f>
        <v>106.95</v>
      </c>
      <c r="E300" s="56">
        <f>SUM(E286:E299)</f>
        <v>66.59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>
        <f>134.93</f>
        <v>134.93</v>
      </c>
      <c r="E307" s="58"/>
      <c r="F307" s="58"/>
      <c r="G307" s="33" t="s">
        <v>97</v>
      </c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134.93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4</v>
      </c>
      <c r="C326" s="36"/>
      <c r="D326" s="57">
        <v>4</v>
      </c>
      <c r="E326" s="58"/>
      <c r="F326" s="58"/>
      <c r="G326" s="33" t="s">
        <v>388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4</v>
      </c>
      <c r="C340" s="34" t="s">
        <v>66</v>
      </c>
      <c r="D340" s="56">
        <f>SUM(D326:D339)</f>
        <v>4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50</v>
      </c>
      <c r="C366" s="36" t="s">
        <v>36</v>
      </c>
      <c r="D366" s="57">
        <f>3.2</f>
        <v>3.2</v>
      </c>
      <c r="E366" s="58"/>
      <c r="F366" s="58">
        <f>4.45+3.4+3.4+3.7+4.45+4.5+4.5+3.4+4</f>
        <v>35.799999999999997</v>
      </c>
      <c r="G366" s="70" t="s">
        <v>91</v>
      </c>
    </row>
    <row r="367" spans="2:7">
      <c r="B367" s="55"/>
      <c r="C367" s="33"/>
      <c r="D367" s="57"/>
      <c r="E367" s="58"/>
      <c r="F367" s="58">
        <f>6.5</f>
        <v>6.5</v>
      </c>
      <c r="G367" s="70" t="s">
        <v>92</v>
      </c>
    </row>
    <row r="368" spans="2:7">
      <c r="B368" s="55"/>
      <c r="C368" s="33"/>
      <c r="D368" s="57"/>
      <c r="E368" s="58">
        <f>24.54</f>
        <v>24.54</v>
      </c>
      <c r="F368" s="58"/>
      <c r="G368" s="33" t="s">
        <v>382</v>
      </c>
    </row>
    <row r="369" spans="2:7">
      <c r="B369" s="55"/>
      <c r="C369" s="33"/>
      <c r="D369" s="57"/>
      <c r="E369" s="58">
        <v>6.48</v>
      </c>
      <c r="F369" s="58"/>
      <c r="G369" s="33" t="s">
        <v>391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50</v>
      </c>
      <c r="C380" s="34" t="s">
        <v>66</v>
      </c>
      <c r="D380" s="56">
        <f>SUM(D366:D379)</f>
        <v>3.2</v>
      </c>
      <c r="E380" s="56">
        <f>SUM(E366:E379)</f>
        <v>31.02</v>
      </c>
      <c r="F380" s="56">
        <f>SUM(F366:F379)</f>
        <v>42.3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38.64</v>
      </c>
      <c r="C406" s="36" t="s">
        <v>361</v>
      </c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38.64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0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301" t="s">
        <v>10</v>
      </c>
      <c r="C424" s="302"/>
      <c r="D424" s="303" t="s">
        <v>11</v>
      </c>
      <c r="E424" s="303"/>
      <c r="F424" s="303"/>
      <c r="G424" s="302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-223</v>
      </c>
      <c r="C426" s="36" t="s">
        <v>369</v>
      </c>
      <c r="D426" s="57"/>
      <c r="E426" s="58"/>
      <c r="F426" s="58"/>
      <c r="G426" s="33"/>
    </row>
    <row r="427" spans="2:7">
      <c r="B427" s="55">
        <v>-27.52</v>
      </c>
      <c r="C427" s="33" t="s">
        <v>392</v>
      </c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-250.52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500-000000000000}"/>
    <hyperlink ref="I2:L3" location="'2018'!S4:V4" display="SALDO REAL" xr:uid="{00000000-0004-0000-0500-000001000000}"/>
    <hyperlink ref="I22" location="Trimestre!C39:F40" display="TELÉFONO" xr:uid="{00000000-0004-0000-0500-000002000000}"/>
    <hyperlink ref="I22:L23" location="'2018'!S7:V7" display="INGRESOS" xr:uid="{00000000-0004-0000-0500-000003000000}"/>
    <hyperlink ref="B2" location="Trimestre!C25:F26" display="HIPOTECA" xr:uid="{00000000-0004-0000-0500-000004000000}"/>
    <hyperlink ref="B2:G3" location="'2018'!S20:V20" display="'2018'!S20:V20" xr:uid="{00000000-0004-0000-0500-000005000000}"/>
    <hyperlink ref="B22" location="Trimestre!C25:F26" display="HIPOTECA" xr:uid="{00000000-0004-0000-0500-000006000000}"/>
    <hyperlink ref="B22:G23" location="'2018'!S21:V21" display="'2018'!S21:V21" xr:uid="{00000000-0004-0000-0500-000007000000}"/>
    <hyperlink ref="B42" location="Trimestre!C25:F26" display="HIPOTECA" xr:uid="{00000000-0004-0000-0500-000008000000}"/>
    <hyperlink ref="B42:G43" location="'2018'!S22:V22" display="'2018'!S22:V22" xr:uid="{00000000-0004-0000-0500-000009000000}"/>
    <hyperlink ref="B62" location="Trimestre!C25:F26" display="HIPOTECA" xr:uid="{00000000-0004-0000-0500-00000A000000}"/>
    <hyperlink ref="B62:G63" location="'2018'!S23:V23" display="'2018'!S23:V23" xr:uid="{00000000-0004-0000-0500-00000B000000}"/>
    <hyperlink ref="B82" location="Trimestre!C25:F26" display="HIPOTECA" xr:uid="{00000000-0004-0000-0500-00000C000000}"/>
    <hyperlink ref="B82:G83" location="'2018'!S24:V24" display="'2018'!S24:V24" xr:uid="{00000000-0004-0000-0500-00000D000000}"/>
    <hyperlink ref="B102" location="Trimestre!C25:F26" display="HIPOTECA" xr:uid="{00000000-0004-0000-0500-00000E000000}"/>
    <hyperlink ref="B102:G103" location="'2018'!S25:V25" display="'2018'!S25:V25" xr:uid="{00000000-0004-0000-0500-00000F000000}"/>
    <hyperlink ref="B122" location="Trimestre!C25:F26" display="HIPOTECA" xr:uid="{00000000-0004-0000-0500-000010000000}"/>
    <hyperlink ref="B122:G123" location="'2018'!S26:V26" display="'2018'!S26:V26" xr:uid="{00000000-0004-0000-0500-000011000000}"/>
    <hyperlink ref="B142" location="Trimestre!C25:F26" display="HIPOTECA" xr:uid="{00000000-0004-0000-0500-000012000000}"/>
    <hyperlink ref="B142:G143" location="'2018'!S27:V27" display="'2018'!S27:V27" xr:uid="{00000000-0004-0000-0500-000013000000}"/>
    <hyperlink ref="B162" location="Trimestre!C25:F26" display="HIPOTECA" xr:uid="{00000000-0004-0000-0500-000014000000}"/>
    <hyperlink ref="B162:G163" location="'2018'!S28:V28" display="'2018'!S28:V28" xr:uid="{00000000-0004-0000-0500-000015000000}"/>
    <hyperlink ref="B182" location="Trimestre!C25:F26" display="HIPOTECA" xr:uid="{00000000-0004-0000-0500-000016000000}"/>
    <hyperlink ref="B182:G183" location="'2018'!S29:V29" display="'2018'!S29:V29" xr:uid="{00000000-0004-0000-0500-000017000000}"/>
    <hyperlink ref="B202" location="Trimestre!C25:F26" display="HIPOTECA" xr:uid="{00000000-0004-0000-0500-000018000000}"/>
    <hyperlink ref="B202:G203" location="'2018'!S30:V30" display="'2018'!S30:V30" xr:uid="{00000000-0004-0000-0500-000019000000}"/>
    <hyperlink ref="B222" location="Trimestre!C25:F26" display="HIPOTECA" xr:uid="{00000000-0004-0000-0500-00001A000000}"/>
    <hyperlink ref="B222:G223" location="'2018'!S31:V31" display="'2018'!S31:V31" xr:uid="{00000000-0004-0000-0500-00001B000000}"/>
    <hyperlink ref="B242" location="Trimestre!C25:F26" display="HIPOTECA" xr:uid="{00000000-0004-0000-0500-00001C000000}"/>
    <hyperlink ref="B242:G243" location="'2018'!S32:V32" display="'2018'!S32:V32" xr:uid="{00000000-0004-0000-0500-00001D000000}"/>
    <hyperlink ref="B262" location="Trimestre!C25:F26" display="HIPOTECA" xr:uid="{00000000-0004-0000-0500-00001E000000}"/>
    <hyperlink ref="B262:G263" location="'2018'!S33:V33" display="'2018'!S33:V33" xr:uid="{00000000-0004-0000-0500-00001F000000}"/>
    <hyperlink ref="B282" location="Trimestre!C25:F26" display="HIPOTECA" xr:uid="{00000000-0004-0000-0500-000020000000}"/>
    <hyperlink ref="B282:G283" location="'2018'!S34:V34" display="'2018'!S34:V34" xr:uid="{00000000-0004-0000-0500-000021000000}"/>
    <hyperlink ref="B302" location="Trimestre!C25:F26" display="HIPOTECA" xr:uid="{00000000-0004-0000-0500-000022000000}"/>
    <hyperlink ref="B302:G303" location="'2018'!S35:V35" display="'2018'!S35:V35" xr:uid="{00000000-0004-0000-0500-000023000000}"/>
    <hyperlink ref="B322" location="Trimestre!C25:F26" display="HIPOTECA" xr:uid="{00000000-0004-0000-0500-000024000000}"/>
    <hyperlink ref="B322:G323" location="'2018'!S36:V36" display="'2018'!S36:V36" xr:uid="{00000000-0004-0000-0500-000025000000}"/>
    <hyperlink ref="B342" location="Trimestre!C25:F26" display="HIPOTECA" xr:uid="{00000000-0004-0000-0500-000026000000}"/>
    <hyperlink ref="B342:G343" location="'2018'!S37:V37" display="'2018'!S37:V37" xr:uid="{00000000-0004-0000-0500-000027000000}"/>
    <hyperlink ref="B362" location="Trimestre!C25:F26" display="HIPOTECA" xr:uid="{00000000-0004-0000-0500-000028000000}"/>
    <hyperlink ref="B362:G363" location="'2018'!S38:V38" display="'2018'!S38:V38" xr:uid="{00000000-0004-0000-0500-000029000000}"/>
    <hyperlink ref="B382" location="Trimestre!C25:F26" display="HIPOTECA" xr:uid="{00000000-0004-0000-0500-00002A000000}"/>
    <hyperlink ref="B382:G383" location="'2018'!S39:V39" display="'2018'!S39:V39" xr:uid="{00000000-0004-0000-0500-00002B000000}"/>
    <hyperlink ref="B402" location="Trimestre!C25:F26" display="HIPOTECA" xr:uid="{00000000-0004-0000-0500-00002C000000}"/>
    <hyperlink ref="B402:G403" location="'2018'!S40:V40" display="'2018'!S40:V40" xr:uid="{00000000-0004-0000-0500-00002D000000}"/>
    <hyperlink ref="B422" location="Trimestre!C25:F26" display="HIPOTECA" xr:uid="{00000000-0004-0000-0500-00002E000000}"/>
    <hyperlink ref="B422:G423" location="'2018'!S41:V41" display="'2018'!S41:V41" xr:uid="{00000000-0004-0000-0500-00002F000000}"/>
    <hyperlink ref="B442" location="Trimestre!C25:F26" display="HIPOTECA" xr:uid="{00000000-0004-0000-0500-000030000000}"/>
    <hyperlink ref="B442:G443" location="'2018'!S42:V42" display="'2018'!S42:V42" xr:uid="{00000000-0004-0000-0500-000031000000}"/>
    <hyperlink ref="B462" location="Trimestre!C25:F26" display="HIPOTECA" xr:uid="{00000000-0004-0000-0500-000032000000}"/>
    <hyperlink ref="B462:G463" location="'2018'!S43:V43" display="'2018'!S43:V43" xr:uid="{00000000-0004-0000-0500-000033000000}"/>
    <hyperlink ref="B482" location="Trimestre!C25:F26" display="HIPOTECA" xr:uid="{00000000-0004-0000-0500-000034000000}"/>
    <hyperlink ref="B482:G483" location="'2018'!S44:V44" display="'2018'!S44:V44" xr:uid="{00000000-0004-0000-0500-000035000000}"/>
    <hyperlink ref="B502" location="Trimestre!C25:F26" display="HIPOTECA" xr:uid="{00000000-0004-0000-0500-000036000000}"/>
    <hyperlink ref="B502:G503" location="'2018'!S45:V45" display="'2018'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workbookViewId="0">
      <selection activeCell="A5" sqref="A5:A20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88" t="s">
        <v>70</v>
      </c>
      <c r="J4" s="156" t="s">
        <v>71</v>
      </c>
      <c r="K4" s="296" t="s">
        <v>72</v>
      </c>
      <c r="L4" s="297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8">
        <v>2311.09</v>
      </c>
      <c r="L5" s="299"/>
      <c r="M5" s="1" t="s">
        <v>394</v>
      </c>
      <c r="N5" s="1"/>
      <c r="R5" s="3"/>
    </row>
    <row r="6" spans="1:22" ht="15.75">
      <c r="A6" s="163">
        <f>'05'!A6+B6-E6</f>
        <v>3.9300000000000068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88">
        <v>205.16</v>
      </c>
      <c r="L6" s="289"/>
      <c r="M6" s="1"/>
      <c r="N6" s="1"/>
      <c r="R6" s="3"/>
    </row>
    <row r="7" spans="1:22" ht="15.75">
      <c r="A7" s="163">
        <f>'05'!A7+B7-E7</f>
        <v>-329.3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8">
        <v>6999</v>
      </c>
      <c r="L7" s="289"/>
      <c r="M7" s="1"/>
      <c r="N7" s="1"/>
      <c r="R7" s="3"/>
    </row>
    <row r="8" spans="1:22" ht="15.75">
      <c r="A8" s="163">
        <f>'05'!A8+B8-E8</f>
        <v>-202.17000000000002</v>
      </c>
      <c r="B8" s="55">
        <v>0</v>
      </c>
      <c r="C8" s="33" t="s">
        <v>38</v>
      </c>
      <c r="D8" s="57"/>
      <c r="E8" s="137">
        <v>82.76</v>
      </c>
      <c r="F8" s="58"/>
      <c r="G8" s="33" t="s">
        <v>38</v>
      </c>
      <c r="H8" s="1"/>
      <c r="I8" s="159" t="s">
        <v>76</v>
      </c>
      <c r="J8" s="158" t="s">
        <v>78</v>
      </c>
      <c r="K8" s="288">
        <v>6000</v>
      </c>
      <c r="L8" s="289"/>
      <c r="M8" s="1"/>
      <c r="N8" s="1"/>
      <c r="R8" s="3"/>
    </row>
    <row r="9" spans="1:22" ht="15.75">
      <c r="A9" s="163">
        <f>'05'!A9+B9-E9</f>
        <v>0</v>
      </c>
      <c r="B9" s="55">
        <v>18.34</v>
      </c>
      <c r="C9" s="33" t="s">
        <v>40</v>
      </c>
      <c r="D9" s="57"/>
      <c r="E9" s="58">
        <v>18.34</v>
      </c>
      <c r="F9" s="58"/>
      <c r="G9" s="33" t="s">
        <v>40</v>
      </c>
      <c r="H9" s="1"/>
      <c r="I9" s="159" t="s">
        <v>76</v>
      </c>
      <c r="J9" s="158" t="s">
        <v>267</v>
      </c>
      <c r="K9" s="288">
        <v>659.77</v>
      </c>
      <c r="L9" s="289"/>
      <c r="M9" s="1"/>
      <c r="N9" s="1"/>
      <c r="R9" s="3"/>
    </row>
    <row r="10" spans="1:22" ht="15.75">
      <c r="A10" s="163">
        <f>'05'!A10+B10-E10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8">
        <v>1800.04</v>
      </c>
      <c r="L10" s="289"/>
      <c r="M10" s="1" t="s">
        <v>265</v>
      </c>
      <c r="N10" s="1"/>
      <c r="R10" s="3"/>
    </row>
    <row r="11" spans="1:22" ht="15.75">
      <c r="A11" s="163">
        <f>'05'!A11+B11-E11</f>
        <v>4.5600000000000129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159" t="s">
        <v>93</v>
      </c>
      <c r="J11" s="158" t="s">
        <v>94</v>
      </c>
      <c r="K11" s="288">
        <f>465+90</f>
        <v>555</v>
      </c>
      <c r="L11" s="289"/>
      <c r="M11" s="1"/>
      <c r="N11" s="1"/>
      <c r="R11" s="3"/>
    </row>
    <row r="12" spans="1:22" ht="15.75">
      <c r="A12" s="163">
        <f>'05'!A12+B12-E12</f>
        <v>538.28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159" t="s">
        <v>303</v>
      </c>
      <c r="J12" s="158" t="s">
        <v>304</v>
      </c>
      <c r="K12" s="288">
        <v>5092.08</v>
      </c>
      <c r="L12" s="289"/>
      <c r="M12" s="140"/>
      <c r="N12" s="1"/>
      <c r="R12" s="3"/>
    </row>
    <row r="13" spans="1:22" ht="15.75">
      <c r="A13" s="163">
        <f>'05'!A13+B13-E13</f>
        <v>167.07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159"/>
      <c r="J13" s="158"/>
      <c r="K13" s="288"/>
      <c r="L13" s="289"/>
      <c r="M13" s="1"/>
      <c r="N13" s="1"/>
      <c r="R13" s="3"/>
    </row>
    <row r="14" spans="1:22" ht="15.75">
      <c r="A14" s="163">
        <f>'05'!A14+B14-E14</f>
        <v>150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88"/>
      <c r="L14" s="289"/>
      <c r="M14" s="1"/>
      <c r="N14" s="1"/>
      <c r="R14" s="3"/>
    </row>
    <row r="15" spans="1:22" ht="15.75">
      <c r="A15" s="163">
        <f>'05'!A15+B15-E15</f>
        <v>21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88"/>
      <c r="L15" s="289"/>
      <c r="M15" s="1"/>
      <c r="N15" s="1"/>
      <c r="R15" s="3"/>
    </row>
    <row r="16" spans="1:22" ht="15.75">
      <c r="A16" s="163">
        <f>'05'!A16+B16-E16</f>
        <v>0</v>
      </c>
      <c r="B16" s="55"/>
      <c r="C16" s="33"/>
      <c r="D16" s="57"/>
      <c r="E16" s="58"/>
      <c r="F16" s="58"/>
      <c r="G16" s="33"/>
      <c r="H16" s="1"/>
      <c r="I16" s="159"/>
      <c r="J16" s="158"/>
      <c r="K16" s="288"/>
      <c r="L16" s="28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8"/>
      <c r="L17" s="28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4"/>
      <c r="L18" s="30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4">
        <f>SUM(K5:K18)</f>
        <v>23622.14</v>
      </c>
      <c r="L19" s="305"/>
      <c r="M19" s="1"/>
      <c r="N19" s="1"/>
      <c r="R19" s="3"/>
    </row>
    <row r="20" spans="1:18" ht="16.5" thickBot="1">
      <c r="A20" s="163">
        <f>SUM(A6:A15)</f>
        <v>356.37000000000006</v>
      </c>
      <c r="B20" s="56">
        <f>SUM(B6:B19)</f>
        <v>722.33999999999992</v>
      </c>
      <c r="C20" s="34" t="s">
        <v>66</v>
      </c>
      <c r="D20" s="56">
        <f>SUM(D6:D19)</f>
        <v>0</v>
      </c>
      <c r="E20" s="56">
        <f>SUM(E6:E19)</f>
        <v>585.27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296" t="s">
        <v>134</v>
      </c>
      <c r="L24" s="297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336</v>
      </c>
      <c r="K25" s="298">
        <v>197.22</v>
      </c>
      <c r="L25" s="299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5</v>
      </c>
      <c r="J26" s="35" t="s">
        <v>426</v>
      </c>
      <c r="K26" s="288">
        <v>200</v>
      </c>
      <c r="L26" s="289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/>
      <c r="J27" s="35"/>
      <c r="K27" s="288"/>
      <c r="L27" s="289"/>
      <c r="M27" s="1"/>
      <c r="R27" s="3"/>
    </row>
    <row r="28" spans="1:18" ht="15.75">
      <c r="A28" s="1"/>
      <c r="B28" s="55">
        <v>40</v>
      </c>
      <c r="C28" s="66" t="s">
        <v>45</v>
      </c>
      <c r="D28" s="57">
        <v>96.94</v>
      </c>
      <c r="E28" s="58"/>
      <c r="F28" s="58"/>
      <c r="G28" s="33" t="s">
        <v>45</v>
      </c>
      <c r="H28" s="1"/>
      <c r="I28" s="151"/>
      <c r="J28" s="35"/>
      <c r="K28" s="288"/>
      <c r="L28" s="289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8"/>
      <c r="L29" s="289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8"/>
      <c r="L30" s="28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8"/>
      <c r="L31" s="28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8"/>
      <c r="L32" s="28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8"/>
      <c r="L33" s="28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8"/>
      <c r="L34" s="28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8"/>
      <c r="L35" s="28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8"/>
      <c r="L36" s="28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8"/>
      <c r="L37" s="28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4"/>
      <c r="L38" s="30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1118.78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450</v>
      </c>
      <c r="C46" s="36"/>
      <c r="D46" s="57">
        <f>62.36+5.24</f>
        <v>67.599999999999994</v>
      </c>
      <c r="E46" s="58"/>
      <c r="F46" s="58"/>
      <c r="G46" s="69" t="s">
        <v>397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61.31+15.03</f>
        <v>76.34</v>
      </c>
      <c r="E47" s="58"/>
      <c r="F47" s="58"/>
      <c r="G47" s="33" t="s">
        <v>406</v>
      </c>
      <c r="H47" s="1"/>
      <c r="M47" s="1"/>
      <c r="R47" s="3"/>
    </row>
    <row r="48" spans="1:18" ht="15.75">
      <c r="A48" s="1"/>
      <c r="B48" s="55"/>
      <c r="C48" s="33"/>
      <c r="D48" s="57">
        <f>17.55</f>
        <v>17.55</v>
      </c>
      <c r="E48" s="58"/>
      <c r="F48" s="58"/>
      <c r="G48" s="33" t="s">
        <v>398</v>
      </c>
      <c r="H48" s="1"/>
      <c r="M48" s="1"/>
      <c r="R48" s="3"/>
    </row>
    <row r="49" spans="1:18" ht="15.75">
      <c r="A49" s="1"/>
      <c r="B49" s="55"/>
      <c r="C49" s="33"/>
      <c r="D49" s="57">
        <f>44.91+25.05+22.11</f>
        <v>92.07</v>
      </c>
      <c r="E49" s="58"/>
      <c r="F49" s="58"/>
      <c r="G49" s="33" t="s">
        <v>447</v>
      </c>
      <c r="H49" s="1"/>
      <c r="M49" s="1"/>
      <c r="R49" s="3"/>
    </row>
    <row r="50" spans="1:18" ht="15.75">
      <c r="A50" s="1"/>
      <c r="B50" s="55"/>
      <c r="C50" s="33"/>
      <c r="D50" s="57">
        <f>17.96</f>
        <v>17.96</v>
      </c>
      <c r="E50" s="58"/>
      <c r="F50" s="58"/>
      <c r="G50" s="33" t="s">
        <v>402</v>
      </c>
      <c r="H50" s="1"/>
      <c r="M50" s="1"/>
      <c r="R50" s="3"/>
    </row>
    <row r="51" spans="1:18" ht="15.75">
      <c r="A51" s="1"/>
      <c r="B51" s="55"/>
      <c r="C51" s="33"/>
      <c r="D51" s="57">
        <v>97.8</v>
      </c>
      <c r="E51" s="58"/>
      <c r="F51" s="58"/>
      <c r="G51" s="33" t="s">
        <v>403</v>
      </c>
      <c r="H51" s="1"/>
      <c r="M51" s="1"/>
      <c r="R51" s="3"/>
    </row>
    <row r="52" spans="1:18" ht="15.75">
      <c r="A52" s="1"/>
      <c r="B52" s="55"/>
      <c r="C52" s="33"/>
      <c r="D52" s="57">
        <f>7.88</f>
        <v>7.88</v>
      </c>
      <c r="E52" s="58"/>
      <c r="F52" s="58"/>
      <c r="G52" s="33" t="s">
        <v>405</v>
      </c>
      <c r="H52" s="1"/>
      <c r="M52" s="1"/>
      <c r="R52" s="3"/>
    </row>
    <row r="53" spans="1:18" ht="15.75">
      <c r="A53" s="1"/>
      <c r="B53" s="55"/>
      <c r="C53" s="33"/>
      <c r="D53" s="57">
        <v>42.68</v>
      </c>
      <c r="E53" s="58"/>
      <c r="F53" s="58"/>
      <c r="G53" s="33" t="s">
        <v>417</v>
      </c>
      <c r="H53" s="1"/>
      <c r="M53" s="1"/>
      <c r="R53" s="3"/>
    </row>
    <row r="54" spans="1:18" ht="15.75">
      <c r="A54" s="1"/>
      <c r="B54" s="55"/>
      <c r="C54" s="33"/>
      <c r="D54" s="57">
        <v>6.5</v>
      </c>
      <c r="E54" s="58"/>
      <c r="F54" s="58"/>
      <c r="G54" s="33" t="s">
        <v>423</v>
      </c>
      <c r="H54" s="1"/>
      <c r="M54" s="1"/>
      <c r="R54" s="3"/>
    </row>
    <row r="55" spans="1:18" ht="15.75">
      <c r="A55" s="1"/>
      <c r="B55" s="55"/>
      <c r="C55" s="33"/>
      <c r="D55" s="57">
        <f>53.42-D327</f>
        <v>44.42</v>
      </c>
      <c r="E55" s="58"/>
      <c r="F55" s="58"/>
      <c r="G55" s="33" t="s">
        <v>425</v>
      </c>
      <c r="H55" s="1"/>
      <c r="M55" s="1"/>
      <c r="R55" s="3"/>
    </row>
    <row r="56" spans="1:18" ht="15.75">
      <c r="A56" s="1"/>
      <c r="B56" s="55"/>
      <c r="C56" s="33"/>
      <c r="D56" s="57">
        <f>39.35+23.77+5.21-9</f>
        <v>59.33</v>
      </c>
      <c r="E56" s="58"/>
      <c r="F56" s="58"/>
      <c r="G56" s="33" t="s">
        <v>430</v>
      </c>
      <c r="H56" s="1"/>
      <c r="M56" s="1"/>
      <c r="R56" s="3"/>
    </row>
    <row r="57" spans="1:18" ht="15.75">
      <c r="A57" s="1"/>
      <c r="B57" s="55"/>
      <c r="C57" s="33"/>
      <c r="D57" s="57">
        <v>1.98</v>
      </c>
      <c r="E57" s="58"/>
      <c r="F57" s="58"/>
      <c r="G57" s="33" t="s">
        <v>438</v>
      </c>
      <c r="H57" s="1"/>
      <c r="M57" s="1"/>
      <c r="R57" s="3"/>
    </row>
    <row r="58" spans="1:18" ht="15.75">
      <c r="A58" s="1"/>
      <c r="B58" s="55"/>
      <c r="C58" s="33"/>
      <c r="D58" s="57">
        <v>6.98</v>
      </c>
      <c r="E58" s="58"/>
      <c r="F58" s="58"/>
      <c r="G58" s="33" t="s">
        <v>442</v>
      </c>
      <c r="H58" s="1"/>
      <c r="M58" s="1"/>
      <c r="R58" s="3"/>
    </row>
    <row r="59" spans="1:18" ht="16.5" thickBot="1">
      <c r="A59" s="1"/>
      <c r="B59" s="56"/>
      <c r="C59" s="34"/>
      <c r="D59" s="56">
        <v>14.98</v>
      </c>
      <c r="E59" s="59"/>
      <c r="F59" s="59"/>
      <c r="G59" s="34" t="s">
        <v>443</v>
      </c>
      <c r="H59" s="1"/>
      <c r="M59" s="1"/>
      <c r="R59" s="3"/>
    </row>
    <row r="60" spans="1:18" ht="16.5" thickBot="1">
      <c r="A60" s="1"/>
      <c r="B60" s="56">
        <f>SUM(B46:B59)</f>
        <v>478</v>
      </c>
      <c r="C60" s="34" t="s">
        <v>66</v>
      </c>
      <c r="D60" s="56">
        <f>SUM(D46:D59)</f>
        <v>554.07000000000005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v>30.5</v>
      </c>
      <c r="E66" s="58"/>
      <c r="F66" s="58"/>
      <c r="G66" s="36" t="s">
        <v>396</v>
      </c>
      <c r="H66" s="1"/>
      <c r="M66" s="1"/>
      <c r="R66" s="3"/>
    </row>
    <row r="67" spans="1:18" ht="15.75">
      <c r="A67" s="1"/>
      <c r="B67" s="55"/>
      <c r="C67" s="33"/>
      <c r="D67" s="57">
        <v>35.67</v>
      </c>
      <c r="E67" s="58"/>
      <c r="F67" s="58"/>
      <c r="G67" s="70" t="s">
        <v>416</v>
      </c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>
        <v>18.8</v>
      </c>
      <c r="G68" s="33" t="s">
        <v>421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f>4.7</f>
        <v>4.7</v>
      </c>
      <c r="G69" s="33" t="s">
        <v>422</v>
      </c>
      <c r="H69" s="1"/>
      <c r="M69" s="1"/>
      <c r="R69" s="3"/>
    </row>
    <row r="70" spans="1:18" ht="15.75">
      <c r="A70" s="1"/>
      <c r="B70" s="55"/>
      <c r="C70" s="33"/>
      <c r="D70" s="57">
        <f>49.2</f>
        <v>49.2</v>
      </c>
      <c r="E70" s="58"/>
      <c r="F70" s="58"/>
      <c r="G70" s="33" t="s">
        <v>428</v>
      </c>
      <c r="H70" s="1"/>
      <c r="M70" s="1"/>
      <c r="R70" s="3"/>
    </row>
    <row r="71" spans="1:18" ht="15.75">
      <c r="A71" s="1"/>
      <c r="B71" s="55"/>
      <c r="C71" s="33"/>
      <c r="D71" s="57">
        <v>18.5</v>
      </c>
      <c r="E71" s="58"/>
      <c r="F71" s="58">
        <v>1</v>
      </c>
      <c r="G71" s="33" t="s">
        <v>435</v>
      </c>
      <c r="H71" s="1"/>
      <c r="M71" s="1"/>
      <c r="R71" s="3"/>
    </row>
    <row r="72" spans="1:18" ht="15.75">
      <c r="A72" s="1"/>
      <c r="B72" s="55"/>
      <c r="C72" s="33"/>
      <c r="D72" s="57">
        <f>59.5</f>
        <v>59.5</v>
      </c>
      <c r="E72" s="58"/>
      <c r="F72" s="58"/>
      <c r="G72" s="33" t="s">
        <v>434</v>
      </c>
      <c r="H72" s="1"/>
      <c r="M72" s="1"/>
      <c r="R72" s="3"/>
    </row>
    <row r="73" spans="1:18" ht="15.75">
      <c r="A73" s="1"/>
      <c r="B73" s="55"/>
      <c r="C73" s="33"/>
      <c r="D73" s="57">
        <v>8.6999999999999993</v>
      </c>
      <c r="E73" s="58"/>
      <c r="F73" s="58"/>
      <c r="G73" s="33" t="s">
        <v>444</v>
      </c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202.07</v>
      </c>
      <c r="E80" s="56">
        <f>SUM(E66:E79)</f>
        <v>0</v>
      </c>
      <c r="F80" s="56">
        <f>SUM(F66:F79)</f>
        <v>24.5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v>56.7</v>
      </c>
      <c r="E86" s="58"/>
      <c r="F86" s="58"/>
      <c r="G86" s="33" t="s">
        <v>409</v>
      </c>
      <c r="H86" s="1"/>
      <c r="M86" s="1"/>
      <c r="R86" s="3"/>
    </row>
    <row r="87" spans="1:18" ht="15.75">
      <c r="A87" s="1"/>
      <c r="B87" s="55"/>
      <c r="C87" s="33"/>
      <c r="D87" s="57">
        <v>46.77</v>
      </c>
      <c r="E87" s="58"/>
      <c r="F87" s="58"/>
      <c r="G87" s="33" t="s">
        <v>429</v>
      </c>
      <c r="H87" s="1"/>
      <c r="M87" s="1"/>
      <c r="R87" s="3"/>
    </row>
    <row r="88" spans="1:18" ht="15.75">
      <c r="A88" s="1"/>
      <c r="B88" s="55"/>
      <c r="C88" s="33"/>
      <c r="D88" s="57">
        <v>2</v>
      </c>
      <c r="E88" s="58"/>
      <c r="F88" s="58"/>
      <c r="G88" s="33" t="s">
        <v>437</v>
      </c>
      <c r="H88" s="1"/>
      <c r="M88" s="1"/>
      <c r="R88" s="3"/>
    </row>
    <row r="89" spans="1:18" ht="15.75">
      <c r="A89" s="1"/>
      <c r="B89" s="55"/>
      <c r="C89" s="33"/>
      <c r="D89" s="57">
        <v>46.57</v>
      </c>
      <c r="E89" s="58"/>
      <c r="F89" s="58"/>
      <c r="G89" s="33" t="s">
        <v>449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152.04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>
        <v>31.56</v>
      </c>
      <c r="E146" s="58"/>
      <c r="F146" s="58"/>
      <c r="G146" s="33" t="s">
        <v>400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31.56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318.27999999999997</v>
      </c>
      <c r="E166" s="58"/>
      <c r="F166" s="58"/>
      <c r="G166" s="33" t="s">
        <v>410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318.27999999999997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9.99</v>
      </c>
      <c r="E186" s="58"/>
      <c r="F186" s="58"/>
      <c r="G186" s="33" t="s">
        <v>399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>
        <v>5</v>
      </c>
      <c r="G187" s="33" t="s">
        <v>445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9.99</v>
      </c>
      <c r="E200" s="56">
        <f>SUM(E186:E199)</f>
        <v>0</v>
      </c>
      <c r="F200" s="56">
        <f>SUM(F186:F199)</f>
        <v>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v>35.869999999999997</v>
      </c>
      <c r="E206" s="58"/>
      <c r="F206" s="58"/>
      <c r="G206" s="33" t="s">
        <v>418</v>
      </c>
    </row>
    <row r="207" spans="2:7">
      <c r="B207" s="55"/>
      <c r="C207" s="33"/>
      <c r="D207" s="57">
        <v>9</v>
      </c>
      <c r="E207" s="58"/>
      <c r="F207" s="58"/>
      <c r="G207" s="33" t="s">
        <v>441</v>
      </c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44.87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65</v>
      </c>
      <c r="C227" s="33" t="s">
        <v>102</v>
      </c>
      <c r="D227" s="57"/>
      <c r="E227" s="58"/>
      <c r="F227" s="58">
        <v>195</v>
      </c>
      <c r="G227" s="33" t="s">
        <v>102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90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195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80</v>
      </c>
      <c r="C246" s="66"/>
      <c r="D246" s="57">
        <f>1.99+0.39</f>
        <v>2.38</v>
      </c>
      <c r="E246" s="58"/>
      <c r="F246" s="58"/>
      <c r="G246" s="33" t="s">
        <v>438</v>
      </c>
    </row>
    <row r="247" spans="2:7" ht="15" customHeight="1">
      <c r="B247" s="55"/>
      <c r="C247" s="33"/>
      <c r="D247" s="57"/>
      <c r="E247" s="58"/>
      <c r="F247" s="58"/>
      <c r="G247" s="33"/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2.38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7" ht="15" customHeight="1" thickBot="1">
      <c r="B283" s="293"/>
      <c r="C283" s="294"/>
      <c r="D283" s="294"/>
      <c r="E283" s="294"/>
      <c r="F283" s="294"/>
      <c r="G283" s="295"/>
    </row>
    <row r="284" spans="2:7">
      <c r="B284" s="301" t="s">
        <v>10</v>
      </c>
      <c r="C284" s="302"/>
      <c r="D284" s="303" t="s">
        <v>11</v>
      </c>
      <c r="E284" s="303"/>
      <c r="F284" s="303"/>
      <c r="G284" s="302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150</v>
      </c>
      <c r="C286" s="36" t="s">
        <v>36</v>
      </c>
      <c r="D286" s="57"/>
      <c r="E286" s="58">
        <v>60</v>
      </c>
      <c r="F286" s="58"/>
      <c r="G286" s="33" t="s">
        <v>424</v>
      </c>
    </row>
    <row r="287" spans="2:7">
      <c r="B287" s="55"/>
      <c r="C287" s="33"/>
      <c r="D287" s="57"/>
      <c r="E287" s="58"/>
      <c r="F287" s="58">
        <f>11+20</f>
        <v>31</v>
      </c>
      <c r="G287" s="33" t="s">
        <v>427</v>
      </c>
    </row>
    <row r="288" spans="2:7">
      <c r="B288" s="55"/>
      <c r="C288" s="33"/>
      <c r="D288" s="57">
        <f>20.45</f>
        <v>20.45</v>
      </c>
      <c r="E288" s="58"/>
      <c r="F288" s="58"/>
      <c r="G288" s="33" t="s">
        <v>433</v>
      </c>
    </row>
    <row r="289" spans="2:7">
      <c r="B289" s="55"/>
      <c r="C289" s="33"/>
      <c r="D289" s="57">
        <v>36.700000000000003</v>
      </c>
      <c r="E289" s="58"/>
      <c r="F289" s="58"/>
      <c r="G289" s="33" t="s">
        <v>436</v>
      </c>
    </row>
    <row r="290" spans="2:7">
      <c r="B290" s="55"/>
      <c r="C290" s="33"/>
      <c r="D290" s="57">
        <v>6.95</v>
      </c>
      <c r="E290" s="58"/>
      <c r="F290" s="58"/>
      <c r="G290" s="33" t="s">
        <v>448</v>
      </c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150</v>
      </c>
      <c r="C300" s="34" t="s">
        <v>66</v>
      </c>
      <c r="D300" s="56">
        <f>SUM(D286:D299)</f>
        <v>64.100000000000009</v>
      </c>
      <c r="E300" s="56">
        <f>SUM(E286:E299)</f>
        <v>60</v>
      </c>
      <c r="F300" s="56">
        <f>SUM(F286:F299)</f>
        <v>31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60</v>
      </c>
      <c r="D306" s="57">
        <v>65.819999999999993</v>
      </c>
      <c r="E306" s="58"/>
      <c r="F306" s="58"/>
      <c r="G306" s="33" t="s">
        <v>401</v>
      </c>
    </row>
    <row r="307" spans="2:7">
      <c r="B307" s="84"/>
      <c r="C307" s="66"/>
      <c r="D307" s="57">
        <v>94</v>
      </c>
      <c r="E307" s="58"/>
      <c r="F307" s="58"/>
      <c r="G307" s="33" t="s">
        <v>407</v>
      </c>
    </row>
    <row r="308" spans="2:7">
      <c r="B308" s="84"/>
      <c r="C308" s="66"/>
      <c r="D308" s="57">
        <v>4.4000000000000004</v>
      </c>
      <c r="E308" s="58"/>
      <c r="F308" s="58"/>
      <c r="G308" s="33" t="s">
        <v>420</v>
      </c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164.22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10</v>
      </c>
      <c r="C326" s="36"/>
      <c r="D326" s="57">
        <v>80</v>
      </c>
      <c r="E326" s="58"/>
      <c r="F326" s="58"/>
      <c r="G326" s="33" t="s">
        <v>408</v>
      </c>
    </row>
    <row r="327" spans="2:7">
      <c r="B327" s="55"/>
      <c r="C327" s="33"/>
      <c r="D327" s="57">
        <v>9</v>
      </c>
      <c r="E327" s="58"/>
      <c r="F327" s="58"/>
      <c r="G327" s="33" t="s">
        <v>425</v>
      </c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10</v>
      </c>
      <c r="C340" s="34" t="s">
        <v>66</v>
      </c>
      <c r="D340" s="56">
        <f>SUM(D326:D339)</f>
        <v>89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100</v>
      </c>
      <c r="C366" s="36" t="s">
        <v>36</v>
      </c>
      <c r="D366" s="57"/>
      <c r="E366" s="58"/>
      <c r="F366" s="58">
        <f>3.4+3.8+4+3.4+3.4+4.45+4+3.4+3.2+5.05+3.4</f>
        <v>41.499999999999993</v>
      </c>
      <c r="G366" s="70" t="s">
        <v>395</v>
      </c>
    </row>
    <row r="367" spans="2:7">
      <c r="B367" s="55"/>
      <c r="C367" s="33"/>
      <c r="D367" s="57">
        <v>6.5</v>
      </c>
      <c r="E367" s="58"/>
      <c r="F367" s="58"/>
      <c r="G367" s="70" t="s">
        <v>419</v>
      </c>
    </row>
    <row r="368" spans="2:7">
      <c r="B368" s="55"/>
      <c r="C368" s="33"/>
      <c r="D368" s="57">
        <f>3</f>
        <v>3</v>
      </c>
      <c r="E368" s="58"/>
      <c r="F368" s="58"/>
      <c r="G368" s="33" t="s">
        <v>438</v>
      </c>
    </row>
    <row r="369" spans="2:7">
      <c r="B369" s="55"/>
      <c r="C369" s="33"/>
      <c r="D369" s="57">
        <v>36.450000000000003</v>
      </c>
      <c r="E369" s="58"/>
      <c r="F369" s="58"/>
      <c r="G369" s="33" t="s">
        <v>439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100</v>
      </c>
      <c r="C380" s="34" t="s">
        <v>66</v>
      </c>
      <c r="D380" s="56">
        <f>SUM(D366:D379)</f>
        <v>45.95</v>
      </c>
      <c r="E380" s="56">
        <f>SUM(E366:E379)</f>
        <v>0</v>
      </c>
      <c r="F380" s="56">
        <f>SUM(F366:F379)</f>
        <v>41.499999999999993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0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301" t="s">
        <v>10</v>
      </c>
      <c r="C424" s="302"/>
      <c r="D424" s="303" t="s">
        <v>11</v>
      </c>
      <c r="E424" s="303"/>
      <c r="F424" s="303"/>
      <c r="G424" s="302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-4001.34+'2018'!W17</f>
        <v>1436.9700000000003</v>
      </c>
      <c r="C426" s="36" t="s">
        <v>458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1436.9700000000003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600-000000000000}"/>
    <hyperlink ref="I2:L3" location="'2018'!W4:Z4" display="SALDO REAL" xr:uid="{00000000-0004-0000-0600-000001000000}"/>
    <hyperlink ref="I22" location="Trimestre!C39:F40" display="TELÉFONO" xr:uid="{00000000-0004-0000-0600-000002000000}"/>
    <hyperlink ref="I22:L23" location="'2018'!W7:Z7" display="INGRESOS" xr:uid="{00000000-0004-0000-0600-000003000000}"/>
    <hyperlink ref="B2" location="Trimestre!C25:F26" display="HIPOTECA" xr:uid="{00000000-0004-0000-0600-000004000000}"/>
    <hyperlink ref="B2:G3" location="'2018'!W20:Z20" display="'2018'!W20:Z20" xr:uid="{00000000-0004-0000-0600-000005000000}"/>
    <hyperlink ref="B22" location="Trimestre!C25:F26" display="HIPOTECA" xr:uid="{00000000-0004-0000-0600-000006000000}"/>
    <hyperlink ref="B22:G23" location="'2018'!W21:Z21" display="'2018'!W21:Z21" xr:uid="{00000000-0004-0000-0600-000007000000}"/>
    <hyperlink ref="B42" location="Trimestre!C25:F26" display="HIPOTECA" xr:uid="{00000000-0004-0000-0600-000008000000}"/>
    <hyperlink ref="B42:G43" location="'2018'!W22:Z22" display="'2018'!W22:Z22" xr:uid="{00000000-0004-0000-0600-000009000000}"/>
    <hyperlink ref="B62" location="Trimestre!C25:F26" display="HIPOTECA" xr:uid="{00000000-0004-0000-0600-00000A000000}"/>
    <hyperlink ref="B62:G63" location="'2018'!W23:Z23" display="'2018'!W23:Z23" xr:uid="{00000000-0004-0000-0600-00000B000000}"/>
    <hyperlink ref="B82" location="Trimestre!C25:F26" display="HIPOTECA" xr:uid="{00000000-0004-0000-0600-00000C000000}"/>
    <hyperlink ref="B82:G83" location="'2018'!W24:Z24" display="'2018'!W24:Z24" xr:uid="{00000000-0004-0000-0600-00000D000000}"/>
    <hyperlink ref="B102" location="Trimestre!C25:F26" display="HIPOTECA" xr:uid="{00000000-0004-0000-0600-00000E000000}"/>
    <hyperlink ref="B102:G103" location="'2018'!W25:Z25" display="'2018'!W25:Z25" xr:uid="{00000000-0004-0000-0600-00000F000000}"/>
    <hyperlink ref="B122" location="Trimestre!C25:F26" display="HIPOTECA" xr:uid="{00000000-0004-0000-0600-000010000000}"/>
    <hyperlink ref="B122:G123" location="'2018'!W26:Z26" display="'2018'!W26:Z26" xr:uid="{00000000-0004-0000-0600-000011000000}"/>
    <hyperlink ref="B142" location="Trimestre!C25:F26" display="HIPOTECA" xr:uid="{00000000-0004-0000-0600-000012000000}"/>
    <hyperlink ref="B142:G143" location="'2018'!W27:Z27" display="'2018'!W27:Z27" xr:uid="{00000000-0004-0000-0600-000013000000}"/>
    <hyperlink ref="B162" location="Trimestre!C25:F26" display="HIPOTECA" xr:uid="{00000000-0004-0000-0600-000014000000}"/>
    <hyperlink ref="B162:G163" location="'2018'!W28:Z28" display="'2018'!W28:Z28" xr:uid="{00000000-0004-0000-0600-000015000000}"/>
    <hyperlink ref="B182" location="Trimestre!C25:F26" display="HIPOTECA" xr:uid="{00000000-0004-0000-0600-000016000000}"/>
    <hyperlink ref="B182:G183" location="'2018'!W29:Z29" display="'2018'!W29:Z29" xr:uid="{00000000-0004-0000-0600-000017000000}"/>
    <hyperlink ref="B202" location="Trimestre!C25:F26" display="HIPOTECA" xr:uid="{00000000-0004-0000-0600-000018000000}"/>
    <hyperlink ref="B202:G203" location="'2018'!W30:Z30" display="'2018'!W30:Z30" xr:uid="{00000000-0004-0000-0600-000019000000}"/>
    <hyperlink ref="B222" location="Trimestre!C25:F26" display="HIPOTECA" xr:uid="{00000000-0004-0000-0600-00001A000000}"/>
    <hyperlink ref="B222:G223" location="'2018'!W31:Z31" display="'2018'!W31:Z31" xr:uid="{00000000-0004-0000-0600-00001B000000}"/>
    <hyperlink ref="B242" location="Trimestre!C25:F26" display="HIPOTECA" xr:uid="{00000000-0004-0000-0600-00001C000000}"/>
    <hyperlink ref="B242:G243" location="'2018'!W32:Z32" display="'2018'!W32:Z32" xr:uid="{00000000-0004-0000-0600-00001D000000}"/>
    <hyperlink ref="B262" location="Trimestre!C25:F26" display="HIPOTECA" xr:uid="{00000000-0004-0000-0600-00001E000000}"/>
    <hyperlink ref="B262:G263" location="'2018'!W33:Z33" display="'2018'!W33:Z33" xr:uid="{00000000-0004-0000-0600-00001F000000}"/>
    <hyperlink ref="B282" location="Trimestre!C25:F26" display="HIPOTECA" xr:uid="{00000000-0004-0000-0600-000020000000}"/>
    <hyperlink ref="B282:G283" location="'2018'!W34:Z34" display="'2018'!W34:Z34" xr:uid="{00000000-0004-0000-0600-000021000000}"/>
    <hyperlink ref="B302" location="Trimestre!C25:F26" display="HIPOTECA" xr:uid="{00000000-0004-0000-0600-000022000000}"/>
    <hyperlink ref="B302:G303" location="'2018'!W35:Z35" display="'2018'!W35:Z35" xr:uid="{00000000-0004-0000-0600-000023000000}"/>
    <hyperlink ref="B322" location="Trimestre!C25:F26" display="HIPOTECA" xr:uid="{00000000-0004-0000-0600-000024000000}"/>
    <hyperlink ref="B322:G323" location="'2018'!W36:Z36" display="'2018'!W36:Z36" xr:uid="{00000000-0004-0000-0600-000025000000}"/>
    <hyperlink ref="B342" location="Trimestre!C25:F26" display="HIPOTECA" xr:uid="{00000000-0004-0000-0600-000026000000}"/>
    <hyperlink ref="B342:G343" location="'2018'!W37:Z37" display="'2018'!W37:Z37" xr:uid="{00000000-0004-0000-0600-000027000000}"/>
    <hyperlink ref="B362" location="Trimestre!C25:F26" display="HIPOTECA" xr:uid="{00000000-0004-0000-0600-000028000000}"/>
    <hyperlink ref="B362:G363" location="'2018'!W38:Z38" display="'2018'!W38:Z38" xr:uid="{00000000-0004-0000-0600-000029000000}"/>
    <hyperlink ref="B382" location="Trimestre!C25:F26" display="HIPOTECA" xr:uid="{00000000-0004-0000-0600-00002A000000}"/>
    <hyperlink ref="B382:G383" location="'2018'!W39:Z39" display="'2018'!W39:Z39" xr:uid="{00000000-0004-0000-0600-00002B000000}"/>
    <hyperlink ref="B402" location="Trimestre!C25:F26" display="HIPOTECA" xr:uid="{00000000-0004-0000-0600-00002C000000}"/>
    <hyperlink ref="B402:G403" location="'2018'!W40:Z40" display="'2018'!W40:Z40" xr:uid="{00000000-0004-0000-0600-00002D000000}"/>
    <hyperlink ref="B422" location="Trimestre!C25:F26" display="HIPOTECA" xr:uid="{00000000-0004-0000-0600-00002E000000}"/>
    <hyperlink ref="B422:G423" location="'2018'!W41:Z41" display="'2018'!W41:Z41" xr:uid="{00000000-0004-0000-0600-00002F000000}"/>
    <hyperlink ref="B442" location="Trimestre!C25:F26" display="HIPOTECA" xr:uid="{00000000-0004-0000-0600-000030000000}"/>
    <hyperlink ref="B442:G443" location="'2018'!W42:Z42" display="'2018'!W42:Z42" xr:uid="{00000000-0004-0000-0600-000031000000}"/>
    <hyperlink ref="B462" location="Trimestre!C25:F26" display="HIPOTECA" xr:uid="{00000000-0004-0000-0600-000032000000}"/>
    <hyperlink ref="B462:G463" location="'2018'!W43:Z43" display="'2018'!W43:Z43" xr:uid="{00000000-0004-0000-0600-000033000000}"/>
    <hyperlink ref="B482" location="Trimestre!C25:F26" display="HIPOTECA" xr:uid="{00000000-0004-0000-0600-000034000000}"/>
    <hyperlink ref="B482:G483" location="'2018'!W44:Z44" display="'2018'!W44:Z44" xr:uid="{00000000-0004-0000-0600-000035000000}"/>
    <hyperlink ref="B502" location="Trimestre!C25:F26" display="HIPOTECA" xr:uid="{00000000-0004-0000-0600-000036000000}"/>
    <hyperlink ref="B502:G503" location="'2018'!W45:Z45" display="'2018'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C19" sqref="C19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88" t="s">
        <v>70</v>
      </c>
      <c r="J4" s="156" t="s">
        <v>71</v>
      </c>
      <c r="K4" s="296" t="s">
        <v>72</v>
      </c>
      <c r="L4" s="297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8">
        <v>2946.37</v>
      </c>
      <c r="L5" s="299"/>
      <c r="M5" s="1" t="s">
        <v>394</v>
      </c>
      <c r="N5" s="1"/>
      <c r="R5" s="3"/>
    </row>
    <row r="6" spans="1:22" ht="15.75">
      <c r="A6" s="163">
        <f>'06'!A6+B6-E6</f>
        <v>4.6200000000000045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88">
        <v>161.54</v>
      </c>
      <c r="L6" s="289"/>
      <c r="M6" s="1"/>
      <c r="N6" s="1"/>
      <c r="R6" s="3"/>
    </row>
    <row r="7" spans="1:22" ht="15.75">
      <c r="A7" s="163">
        <f>'06'!A7+B7-E7</f>
        <v>-269.3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8">
        <v>7451.76</v>
      </c>
      <c r="L7" s="289"/>
      <c r="M7" s="1"/>
      <c r="N7" s="1"/>
      <c r="R7" s="3"/>
    </row>
    <row r="8" spans="1:22" ht="15.75">
      <c r="A8" s="163">
        <f>'06'!A8+B8-E8</f>
        <v>-119.41000000000001</v>
      </c>
      <c r="B8" s="55">
        <v>82.76</v>
      </c>
      <c r="C8" s="33" t="s">
        <v>38</v>
      </c>
      <c r="D8" s="57"/>
      <c r="F8" s="58"/>
      <c r="G8" s="33" t="s">
        <v>38</v>
      </c>
      <c r="H8" s="1"/>
      <c r="I8" s="159" t="s">
        <v>76</v>
      </c>
      <c r="J8" s="158" t="s">
        <v>78</v>
      </c>
      <c r="K8" s="288">
        <v>6000</v>
      </c>
      <c r="L8" s="289"/>
      <c r="M8" s="1"/>
      <c r="N8" s="1"/>
      <c r="R8" s="3"/>
    </row>
    <row r="9" spans="1:22" ht="15.75">
      <c r="A9" s="163">
        <f>'06'!A9+B9-E9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88">
        <v>659.77</v>
      </c>
      <c r="L9" s="289"/>
      <c r="M9" s="1"/>
      <c r="N9" s="1"/>
      <c r="R9" s="3"/>
    </row>
    <row r="10" spans="1:22" ht="15.75">
      <c r="A10" s="163">
        <f>'06'!A10+B10-E10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8">
        <v>1800.04</v>
      </c>
      <c r="L10" s="289"/>
      <c r="M10" s="1" t="s">
        <v>265</v>
      </c>
      <c r="N10" s="1"/>
      <c r="R10" s="3"/>
    </row>
    <row r="11" spans="1:22" ht="15.75">
      <c r="A11" s="163">
        <f>'06'!A11+B11-E11</f>
        <v>5.3300000000000161</v>
      </c>
      <c r="B11" s="55">
        <v>31</v>
      </c>
      <c r="C11" s="33" t="s">
        <v>37</v>
      </c>
      <c r="D11" s="57"/>
      <c r="E11" s="58">
        <v>30.23</v>
      </c>
      <c r="F11" s="58"/>
      <c r="G11" s="33" t="s">
        <v>37</v>
      </c>
      <c r="H11" s="1"/>
      <c r="I11" s="159" t="s">
        <v>93</v>
      </c>
      <c r="J11" s="158" t="s">
        <v>94</v>
      </c>
      <c r="K11" s="288">
        <v>800</v>
      </c>
      <c r="L11" s="289"/>
      <c r="M11" s="1"/>
      <c r="N11" s="1"/>
      <c r="R11" s="3"/>
    </row>
    <row r="12" spans="1:22" ht="15.75">
      <c r="A12" s="163">
        <f>'06'!A12+B12-F12</f>
        <v>-0.18000000000006366</v>
      </c>
      <c r="B12" s="55">
        <f>120+256.54-40</f>
        <v>336.54</v>
      </c>
      <c r="C12" s="33" t="s">
        <v>195</v>
      </c>
      <c r="D12" s="57"/>
      <c r="E12" s="58"/>
      <c r="F12" s="58">
        <v>875</v>
      </c>
      <c r="G12" s="33" t="s">
        <v>463</v>
      </c>
      <c r="H12" s="1"/>
      <c r="I12" s="159" t="s">
        <v>303</v>
      </c>
      <c r="J12" s="158" t="s">
        <v>304</v>
      </c>
      <c r="K12" s="288">
        <v>5092.08</v>
      </c>
      <c r="L12" s="289"/>
      <c r="M12" s="140" t="s">
        <v>456</v>
      </c>
      <c r="N12" s="1"/>
      <c r="R12" s="3"/>
    </row>
    <row r="13" spans="1:22" ht="15.75">
      <c r="A13" s="163">
        <f>'06'!A13+B13-E13</f>
        <v>217.07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159"/>
      <c r="J13" s="158"/>
      <c r="K13" s="288"/>
      <c r="L13" s="289"/>
      <c r="M13" s="1"/>
      <c r="N13" s="1"/>
      <c r="R13" s="3"/>
    </row>
    <row r="14" spans="1:22" ht="15.75">
      <c r="A14" s="163">
        <f>'06'!A14+B14-E14</f>
        <v>175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88"/>
      <c r="L14" s="289"/>
      <c r="M14" s="1"/>
      <c r="N14" s="1"/>
      <c r="R14" s="3"/>
    </row>
    <row r="15" spans="1:22" ht="15.75">
      <c r="A15" s="163">
        <f>'06'!A15+B15-E15</f>
        <v>28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88"/>
      <c r="L15" s="289"/>
      <c r="M15" s="1"/>
      <c r="N15" s="1"/>
      <c r="R15" s="3"/>
    </row>
    <row r="16" spans="1:22" ht="15.75">
      <c r="A16" s="163">
        <f>'06'!A16+B16-F16</f>
        <v>-20</v>
      </c>
      <c r="B16" s="55">
        <f>40</f>
        <v>40</v>
      </c>
      <c r="C16" s="33" t="s">
        <v>464</v>
      </c>
      <c r="D16" s="57"/>
      <c r="E16" s="58"/>
      <c r="F16" s="58">
        <v>60</v>
      </c>
      <c r="G16" s="33" t="s">
        <v>464</v>
      </c>
      <c r="H16" s="1"/>
      <c r="I16" s="159"/>
      <c r="J16" s="158"/>
      <c r="K16" s="288"/>
      <c r="L16" s="28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8"/>
      <c r="L17" s="28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4"/>
      <c r="L18" s="30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4">
        <f>SUM(K5:K18)</f>
        <v>24911.559999999998</v>
      </c>
      <c r="L19" s="305"/>
      <c r="M19" s="1"/>
      <c r="N19" s="1"/>
      <c r="R19" s="3"/>
    </row>
    <row r="20" spans="1:18" ht="16.5" thickBot="1">
      <c r="A20" s="163">
        <f>SUM(A6:A15)</f>
        <v>44.129999999999939</v>
      </c>
      <c r="B20" s="56">
        <f>SUM(B6:B19)</f>
        <v>1043.3</v>
      </c>
      <c r="C20" s="34" t="s">
        <v>66</v>
      </c>
      <c r="D20" s="56">
        <f>SUM(D6:D19)</f>
        <v>0</v>
      </c>
      <c r="E20" s="56">
        <f>SUM(E6:E19)</f>
        <v>440.54</v>
      </c>
      <c r="F20" s="56">
        <f>SUM(F6:F19)</f>
        <v>935</v>
      </c>
      <c r="G20" s="34" t="s">
        <v>66</v>
      </c>
      <c r="H20" s="1"/>
      <c r="I20" s="137" t="s">
        <v>116</v>
      </c>
      <c r="L20" s="140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296" t="s">
        <v>134</v>
      </c>
      <c r="L24" s="297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466</v>
      </c>
      <c r="K25" s="298">
        <v>134.94</v>
      </c>
      <c r="L25" s="299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474</v>
      </c>
      <c r="K26" s="288">
        <v>83.04</v>
      </c>
      <c r="L26" s="289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>
        <v>2</v>
      </c>
      <c r="J27" s="35" t="s">
        <v>276</v>
      </c>
      <c r="K27" s="288">
        <v>786.42</v>
      </c>
      <c r="L27" s="289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9</v>
      </c>
      <c r="J28" s="35" t="s">
        <v>512</v>
      </c>
      <c r="K28" s="288">
        <v>26.77</v>
      </c>
      <c r="L28" s="289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4</v>
      </c>
      <c r="J29" s="35" t="s">
        <v>516</v>
      </c>
      <c r="K29" s="288">
        <v>0.02</v>
      </c>
      <c r="L29" s="289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8"/>
      <c r="L30" s="28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8"/>
      <c r="L31" s="28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8"/>
      <c r="L32" s="28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8"/>
      <c r="L33" s="28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8"/>
      <c r="L34" s="28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8"/>
      <c r="L35" s="28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8"/>
      <c r="L36" s="28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8"/>
      <c r="L37" s="28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4"/>
      <c r="L38" s="30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1021.84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502</v>
      </c>
      <c r="C46" s="36"/>
      <c r="D46" s="57">
        <f>56.85+3.97+19.6</f>
        <v>80.42</v>
      </c>
      <c r="E46" s="58"/>
      <c r="F46" s="58"/>
      <c r="G46" s="69" t="s">
        <v>469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86.61+69.18</f>
        <v>155.79000000000002</v>
      </c>
      <c r="E47" s="58"/>
      <c r="F47" s="58"/>
      <c r="G47" s="33" t="s">
        <v>470</v>
      </c>
      <c r="H47" s="1"/>
      <c r="M47" s="1"/>
      <c r="R47" s="3"/>
    </row>
    <row r="48" spans="1:18" ht="15.75">
      <c r="A48" s="1"/>
      <c r="B48" s="55"/>
      <c r="C48" s="33"/>
      <c r="D48" s="57">
        <f>10.03</f>
        <v>10.029999999999999</v>
      </c>
      <c r="E48" s="58"/>
      <c r="F48" s="58"/>
      <c r="G48" s="33" t="s">
        <v>462</v>
      </c>
      <c r="H48" s="1"/>
      <c r="M48" s="1"/>
      <c r="R48" s="3"/>
    </row>
    <row r="49" spans="1:18" ht="15.75">
      <c r="A49" s="1"/>
      <c r="B49" s="55"/>
      <c r="C49" s="33"/>
      <c r="D49" s="57">
        <v>35.24</v>
      </c>
      <c r="E49" s="58"/>
      <c r="F49" s="58"/>
      <c r="G49" s="33" t="s">
        <v>478</v>
      </c>
      <c r="H49" s="1"/>
      <c r="M49" s="1"/>
      <c r="R49" s="3"/>
    </row>
    <row r="50" spans="1:18" ht="15.75">
      <c r="A50" s="1"/>
      <c r="B50" s="55"/>
      <c r="C50" s="33"/>
      <c r="D50" s="57">
        <v>11.59</v>
      </c>
      <c r="E50" s="58"/>
      <c r="F50" s="58"/>
      <c r="G50" s="33" t="s">
        <v>481</v>
      </c>
      <c r="H50" s="1"/>
      <c r="M50" s="1"/>
      <c r="R50" s="3"/>
    </row>
    <row r="51" spans="1:18" ht="15.75">
      <c r="A51" s="1"/>
      <c r="B51" s="55"/>
      <c r="C51" s="33"/>
      <c r="D51" s="57">
        <f>1.55</f>
        <v>1.55</v>
      </c>
      <c r="E51" s="58"/>
      <c r="F51" s="58"/>
      <c r="G51" s="33" t="s">
        <v>498</v>
      </c>
      <c r="H51" s="1"/>
      <c r="M51" s="1"/>
      <c r="R51" s="3"/>
    </row>
    <row r="52" spans="1:18" ht="15.75">
      <c r="A52" s="1"/>
      <c r="B52" s="55"/>
      <c r="C52" s="33"/>
      <c r="D52" s="57">
        <v>51.03</v>
      </c>
      <c r="E52" s="58"/>
      <c r="F52" s="58"/>
      <c r="G52" s="33" t="s">
        <v>501</v>
      </c>
      <c r="H52" s="1"/>
      <c r="M52" s="1"/>
      <c r="R52" s="3"/>
    </row>
    <row r="53" spans="1:18" ht="15.75">
      <c r="A53" s="1"/>
      <c r="B53" s="55"/>
      <c r="C53" s="33"/>
      <c r="D53" s="57">
        <v>43.57</v>
      </c>
      <c r="E53" s="58"/>
      <c r="F53" s="58"/>
      <c r="G53" s="33" t="s">
        <v>511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530</v>
      </c>
      <c r="C60" s="34" t="s">
        <v>66</v>
      </c>
      <c r="D60" s="56">
        <f>SUM(D46:D59)</f>
        <v>389.21999999999997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v>10</v>
      </c>
      <c r="G66" s="36" t="s">
        <v>459</v>
      </c>
      <c r="H66" s="1"/>
      <c r="M66" s="1"/>
      <c r="R66" s="3"/>
    </row>
    <row r="67" spans="1:18" ht="15.75">
      <c r="A67" s="1"/>
      <c r="B67" s="55">
        <v>71</v>
      </c>
      <c r="C67" s="33" t="s">
        <v>446</v>
      </c>
      <c r="D67" s="57">
        <f>25.75</f>
        <v>25.75</v>
      </c>
      <c r="E67" s="58"/>
      <c r="F67" s="58">
        <v>1</v>
      </c>
      <c r="G67" s="70" t="s">
        <v>460</v>
      </c>
      <c r="H67" s="1"/>
      <c r="M67" s="1"/>
      <c r="R67" s="3"/>
    </row>
    <row r="68" spans="1:18" ht="15.75">
      <c r="A68" s="1"/>
      <c r="B68" s="55"/>
      <c r="C68" s="33"/>
      <c r="D68" s="57">
        <f>15.3+43</f>
        <v>58.3</v>
      </c>
      <c r="E68" s="58"/>
      <c r="F68" s="58">
        <f>18+30</f>
        <v>48</v>
      </c>
      <c r="G68" s="33" t="s">
        <v>471</v>
      </c>
      <c r="H68" s="1">
        <v>106.3</v>
      </c>
      <c r="I68" s="137" t="s">
        <v>308</v>
      </c>
      <c r="M68" s="1"/>
      <c r="R68" s="3"/>
    </row>
    <row r="69" spans="1:18" ht="15.75">
      <c r="A69" s="1"/>
      <c r="B69" s="55"/>
      <c r="C69" s="33"/>
      <c r="D69" s="57"/>
      <c r="E69" s="58"/>
      <c r="F69" s="58">
        <v>13.9</v>
      </c>
      <c r="G69" s="33" t="s">
        <v>480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f>6.5+5+2+4.5</f>
        <v>18</v>
      </c>
      <c r="G70" s="33" t="s">
        <v>484</v>
      </c>
      <c r="H70" s="1"/>
      <c r="M70" s="1"/>
      <c r="R70" s="3"/>
    </row>
    <row r="71" spans="1:18" ht="15.75">
      <c r="A71" s="1"/>
      <c r="B71" s="55"/>
      <c r="C71" s="33"/>
      <c r="D71" s="57">
        <v>30.95</v>
      </c>
      <c r="E71" s="58"/>
      <c r="F71" s="58"/>
      <c r="G71" s="33" t="s">
        <v>428</v>
      </c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221</v>
      </c>
      <c r="C80" s="34" t="s">
        <v>66</v>
      </c>
      <c r="D80" s="56">
        <f>SUM(D66:D79)</f>
        <v>115</v>
      </c>
      <c r="E80" s="56">
        <f>SUM(E66:E79)</f>
        <v>0</v>
      </c>
      <c r="F80" s="56">
        <f>SUM(F66:F79)</f>
        <v>90.9</v>
      </c>
      <c r="G80" s="34" t="s">
        <v>66</v>
      </c>
      <c r="H80" s="163">
        <f>SUM(D80:F80)-H68</f>
        <v>99.600000000000009</v>
      </c>
      <c r="I80" s="137" t="s">
        <v>486</v>
      </c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53.39+49.42+50.44</f>
        <v>153.25</v>
      </c>
      <c r="E86" s="58"/>
      <c r="F86" s="58"/>
      <c r="G86" s="33" t="s">
        <v>509</v>
      </c>
      <c r="H86" s="1"/>
      <c r="M86" s="1"/>
      <c r="R86" s="3"/>
    </row>
    <row r="87" spans="1:18" ht="15.75">
      <c r="A87" s="1"/>
      <c r="B87" s="55"/>
      <c r="C87" s="33"/>
      <c r="D87" s="57"/>
      <c r="E87" s="58">
        <v>6.3</v>
      </c>
      <c r="F87" s="58"/>
      <c r="G87" s="33" t="s">
        <v>465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/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/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153.25</v>
      </c>
      <c r="E100" s="56">
        <f>SUM(E86:E99)</f>
        <v>6.3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37.5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9.5</v>
      </c>
      <c r="E166" s="58"/>
      <c r="F166" s="58"/>
      <c r="G166" s="33" t="s">
        <v>450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9.5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29.99</v>
      </c>
      <c r="E186" s="58"/>
      <c r="F186" s="58"/>
      <c r="G186" s="33" t="s">
        <v>455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35</v>
      </c>
      <c r="E187" s="58"/>
      <c r="F187" s="58"/>
      <c r="G187" s="33" t="s">
        <v>454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19.989999999999998</v>
      </c>
      <c r="E188" s="58"/>
      <c r="F188" s="58"/>
      <c r="G188" s="33" t="s">
        <v>453</v>
      </c>
    </row>
    <row r="189" spans="1:22">
      <c r="B189" s="55"/>
      <c r="C189" s="33"/>
      <c r="D189" s="57">
        <v>5.99</v>
      </c>
      <c r="E189" s="58"/>
      <c r="F189" s="58"/>
      <c r="G189" s="33" t="s">
        <v>499</v>
      </c>
    </row>
    <row r="190" spans="1:22">
      <c r="B190" s="55"/>
      <c r="C190" s="33"/>
      <c r="D190" s="57">
        <f>60.26-D290</f>
        <v>29.099999999999998</v>
      </c>
      <c r="E190" s="58"/>
      <c r="F190" s="58"/>
      <c r="G190" s="33" t="s">
        <v>502</v>
      </c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120.06999999999998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f>20.05-D288</f>
        <v>10.050000000000001</v>
      </c>
      <c r="E206" s="58"/>
      <c r="F206" s="58"/>
      <c r="G206" s="33" t="s">
        <v>496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10.050000000000001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65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90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8" ht="15.75" thickBot="1">
      <c r="B241" s="3"/>
      <c r="C241" s="3"/>
      <c r="D241" s="3"/>
      <c r="E241" s="3"/>
    </row>
    <row r="242" spans="2:8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8" ht="15" customHeight="1" thickBot="1">
      <c r="B243" s="293"/>
      <c r="C243" s="294"/>
      <c r="D243" s="294"/>
      <c r="E243" s="294"/>
      <c r="F243" s="294"/>
      <c r="G243" s="295"/>
    </row>
    <row r="244" spans="2:8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8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8" ht="15" customHeight="1">
      <c r="B246" s="55">
        <v>80</v>
      </c>
      <c r="C246" s="66"/>
      <c r="D246" s="57">
        <v>10</v>
      </c>
      <c r="E246" s="58"/>
      <c r="F246" s="58"/>
      <c r="G246" s="33" t="s">
        <v>472</v>
      </c>
    </row>
    <row r="247" spans="2:8" ht="15" customHeight="1">
      <c r="B247" s="55"/>
      <c r="C247" s="33"/>
      <c r="D247" s="57">
        <f>28.31</f>
        <v>28.31</v>
      </c>
      <c r="E247" s="58"/>
      <c r="F247" s="58"/>
      <c r="G247" s="33" t="s">
        <v>479</v>
      </c>
    </row>
    <row r="248" spans="2:8">
      <c r="B248" s="55"/>
      <c r="C248" s="33"/>
      <c r="D248" s="57">
        <f>57.39-D289</f>
        <v>49.55</v>
      </c>
      <c r="E248" s="58"/>
      <c r="F248" s="58"/>
      <c r="G248" s="33" t="s">
        <v>503</v>
      </c>
      <c r="H248" s="164"/>
    </row>
    <row r="249" spans="2:8">
      <c r="B249" s="55"/>
      <c r="C249" s="33"/>
      <c r="D249" s="57">
        <v>129</v>
      </c>
      <c r="E249" s="58"/>
      <c r="F249" s="58"/>
      <c r="G249" s="33" t="s">
        <v>506</v>
      </c>
    </row>
    <row r="250" spans="2:8">
      <c r="B250" s="55"/>
      <c r="C250" s="33"/>
      <c r="D250" s="57">
        <v>271.56</v>
      </c>
      <c r="E250" s="58"/>
      <c r="F250" s="58"/>
      <c r="G250" s="33" t="s">
        <v>510</v>
      </c>
    </row>
    <row r="251" spans="2:8">
      <c r="B251" s="55"/>
      <c r="C251" s="33"/>
      <c r="D251" s="57">
        <v>14.06</v>
      </c>
      <c r="E251" s="58"/>
      <c r="F251" s="58"/>
      <c r="G251" s="33" t="s">
        <v>513</v>
      </c>
    </row>
    <row r="252" spans="2:8">
      <c r="B252" s="55"/>
      <c r="C252" s="33"/>
      <c r="D252" s="57"/>
      <c r="E252" s="58"/>
      <c r="F252" s="58"/>
      <c r="G252" s="33"/>
    </row>
    <row r="253" spans="2:8">
      <c r="B253" s="55"/>
      <c r="C253" s="33"/>
      <c r="D253" s="57"/>
      <c r="E253" s="58"/>
      <c r="F253" s="58"/>
      <c r="G253" s="33"/>
    </row>
    <row r="254" spans="2:8">
      <c r="B254" s="55"/>
      <c r="C254" s="33"/>
      <c r="D254" s="57"/>
      <c r="E254" s="58"/>
      <c r="F254" s="58"/>
      <c r="G254" s="33"/>
    </row>
    <row r="255" spans="2:8">
      <c r="B255" s="55"/>
      <c r="C255" s="33"/>
      <c r="D255" s="57"/>
      <c r="E255" s="58"/>
      <c r="F255" s="58"/>
      <c r="G255" s="33"/>
    </row>
    <row r="256" spans="2:8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502.48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7" ht="15" customHeight="1" thickBot="1">
      <c r="B283" s="293"/>
      <c r="C283" s="294"/>
      <c r="D283" s="294"/>
      <c r="E283" s="294"/>
      <c r="F283" s="294"/>
      <c r="G283" s="295"/>
    </row>
    <row r="284" spans="2:7">
      <c r="B284" s="301" t="s">
        <v>10</v>
      </c>
      <c r="C284" s="302"/>
      <c r="D284" s="303" t="s">
        <v>11</v>
      </c>
      <c r="E284" s="303"/>
      <c r="F284" s="303"/>
      <c r="G284" s="302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120</v>
      </c>
      <c r="C286" s="36" t="s">
        <v>36</v>
      </c>
      <c r="D286" s="57">
        <f>6.5</f>
        <v>6.5</v>
      </c>
      <c r="E286" s="58"/>
      <c r="F286" s="58"/>
      <c r="G286" s="33" t="s">
        <v>451</v>
      </c>
    </row>
    <row r="287" spans="2:7">
      <c r="B287" s="55">
        <v>200</v>
      </c>
      <c r="C287" s="33" t="s">
        <v>427</v>
      </c>
      <c r="D287" s="57"/>
      <c r="E287" s="58">
        <v>20.04</v>
      </c>
      <c r="F287" s="58"/>
      <c r="G287" s="33" t="s">
        <v>493</v>
      </c>
    </row>
    <row r="288" spans="2:7">
      <c r="B288" s="55"/>
      <c r="C288" s="33"/>
      <c r="D288" s="57">
        <v>10</v>
      </c>
      <c r="E288" s="58"/>
      <c r="F288" s="58"/>
      <c r="G288" s="33" t="s">
        <v>495</v>
      </c>
    </row>
    <row r="289" spans="2:7">
      <c r="B289" s="55"/>
      <c r="C289" s="33"/>
      <c r="D289" s="57">
        <f>7.84</f>
        <v>7.84</v>
      </c>
      <c r="E289" s="58"/>
      <c r="F289" s="58"/>
      <c r="G289" s="33" t="s">
        <v>504</v>
      </c>
    </row>
    <row r="290" spans="2:7">
      <c r="B290" s="55"/>
      <c r="C290" s="33"/>
      <c r="D290" s="57">
        <f>39-D289</f>
        <v>31.16</v>
      </c>
      <c r="E290" s="58"/>
      <c r="F290" s="58"/>
      <c r="G290" s="33" t="s">
        <v>505</v>
      </c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320</v>
      </c>
      <c r="C300" s="34" t="s">
        <v>66</v>
      </c>
      <c r="D300" s="56">
        <f>SUM(D286:D299)</f>
        <v>55.5</v>
      </c>
      <c r="E300" s="56">
        <f>SUM(E286:E299)</f>
        <v>20.04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60</v>
      </c>
      <c r="D306" s="57">
        <f>34.5*2</f>
        <v>69</v>
      </c>
      <c r="E306" s="58"/>
      <c r="F306" s="58"/>
      <c r="G306" s="33" t="s">
        <v>225</v>
      </c>
    </row>
    <row r="307" spans="2:7">
      <c r="B307" s="84"/>
      <c r="C307" s="66"/>
      <c r="D307" s="57">
        <f>44.33+13.65</f>
        <v>57.98</v>
      </c>
      <c r="E307" s="58"/>
      <c r="F307" s="58"/>
      <c r="G307" s="33" t="s">
        <v>461</v>
      </c>
    </row>
    <row r="308" spans="2:7">
      <c r="B308" s="84"/>
      <c r="C308" s="66"/>
      <c r="D308" s="57">
        <v>42.55</v>
      </c>
      <c r="E308" s="58"/>
      <c r="F308" s="58"/>
      <c r="G308" s="33" t="s">
        <v>482</v>
      </c>
    </row>
    <row r="309" spans="2:7">
      <c r="B309" s="55"/>
      <c r="C309" s="33"/>
      <c r="D309" s="57" t="s">
        <v>483</v>
      </c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169.52999999999997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10</v>
      </c>
      <c r="C326" s="36"/>
      <c r="D326" s="57"/>
      <c r="E326" s="58">
        <v>39.9</v>
      </c>
      <c r="F326" s="58"/>
      <c r="G326" s="33" t="s">
        <v>457</v>
      </c>
    </row>
    <row r="327" spans="2:7">
      <c r="B327" s="55"/>
      <c r="C327" s="33"/>
      <c r="D327" s="57"/>
      <c r="E327" s="58">
        <v>120.56</v>
      </c>
      <c r="F327" s="58"/>
      <c r="G327" s="33" t="s">
        <v>489</v>
      </c>
    </row>
    <row r="328" spans="2:7">
      <c r="B328" s="55"/>
      <c r="C328" s="33"/>
      <c r="D328" s="57">
        <v>12.25</v>
      </c>
      <c r="E328" s="58"/>
      <c r="F328" s="58"/>
      <c r="G328" s="33" t="s">
        <v>500</v>
      </c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10</v>
      </c>
      <c r="C340" s="34" t="s">
        <v>66</v>
      </c>
      <c r="D340" s="56">
        <f>SUM(D326:D339)</f>
        <v>12.25</v>
      </c>
      <c r="E340" s="56">
        <f>SUM(E326:E339)</f>
        <v>160.46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>
        <v>86</v>
      </c>
      <c r="E346" s="58"/>
      <c r="F346" s="58"/>
      <c r="G346" s="33" t="s">
        <v>476</v>
      </c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86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103</v>
      </c>
      <c r="C366" s="36" t="s">
        <v>36</v>
      </c>
      <c r="D366" s="57"/>
      <c r="E366" s="58"/>
      <c r="F366" s="58">
        <f>4.45+3.4+3.4+4+3.4+3.4+3.4+3.4+4.45+3.4+3.4+3.4+2.65-D51+4.5+4.7+3.4</f>
        <v>57.199999999999996</v>
      </c>
      <c r="G366" s="70" t="s">
        <v>91</v>
      </c>
    </row>
    <row r="367" spans="2:7">
      <c r="B367" s="55"/>
      <c r="C367" s="33"/>
      <c r="D367" s="57">
        <v>7.7</v>
      </c>
      <c r="E367" s="58"/>
      <c r="F367" s="58"/>
      <c r="G367" s="70" t="s">
        <v>490</v>
      </c>
    </row>
    <row r="368" spans="2:7">
      <c r="B368" s="55"/>
      <c r="C368" s="33"/>
      <c r="D368" s="57"/>
      <c r="E368" s="58">
        <f>57.08-E287-E507</f>
        <v>25.77</v>
      </c>
      <c r="F368" s="58"/>
      <c r="G368" s="33" t="s">
        <v>491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103</v>
      </c>
      <c r="C380" s="34" t="s">
        <v>66</v>
      </c>
      <c r="D380" s="56">
        <f>SUM(D366:D379)</f>
        <v>7.7</v>
      </c>
      <c r="E380" s="56">
        <f>SUM(E366:E379)</f>
        <v>25.77</v>
      </c>
      <c r="F380" s="56">
        <f>SUM(F366:F379)</f>
        <v>57.199999999999996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0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301" t="s">
        <v>10</v>
      </c>
      <c r="C424" s="302"/>
      <c r="D424" s="303" t="s">
        <v>11</v>
      </c>
      <c r="E424" s="303"/>
      <c r="F424" s="303"/>
      <c r="G424" s="302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-4618.3+'2018'!AA17</f>
        <v>-190.40000000000055</v>
      </c>
      <c r="C426" s="36" t="s">
        <v>404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-190.40000000000055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>
        <v>7.53</v>
      </c>
      <c r="E506" s="58"/>
      <c r="F506" s="58"/>
      <c r="G506" s="33" t="s">
        <v>492</v>
      </c>
    </row>
    <row r="507" spans="2:7">
      <c r="B507" s="55"/>
      <c r="C507" s="33"/>
      <c r="D507" s="57"/>
      <c r="E507" s="58">
        <v>11.27</v>
      </c>
      <c r="F507" s="58"/>
      <c r="G507" s="33" t="s">
        <v>494</v>
      </c>
    </row>
    <row r="508" spans="2:7">
      <c r="B508" s="55"/>
      <c r="C508" s="33"/>
      <c r="D508" s="57"/>
      <c r="E508" s="58">
        <v>49</v>
      </c>
      <c r="F508" s="58"/>
      <c r="G508" s="33" t="s">
        <v>517</v>
      </c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7.53</v>
      </c>
      <c r="E520" s="56">
        <f>SUM(E506:E519)</f>
        <v>60.269999999999996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700-000000000000}"/>
    <hyperlink ref="I22" location="Trimestre!C39:F40" display="TELÉFONO" xr:uid="{00000000-0004-0000-0700-000001000000}"/>
    <hyperlink ref="I22:L23" location="'2018'!AA7:AD7" display="INGRESOS" xr:uid="{00000000-0004-0000-0700-000002000000}"/>
    <hyperlink ref="B2" location="Trimestre!C25:F26" display="HIPOTECA" xr:uid="{00000000-0004-0000-0700-000003000000}"/>
    <hyperlink ref="B2:G3" location="'2018'!AA20:AD20" display="'2018'!AA20:AD20" xr:uid="{00000000-0004-0000-0700-000004000000}"/>
    <hyperlink ref="B22" location="Trimestre!C25:F26" display="HIPOTECA" xr:uid="{00000000-0004-0000-0700-000005000000}"/>
    <hyperlink ref="B22:G23" location="'2018'!AA21:AD21" display="'2018'!AA21:AD21" xr:uid="{00000000-0004-0000-0700-000006000000}"/>
    <hyperlink ref="B42" location="Trimestre!C25:F26" display="HIPOTECA" xr:uid="{00000000-0004-0000-0700-000007000000}"/>
    <hyperlink ref="B42:G43" location="'2018'!AA22:AD22" display="'2018'!AA22:AD22" xr:uid="{00000000-0004-0000-0700-000008000000}"/>
    <hyperlink ref="B62" location="Trimestre!C25:F26" display="HIPOTECA" xr:uid="{00000000-0004-0000-0700-000009000000}"/>
    <hyperlink ref="B62:G63" location="'2018'!AA23:AD23" display="'2018'!AA23:AD23" xr:uid="{00000000-0004-0000-0700-00000A000000}"/>
    <hyperlink ref="B82" location="Trimestre!C25:F26" display="HIPOTECA" xr:uid="{00000000-0004-0000-0700-00000B000000}"/>
    <hyperlink ref="B82:G83" location="'2018'!AA24:AD24" display="'2018'!AA24:AD24" xr:uid="{00000000-0004-0000-0700-00000C000000}"/>
    <hyperlink ref="B102" location="Trimestre!C25:F26" display="HIPOTECA" xr:uid="{00000000-0004-0000-0700-00000D000000}"/>
    <hyperlink ref="B102:G103" location="'2018'!AA25:AD25" display="'2018'!AA25:AD25" xr:uid="{00000000-0004-0000-0700-00000E000000}"/>
    <hyperlink ref="B122" location="Trimestre!C25:F26" display="HIPOTECA" xr:uid="{00000000-0004-0000-0700-00000F000000}"/>
    <hyperlink ref="B122:G123" location="'2018'!AA26:AD26" display="'2018'!AA26:AD26" xr:uid="{00000000-0004-0000-0700-000010000000}"/>
    <hyperlink ref="B142" location="Trimestre!C25:F26" display="HIPOTECA" xr:uid="{00000000-0004-0000-0700-000011000000}"/>
    <hyperlink ref="B142:G143" location="'2018'!AA27:AD27" display="'2018'!AA27:AD27" xr:uid="{00000000-0004-0000-0700-000012000000}"/>
    <hyperlink ref="B162" location="Trimestre!C25:F26" display="HIPOTECA" xr:uid="{00000000-0004-0000-0700-000013000000}"/>
    <hyperlink ref="B162:G163" location="'2018'!AA28:AD28" display="'2018'!AA28:AD28" xr:uid="{00000000-0004-0000-0700-000014000000}"/>
    <hyperlink ref="B182" location="Trimestre!C25:F26" display="HIPOTECA" xr:uid="{00000000-0004-0000-0700-000015000000}"/>
    <hyperlink ref="B182:G183" location="'2018'!AA29:AD29" display="'2018'!AA29:AD29" xr:uid="{00000000-0004-0000-0700-000016000000}"/>
    <hyperlink ref="B202" location="Trimestre!C25:F26" display="HIPOTECA" xr:uid="{00000000-0004-0000-0700-000017000000}"/>
    <hyperlink ref="B202:G203" location="'2018'!AA30:AD30" display="'2018'!AA30:AD30" xr:uid="{00000000-0004-0000-0700-000018000000}"/>
    <hyperlink ref="B222" location="Trimestre!C25:F26" display="HIPOTECA" xr:uid="{00000000-0004-0000-0700-000019000000}"/>
    <hyperlink ref="B222:G223" location="'2018'!AA31:AD31" display="'2018'!AA31:AD31" xr:uid="{00000000-0004-0000-0700-00001A000000}"/>
    <hyperlink ref="B242" location="Trimestre!C25:F26" display="HIPOTECA" xr:uid="{00000000-0004-0000-0700-00001B000000}"/>
    <hyperlink ref="B242:G243" location="'2018'!AA32:AD32" display="'2018'!AA32:AD32" xr:uid="{00000000-0004-0000-0700-00001C000000}"/>
    <hyperlink ref="B262" location="Trimestre!C25:F26" display="HIPOTECA" xr:uid="{00000000-0004-0000-0700-00001D000000}"/>
    <hyperlink ref="B262:G263" location="'2018'!AA33:AD33" display="'2018'!AA33:AD33" xr:uid="{00000000-0004-0000-0700-00001E000000}"/>
    <hyperlink ref="B282" location="Trimestre!C25:F26" display="HIPOTECA" xr:uid="{00000000-0004-0000-0700-00001F000000}"/>
    <hyperlink ref="B282:G283" location="'2018'!AA34:AD34" display="'2018'!AA34:AD34" xr:uid="{00000000-0004-0000-0700-000020000000}"/>
    <hyperlink ref="B302" location="Trimestre!C25:F26" display="HIPOTECA" xr:uid="{00000000-0004-0000-0700-000021000000}"/>
    <hyperlink ref="B302:G303" location="'2018'!AA35:AD35" display="'2018'!AA35:AD35" xr:uid="{00000000-0004-0000-0700-000022000000}"/>
    <hyperlink ref="B322" location="Trimestre!C25:F26" display="HIPOTECA" xr:uid="{00000000-0004-0000-0700-000023000000}"/>
    <hyperlink ref="B322:G323" location="'2018'!AA36:AD36" display="'2018'!AA36:AD36" xr:uid="{00000000-0004-0000-0700-000024000000}"/>
    <hyperlink ref="B342" location="Trimestre!C25:F26" display="HIPOTECA" xr:uid="{00000000-0004-0000-0700-000025000000}"/>
    <hyperlink ref="B342:G343" location="'2018'!AA37:AD37" display="'2018'!AA37:AD37" xr:uid="{00000000-0004-0000-0700-000026000000}"/>
    <hyperlink ref="B362" location="Trimestre!C25:F26" display="HIPOTECA" xr:uid="{00000000-0004-0000-0700-000027000000}"/>
    <hyperlink ref="B362:G363" location="'2018'!AA38:AD38" display="'2018'!AA38:AD38" xr:uid="{00000000-0004-0000-0700-000028000000}"/>
    <hyperlink ref="B382" location="Trimestre!C25:F26" display="HIPOTECA" xr:uid="{00000000-0004-0000-0700-000029000000}"/>
    <hyperlink ref="B382:G383" location="'2018'!AA39:AD39" display="'2018'!AA39:AD39" xr:uid="{00000000-0004-0000-0700-00002A000000}"/>
    <hyperlink ref="B402" location="Trimestre!C25:F26" display="HIPOTECA" xr:uid="{00000000-0004-0000-0700-00002B000000}"/>
    <hyperlink ref="B402:G403" location="'2018'!AA40:AD40" display="'2018'!AA40:AD40" xr:uid="{00000000-0004-0000-0700-00002C000000}"/>
    <hyperlink ref="B422" location="Trimestre!C25:F26" display="HIPOTECA" xr:uid="{00000000-0004-0000-0700-00002D000000}"/>
    <hyperlink ref="B422:G423" location="'2018'!AA41:AD41" display="'2018'!AA41:AD41" xr:uid="{00000000-0004-0000-0700-00002E000000}"/>
    <hyperlink ref="B442" location="Trimestre!C25:F26" display="HIPOTECA" xr:uid="{00000000-0004-0000-0700-00002F000000}"/>
    <hyperlink ref="B442:G443" location="'2018'!AA42:AD42" display="'2018'!AA42:AD42" xr:uid="{00000000-0004-0000-0700-000030000000}"/>
    <hyperlink ref="B462" location="Trimestre!C25:F26" display="HIPOTECA" xr:uid="{00000000-0004-0000-0700-000031000000}"/>
    <hyperlink ref="B462:G463" location="'2018'!AA43:AD43" display="'2018'!AA43:AD43" xr:uid="{00000000-0004-0000-0700-000032000000}"/>
    <hyperlink ref="B482" location="Trimestre!C25:F26" display="HIPOTECA" xr:uid="{00000000-0004-0000-0700-000033000000}"/>
    <hyperlink ref="B482:G483" location="'2018'!AA44:AD44" display="'2018'!AA44:AD44" xr:uid="{00000000-0004-0000-0700-000034000000}"/>
    <hyperlink ref="B502" location="Trimestre!C25:F26" display="HIPOTECA" xr:uid="{00000000-0004-0000-0700-000035000000}"/>
    <hyperlink ref="B502:G503" location="'2018'!AA45:AD45" display="'2018'!AA45:AD45" xr:uid="{00000000-0004-0000-0700-000036000000}"/>
    <hyperlink ref="I2:L3" location="'2018'!AA4:AD4" display="SALDO REAL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G18" sqref="G18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88" t="s">
        <v>70</v>
      </c>
      <c r="J4" s="156" t="s">
        <v>71</v>
      </c>
      <c r="K4" s="296" t="s">
        <v>72</v>
      </c>
      <c r="L4" s="297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8">
        <f>2534.79-49</f>
        <v>2485.79</v>
      </c>
      <c r="L5" s="299"/>
      <c r="M5" s="1"/>
      <c r="N5" s="1"/>
      <c r="R5" s="3"/>
    </row>
    <row r="6" spans="1:22" ht="15.75">
      <c r="A6" s="163">
        <f>'07'!A6+B6-E6</f>
        <v>403.62</v>
      </c>
      <c r="B6" s="54">
        <v>399</v>
      </c>
      <c r="C6" s="36" t="s">
        <v>311</v>
      </c>
      <c r="D6" s="57"/>
      <c r="E6" s="58"/>
      <c r="F6" s="58"/>
      <c r="G6" s="33" t="s">
        <v>35</v>
      </c>
      <c r="H6" s="1"/>
      <c r="I6" s="159" t="s">
        <v>73</v>
      </c>
      <c r="J6" s="158" t="s">
        <v>75</v>
      </c>
      <c r="K6" s="288">
        <v>550</v>
      </c>
      <c r="L6" s="289"/>
      <c r="M6" s="1" t="s">
        <v>394</v>
      </c>
      <c r="N6" s="1"/>
      <c r="R6" s="3"/>
    </row>
    <row r="7" spans="1:22" ht="15.75">
      <c r="A7" s="163">
        <f>'07'!A7+B7-E7</f>
        <v>-209.3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8">
        <v>6661.07</v>
      </c>
      <c r="L7" s="289"/>
      <c r="M7" s="1"/>
      <c r="N7" s="1"/>
      <c r="R7" s="3"/>
    </row>
    <row r="8" spans="1:22" ht="15.75">
      <c r="A8" s="163">
        <f>'07'!A8+B8-E8</f>
        <v>-228.12</v>
      </c>
      <c r="B8" s="55">
        <v>0</v>
      </c>
      <c r="C8" s="33" t="s">
        <v>38</v>
      </c>
      <c r="D8" s="57"/>
      <c r="E8" s="137">
        <v>108.71</v>
      </c>
      <c r="F8" s="58"/>
      <c r="G8" s="33" t="s">
        <v>38</v>
      </c>
      <c r="H8" s="1"/>
      <c r="I8" s="159" t="s">
        <v>76</v>
      </c>
      <c r="J8" s="158" t="s">
        <v>78</v>
      </c>
      <c r="K8" s="288">
        <v>7000</v>
      </c>
      <c r="L8" s="289"/>
      <c r="M8" s="1"/>
      <c r="N8" s="1"/>
      <c r="R8" s="3"/>
    </row>
    <row r="9" spans="1:22" ht="15.75">
      <c r="A9" s="163">
        <f>'07'!A9+B9-E9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88">
        <v>659.77</v>
      </c>
      <c r="L9" s="289"/>
      <c r="M9" s="1"/>
      <c r="N9" s="1"/>
      <c r="R9" s="3"/>
    </row>
    <row r="10" spans="1:22" ht="15.75">
      <c r="A10" s="163">
        <f>'07'!A10+B10-E10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8">
        <v>1800.04</v>
      </c>
      <c r="L10" s="289"/>
      <c r="M10" s="1" t="s">
        <v>265</v>
      </c>
      <c r="N10" s="1"/>
      <c r="R10" s="3"/>
    </row>
    <row r="11" spans="1:22" ht="15.75">
      <c r="A11" s="163">
        <f>'07'!A11+B11-E11</f>
        <v>6.0900000000000141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159" t="s">
        <v>93</v>
      </c>
      <c r="J11" s="158" t="s">
        <v>94</v>
      </c>
      <c r="K11" s="288">
        <f>220+20</f>
        <v>240</v>
      </c>
      <c r="L11" s="289"/>
      <c r="M11" s="1"/>
      <c r="N11" s="1"/>
      <c r="R11" s="3"/>
    </row>
    <row r="12" spans="1:22" ht="15.75">
      <c r="A12" s="163">
        <f>'07'!A12+B12-E12</f>
        <v>-0.18000000000006366</v>
      </c>
      <c r="B12" s="55"/>
      <c r="C12" s="33"/>
      <c r="D12" s="57"/>
      <c r="E12" s="58"/>
      <c r="F12" s="58"/>
      <c r="G12" s="33"/>
      <c r="H12" s="1"/>
      <c r="I12" s="159" t="s">
        <v>303</v>
      </c>
      <c r="J12" s="158" t="s">
        <v>304</v>
      </c>
      <c r="K12" s="288">
        <v>5092.08</v>
      </c>
      <c r="L12" s="289"/>
      <c r="M12" s="140"/>
      <c r="N12" s="1"/>
      <c r="R12" s="3"/>
    </row>
    <row r="13" spans="1:22" ht="15.75">
      <c r="A13" s="163">
        <f>'07'!A13+B13-E13</f>
        <v>-67.930000000000007</v>
      </c>
      <c r="B13" s="55">
        <v>-285</v>
      </c>
      <c r="C13" s="33" t="s">
        <v>468</v>
      </c>
      <c r="D13" s="57"/>
      <c r="E13" s="58"/>
      <c r="F13" s="58"/>
      <c r="G13" s="33"/>
      <c r="H13" s="1"/>
      <c r="I13" s="159"/>
      <c r="J13" s="158"/>
      <c r="K13" s="288"/>
      <c r="L13" s="289"/>
      <c r="M13" s="1"/>
      <c r="N13" s="1"/>
      <c r="R13" s="3"/>
    </row>
    <row r="14" spans="1:22" ht="15.75">
      <c r="A14" s="163">
        <f>'07'!A14+B14-E14</f>
        <v>200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88"/>
      <c r="L14" s="289"/>
      <c r="M14" s="1"/>
      <c r="N14" s="1"/>
      <c r="R14" s="3"/>
    </row>
    <row r="15" spans="1:22" ht="15.75">
      <c r="A15" s="163">
        <f>'07'!A15+B15-E15</f>
        <v>35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88"/>
      <c r="L15" s="289"/>
      <c r="M15" s="1"/>
      <c r="N15" s="1"/>
      <c r="R15" s="3"/>
    </row>
    <row r="16" spans="1:22" ht="15.75">
      <c r="A16" s="163">
        <f>'07'!A16+B16-E16</f>
        <v>0</v>
      </c>
      <c r="B16" s="55">
        <v>20</v>
      </c>
      <c r="C16" s="33" t="s">
        <v>464</v>
      </c>
      <c r="D16" s="57"/>
      <c r="E16" s="58"/>
      <c r="F16" s="58"/>
      <c r="G16" s="33"/>
      <c r="H16" s="1"/>
      <c r="I16" s="159"/>
      <c r="J16" s="158"/>
      <c r="K16" s="288"/>
      <c r="L16" s="28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8"/>
      <c r="L17" s="28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4"/>
      <c r="L18" s="30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4">
        <f>SUM(K5:K18)</f>
        <v>24488.75</v>
      </c>
      <c r="L19" s="305"/>
      <c r="M19" s="1"/>
      <c r="N19" s="1"/>
      <c r="R19" s="3"/>
    </row>
    <row r="20" spans="1:18" ht="16.5" thickBot="1">
      <c r="A20" s="163">
        <f>SUM(A6:A15)</f>
        <v>142.17999999999995</v>
      </c>
      <c r="B20" s="56">
        <f>SUM(B6:B19)</f>
        <v>269</v>
      </c>
      <c r="C20" s="34" t="s">
        <v>66</v>
      </c>
      <c r="D20" s="56">
        <f>SUM(D6:D19)</f>
        <v>0</v>
      </c>
      <c r="E20" s="56">
        <f>SUM(E6:E19)</f>
        <v>150.94999999999999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17596.629999999997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296" t="s">
        <v>134</v>
      </c>
      <c r="L24" s="297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518</v>
      </c>
      <c r="K25" s="298">
        <v>269.88</v>
      </c>
      <c r="L25" s="299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9</v>
      </c>
      <c r="J26" s="35" t="s">
        <v>527</v>
      </c>
      <c r="K26" s="288">
        <v>49</v>
      </c>
      <c r="L26" s="289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167</v>
      </c>
      <c r="E27" s="58"/>
      <c r="F27" s="58"/>
      <c r="G27" s="33" t="s">
        <v>44</v>
      </c>
      <c r="H27" s="1"/>
      <c r="I27" s="151"/>
      <c r="J27" s="35"/>
      <c r="K27" s="288"/>
      <c r="L27" s="289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88"/>
      <c r="L28" s="289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8"/>
      <c r="L29" s="289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8"/>
      <c r="L30" s="28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8"/>
      <c r="L31" s="28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8"/>
      <c r="L32" s="28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8"/>
      <c r="L33" s="28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8"/>
      <c r="L34" s="28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8"/>
      <c r="L35" s="28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8"/>
      <c r="L36" s="28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8"/>
      <c r="L37" s="28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4"/>
      <c r="L38" s="30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1084.46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472</v>
      </c>
      <c r="C46" s="36"/>
      <c r="D46" s="57">
        <f>73.6</f>
        <v>73.599999999999994</v>
      </c>
      <c r="E46" s="58"/>
      <c r="F46" s="58"/>
      <c r="G46" s="69" t="s">
        <v>533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56.65</f>
        <v>56.65</v>
      </c>
      <c r="E47" s="58"/>
      <c r="F47" s="58"/>
      <c r="G47" s="33" t="s">
        <v>520</v>
      </c>
      <c r="H47" s="1"/>
      <c r="M47" s="1"/>
      <c r="R47" s="3"/>
    </row>
    <row r="48" spans="1:18" ht="15.75">
      <c r="A48" s="1"/>
      <c r="B48" s="55"/>
      <c r="C48" s="33"/>
      <c r="D48" s="57">
        <f>17.09</f>
        <v>17.09</v>
      </c>
      <c r="E48" s="58"/>
      <c r="F48" s="58"/>
      <c r="G48" s="33" t="s">
        <v>521</v>
      </c>
      <c r="H48" s="1"/>
      <c r="M48" s="1"/>
      <c r="R48" s="3"/>
    </row>
    <row r="49" spans="1:18" ht="15.75">
      <c r="A49" s="1"/>
      <c r="B49" s="55"/>
      <c r="C49" s="33"/>
      <c r="D49" s="57">
        <v>8.35</v>
      </c>
      <c r="E49" s="58"/>
      <c r="F49" s="58"/>
      <c r="G49" s="33" t="s">
        <v>524</v>
      </c>
      <c r="H49" s="1"/>
      <c r="M49" s="1"/>
      <c r="R49" s="3"/>
    </row>
    <row r="50" spans="1:18" ht="15.75">
      <c r="A50" s="1"/>
      <c r="B50" s="55"/>
      <c r="C50" s="33"/>
      <c r="D50" s="57">
        <v>6.27</v>
      </c>
      <c r="E50" s="58"/>
      <c r="F50" s="58"/>
      <c r="G50" s="33" t="s">
        <v>525</v>
      </c>
      <c r="H50" s="1"/>
      <c r="M50" s="1"/>
      <c r="R50" s="3"/>
    </row>
    <row r="51" spans="1:18" ht="15.75">
      <c r="A51" s="1"/>
      <c r="B51" s="55"/>
      <c r="C51" s="33"/>
      <c r="D51" s="57">
        <f>79.42-D148</f>
        <v>72.63</v>
      </c>
      <c r="E51" s="58"/>
      <c r="F51" s="58"/>
      <c r="G51" s="33" t="s">
        <v>536</v>
      </c>
      <c r="H51" s="1"/>
      <c r="M51" s="1"/>
      <c r="R51" s="3"/>
    </row>
    <row r="52" spans="1:18" ht="15.75">
      <c r="A52" s="1"/>
      <c r="B52" s="55"/>
      <c r="C52" s="33"/>
      <c r="D52" s="57">
        <v>19</v>
      </c>
      <c r="E52" s="58"/>
      <c r="F52" s="58"/>
      <c r="G52" s="33" t="s">
        <v>538</v>
      </c>
      <c r="H52" s="1"/>
      <c r="M52" s="1"/>
      <c r="R52" s="3"/>
    </row>
    <row r="53" spans="1:18" ht="15.75">
      <c r="A53" s="1"/>
      <c r="B53" s="55"/>
      <c r="C53" s="33"/>
      <c r="D53" s="57">
        <f>49.03-D149</f>
        <v>4.0300000000000011</v>
      </c>
      <c r="E53" s="58"/>
      <c r="F53" s="58"/>
      <c r="G53" s="33" t="s">
        <v>543</v>
      </c>
      <c r="H53" s="1"/>
      <c r="M53" s="1"/>
      <c r="R53" s="3"/>
    </row>
    <row r="54" spans="1:18" ht="15.75">
      <c r="A54" s="1"/>
      <c r="B54" s="55"/>
      <c r="C54" s="33"/>
      <c r="D54" s="57">
        <v>8.59</v>
      </c>
      <c r="E54" s="58"/>
      <c r="F54" s="58"/>
      <c r="G54" s="33" t="s">
        <v>545</v>
      </c>
      <c r="H54" s="1"/>
      <c r="M54" s="1"/>
      <c r="R54" s="3"/>
    </row>
    <row r="55" spans="1:18" ht="15.75">
      <c r="A55" s="1"/>
      <c r="B55" s="55"/>
      <c r="C55" s="33"/>
      <c r="D55" s="57">
        <f>58.47</f>
        <v>58.47</v>
      </c>
      <c r="E55" s="58"/>
      <c r="F55" s="58"/>
      <c r="G55" s="33" t="s">
        <v>546</v>
      </c>
      <c r="H55" s="1"/>
      <c r="M55" s="1"/>
      <c r="R55" s="3"/>
    </row>
    <row r="56" spans="1:18" ht="15.75">
      <c r="A56" s="1"/>
      <c r="B56" s="55"/>
      <c r="C56" s="33"/>
      <c r="D56" s="57">
        <f>45.18</f>
        <v>45.18</v>
      </c>
      <c r="E56" s="58"/>
      <c r="F56" s="58"/>
      <c r="G56" s="33" t="s">
        <v>547</v>
      </c>
      <c r="H56" s="1"/>
      <c r="M56" s="1"/>
      <c r="R56" s="3"/>
    </row>
    <row r="57" spans="1:18" ht="15.75">
      <c r="A57" s="1"/>
      <c r="B57" s="55"/>
      <c r="C57" s="33"/>
      <c r="D57" s="57">
        <f>8.76+9.34</f>
        <v>18.100000000000001</v>
      </c>
      <c r="E57" s="58"/>
      <c r="F57" s="58"/>
      <c r="G57" s="33" t="s">
        <v>567</v>
      </c>
      <c r="H57" s="1"/>
      <c r="M57" s="1"/>
      <c r="R57" s="3"/>
    </row>
    <row r="58" spans="1:18" ht="15.75">
      <c r="A58" s="1"/>
      <c r="B58" s="55"/>
      <c r="C58" s="33"/>
      <c r="D58" s="57">
        <f>9.15+43.15-D167</f>
        <v>19.149999999999999</v>
      </c>
      <c r="E58" s="58"/>
      <c r="F58" s="58"/>
      <c r="G58" s="33" t="s">
        <v>566</v>
      </c>
      <c r="H58" s="1"/>
      <c r="M58" s="1"/>
      <c r="R58" s="3"/>
    </row>
    <row r="59" spans="1:18" ht="16.5" thickBot="1">
      <c r="A59" s="1"/>
      <c r="B59" s="56"/>
      <c r="C59" s="34"/>
      <c r="D59" s="56">
        <v>8.7799999999999994</v>
      </c>
      <c r="E59" s="59"/>
      <c r="F59" s="59"/>
      <c r="G59" s="34" t="s">
        <v>565</v>
      </c>
      <c r="H59" s="1"/>
      <c r="M59" s="1"/>
      <c r="R59" s="3"/>
    </row>
    <row r="60" spans="1:18" ht="16.5" thickBot="1">
      <c r="A60" s="1"/>
      <c r="B60" s="56">
        <f>SUM(B46:B59)</f>
        <v>500</v>
      </c>
      <c r="C60" s="34" t="s">
        <v>66</v>
      </c>
      <c r="D60" s="56">
        <f>SUM(D46:D59)</f>
        <v>415.88999999999993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v>4</v>
      </c>
      <c r="G66" s="36" t="s">
        <v>519</v>
      </c>
      <c r="H66" s="1"/>
      <c r="M66" s="1"/>
      <c r="R66" s="3"/>
    </row>
    <row r="67" spans="1:18" ht="15.75">
      <c r="A67" s="1"/>
      <c r="B67" s="55">
        <v>106.3</v>
      </c>
      <c r="C67" s="33" t="s">
        <v>487</v>
      </c>
      <c r="D67" s="57">
        <f>22.8</f>
        <v>22.8</v>
      </c>
      <c r="E67" s="58"/>
      <c r="F67" s="58">
        <v>3</v>
      </c>
      <c r="G67" s="70" t="s">
        <v>530</v>
      </c>
      <c r="H67" s="1"/>
      <c r="M67" s="1"/>
      <c r="R67" s="3"/>
    </row>
    <row r="68" spans="1:18" ht="15.75">
      <c r="A68" s="1"/>
      <c r="B68" s="55"/>
      <c r="C68" s="33"/>
      <c r="D68" s="57">
        <v>10.95</v>
      </c>
      <c r="E68" s="58"/>
      <c r="F68" s="58"/>
      <c r="G68" s="33" t="s">
        <v>529</v>
      </c>
      <c r="H68" s="1"/>
      <c r="M68" s="1"/>
      <c r="R68" s="3"/>
    </row>
    <row r="69" spans="1:18" ht="15.75">
      <c r="A69" s="1"/>
      <c r="B69" s="55"/>
      <c r="C69" s="33"/>
      <c r="D69" s="57">
        <v>15.95</v>
      </c>
      <c r="E69" s="58"/>
      <c r="F69" s="58"/>
      <c r="G69" s="33" t="s">
        <v>541</v>
      </c>
      <c r="H69" s="1"/>
      <c r="M69" s="1"/>
      <c r="R69" s="3"/>
    </row>
    <row r="70" spans="1:18" ht="15.75">
      <c r="A70" s="1"/>
      <c r="B70" s="55"/>
      <c r="C70" s="33"/>
      <c r="D70" s="57">
        <v>58.6</v>
      </c>
      <c r="E70" s="58"/>
      <c r="F70" s="58"/>
      <c r="G70" s="33" t="s">
        <v>553</v>
      </c>
      <c r="H70" s="1"/>
      <c r="M70" s="1"/>
      <c r="R70" s="3"/>
    </row>
    <row r="71" spans="1:18" ht="15.75">
      <c r="A71" s="1"/>
      <c r="B71" s="55"/>
      <c r="C71" s="33"/>
      <c r="D71" s="57">
        <f>35+85.7</f>
        <v>120.7</v>
      </c>
      <c r="E71" s="58"/>
      <c r="F71" s="58"/>
      <c r="G71" s="33" t="s">
        <v>548</v>
      </c>
      <c r="H71" s="1"/>
      <c r="M71" s="1"/>
      <c r="R71" s="3"/>
    </row>
    <row r="72" spans="1:18" ht="15.75">
      <c r="A72" s="1"/>
      <c r="B72" s="55"/>
      <c r="C72" s="33"/>
      <c r="D72" s="57">
        <v>22.8</v>
      </c>
      <c r="E72" s="58"/>
      <c r="F72" s="58"/>
      <c r="G72" s="33" t="s">
        <v>557</v>
      </c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256.3</v>
      </c>
      <c r="C80" s="34" t="s">
        <v>66</v>
      </c>
      <c r="D80" s="56">
        <f>SUM(D66:D79)</f>
        <v>251.8</v>
      </c>
      <c r="E80" s="56">
        <f>SUM(E66:E79)</f>
        <v>0</v>
      </c>
      <c r="F80" s="56">
        <f>SUM(F66:F79)</f>
        <v>7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v>52.69</v>
      </c>
      <c r="E86" s="58"/>
      <c r="F86" s="58"/>
      <c r="G86" s="33" t="s">
        <v>526</v>
      </c>
      <c r="H86" s="1"/>
      <c r="M86" s="1"/>
      <c r="R86" s="3"/>
    </row>
    <row r="87" spans="1:18" ht="15.75">
      <c r="A87" s="1"/>
      <c r="B87" s="55"/>
      <c r="C87" s="33"/>
      <c r="D87" s="57">
        <v>51.57</v>
      </c>
      <c r="E87" s="58"/>
      <c r="F87" s="58"/>
      <c r="G87" s="33" t="s">
        <v>550</v>
      </c>
      <c r="H87" s="1"/>
      <c r="M87" s="1"/>
      <c r="R87" s="3"/>
    </row>
    <row r="88" spans="1:18" ht="15.75">
      <c r="A88" s="1"/>
      <c r="B88" s="55"/>
      <c r="C88" s="33"/>
      <c r="D88" s="57">
        <v>4.8</v>
      </c>
      <c r="E88" s="58"/>
      <c r="F88" s="58"/>
      <c r="G88" s="33" t="s">
        <v>555</v>
      </c>
      <c r="H88" s="1"/>
      <c r="M88" s="1"/>
      <c r="R88" s="3"/>
    </row>
    <row r="89" spans="1:18" ht="15.75">
      <c r="A89" s="1"/>
      <c r="B89" s="55"/>
      <c r="C89" s="33"/>
      <c r="D89" s="57">
        <v>11.9</v>
      </c>
      <c r="E89" s="58"/>
      <c r="F89" s="58"/>
      <c r="G89" s="33" t="s">
        <v>556</v>
      </c>
      <c r="H89" s="1"/>
      <c r="M89" s="1"/>
      <c r="R89" s="3"/>
    </row>
    <row r="90" spans="1:18" ht="15.75">
      <c r="A90" s="1"/>
      <c r="B90" s="55"/>
      <c r="C90" s="33"/>
      <c r="D90" s="57">
        <v>43.96</v>
      </c>
      <c r="E90" s="58"/>
      <c r="F90" s="58"/>
      <c r="G90" s="33" t="s">
        <v>562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164.92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>
        <v>7.99</v>
      </c>
      <c r="E129" s="58"/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50.49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488</v>
      </c>
      <c r="D146" s="57">
        <v>31.56</v>
      </c>
      <c r="E146" s="58"/>
      <c r="F146" s="58"/>
      <c r="G146" s="33" t="s">
        <v>534</v>
      </c>
      <c r="H146" s="1"/>
      <c r="M146" s="1"/>
      <c r="R146" s="3"/>
    </row>
    <row r="147" spans="1:22" ht="15.75">
      <c r="A147" s="1"/>
      <c r="B147" s="55"/>
      <c r="C147" s="33"/>
      <c r="D147" s="57">
        <v>7.48</v>
      </c>
      <c r="E147" s="58"/>
      <c r="F147" s="58"/>
      <c r="G147" s="33" t="s">
        <v>535</v>
      </c>
      <c r="H147" s="1"/>
      <c r="M147" s="1"/>
      <c r="R147" s="3"/>
    </row>
    <row r="148" spans="1:22" ht="15.75">
      <c r="A148" s="1"/>
      <c r="B148" s="55"/>
      <c r="C148" s="33"/>
      <c r="D148" s="57">
        <v>6.79</v>
      </c>
      <c r="E148" s="58"/>
      <c r="F148" s="58"/>
      <c r="G148" s="33" t="s">
        <v>536</v>
      </c>
      <c r="H148" s="1"/>
      <c r="M148" s="1"/>
      <c r="R148" s="3"/>
    </row>
    <row r="149" spans="1:22" ht="15.75">
      <c r="A149" s="1"/>
      <c r="B149" s="55"/>
      <c r="C149" s="33"/>
      <c r="D149" s="57">
        <v>45</v>
      </c>
      <c r="E149" s="58"/>
      <c r="F149" s="58"/>
      <c r="G149" s="33" t="s">
        <v>543</v>
      </c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90.83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268.68</f>
        <v>268.68</v>
      </c>
      <c r="F166" s="58"/>
      <c r="G166" s="33" t="s">
        <v>544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v>33.15</v>
      </c>
      <c r="E167" s="58"/>
      <c r="F167" s="58"/>
      <c r="G167" s="33" t="s">
        <v>568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>
        <v>3.05</v>
      </c>
      <c r="E168" s="58"/>
      <c r="F168" s="58"/>
      <c r="G168" s="33" t="s">
        <v>569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36.199999999999996</v>
      </c>
      <c r="E180" s="56">
        <f>SUM(E166:E179)</f>
        <v>268.68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43</v>
      </c>
      <c r="D186" s="57">
        <v>6</v>
      </c>
      <c r="E186" s="58"/>
      <c r="F186" s="58"/>
      <c r="G186" s="33" t="s">
        <v>549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>
        <v>144.05000000000001</v>
      </c>
      <c r="C187" s="33" t="s">
        <v>514</v>
      </c>
      <c r="D187" s="57">
        <v>19</v>
      </c>
      <c r="E187" s="58"/>
      <c r="F187" s="58"/>
      <c r="G187" s="33" t="s">
        <v>552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214.05</v>
      </c>
      <c r="C200" s="34" t="s">
        <v>66</v>
      </c>
      <c r="D200" s="56">
        <f>SUM(D186:D199)</f>
        <v>25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v>20.63</v>
      </c>
      <c r="E206" s="58"/>
      <c r="F206" s="58"/>
      <c r="G206" s="33" t="s">
        <v>522</v>
      </c>
    </row>
    <row r="207" spans="2:7">
      <c r="B207" s="55"/>
      <c r="C207" s="33"/>
      <c r="D207" s="57">
        <v>40.15</v>
      </c>
      <c r="E207" s="58"/>
      <c r="F207" s="58"/>
      <c r="G207" s="33" t="s">
        <v>539</v>
      </c>
    </row>
    <row r="208" spans="2:7">
      <c r="B208" s="55"/>
      <c r="C208" s="33"/>
      <c r="D208" s="57">
        <v>16.600000000000001</v>
      </c>
      <c r="E208" s="58"/>
      <c r="F208" s="58"/>
      <c r="G208" s="33" t="s">
        <v>551</v>
      </c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77.38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/>
      <c r="E226" s="58"/>
      <c r="F226" s="58"/>
      <c r="G226" s="58" t="s">
        <v>50</v>
      </c>
    </row>
    <row r="227" spans="2:7">
      <c r="B227" s="55">
        <v>5</v>
      </c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25</v>
      </c>
      <c r="C240" s="34" t="s">
        <v>66</v>
      </c>
      <c r="D240" s="56">
        <f>SUM(D226:D239)</f>
        <v>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 t="s">
        <v>515</v>
      </c>
      <c r="D246" s="57">
        <v>12.46</v>
      </c>
      <c r="E246" s="58"/>
      <c r="F246" s="58"/>
      <c r="G246" s="33" t="s">
        <v>523</v>
      </c>
    </row>
    <row r="247" spans="2:7" ht="15" customHeight="1">
      <c r="B247" s="55">
        <v>566.59</v>
      </c>
      <c r="C247" s="33" t="s">
        <v>514</v>
      </c>
      <c r="D247" s="57">
        <f>34.65-D286-D147</f>
        <v>23.169999999999998</v>
      </c>
      <c r="E247" s="58"/>
      <c r="F247" s="58"/>
      <c r="G247" s="33" t="s">
        <v>535</v>
      </c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616.59</v>
      </c>
      <c r="C260" s="34" t="s">
        <v>66</v>
      </c>
      <c r="D260" s="56">
        <f>SUM(D246:D259)</f>
        <v>35.629999999999995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 t="s">
        <v>515</v>
      </c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7" ht="15" customHeight="1" thickBot="1">
      <c r="B283" s="293"/>
      <c r="C283" s="294"/>
      <c r="D283" s="294"/>
      <c r="E283" s="294"/>
      <c r="F283" s="294"/>
      <c r="G283" s="295"/>
    </row>
    <row r="284" spans="2:7">
      <c r="B284" s="301" t="s">
        <v>10</v>
      </c>
      <c r="C284" s="302"/>
      <c r="D284" s="303" t="s">
        <v>11</v>
      </c>
      <c r="E284" s="303"/>
      <c r="F284" s="303"/>
      <c r="G284" s="302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120</v>
      </c>
      <c r="C286" s="36" t="s">
        <v>36</v>
      </c>
      <c r="D286" s="57">
        <v>4</v>
      </c>
      <c r="E286" s="58"/>
      <c r="F286" s="58"/>
      <c r="G286" s="33" t="s">
        <v>537</v>
      </c>
    </row>
    <row r="287" spans="2:7">
      <c r="B287" s="55"/>
      <c r="C287" s="33"/>
      <c r="D287" s="57"/>
      <c r="E287" s="58"/>
      <c r="F287" s="58"/>
      <c r="G287" s="33"/>
    </row>
    <row r="288" spans="2:7">
      <c r="B288" s="55"/>
      <c r="C288" s="33"/>
      <c r="D288" s="57"/>
      <c r="E288" s="58"/>
      <c r="F288" s="58"/>
      <c r="G288" s="33"/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4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473</v>
      </c>
      <c r="D306" s="57">
        <v>125</v>
      </c>
      <c r="E306" s="58"/>
      <c r="F306" s="58"/>
      <c r="G306" s="33" t="s">
        <v>563</v>
      </c>
    </row>
    <row r="307" spans="2:7">
      <c r="B307" s="84"/>
      <c r="C307" s="66"/>
      <c r="D307" s="57"/>
      <c r="E307" s="58"/>
      <c r="F307" s="58"/>
      <c r="G307" s="33"/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125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 t="s">
        <v>515</v>
      </c>
      <c r="D326" s="57">
        <v>4.3499999999999996</v>
      </c>
      <c r="E326" s="58"/>
      <c r="F326" s="58"/>
      <c r="G326" s="33" t="s">
        <v>558</v>
      </c>
    </row>
    <row r="327" spans="2:7">
      <c r="B327" s="55">
        <v>0.02</v>
      </c>
      <c r="C327" s="33" t="s">
        <v>516</v>
      </c>
      <c r="D327" s="57"/>
      <c r="E327" s="58"/>
      <c r="F327" s="58"/>
      <c r="G327" s="33"/>
    </row>
    <row r="328" spans="2:7">
      <c r="B328" s="55">
        <v>241.71</v>
      </c>
      <c r="C328" s="33" t="s">
        <v>514</v>
      </c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331.73</v>
      </c>
      <c r="C340" s="34" t="s">
        <v>66</v>
      </c>
      <c r="D340" s="56">
        <f>SUM(D326:D339)</f>
        <v>4.3499999999999996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>
        <v>20</v>
      </c>
      <c r="C347" s="33" t="s">
        <v>475</v>
      </c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50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>
        <f>4+2.8+3.5+3.7+3.4+2.8+3.4+2.8+4.45+2.8+5</f>
        <v>38.65</v>
      </c>
      <c r="G366" s="70" t="s">
        <v>91</v>
      </c>
    </row>
    <row r="367" spans="2:7">
      <c r="B367" s="55">
        <v>26.77</v>
      </c>
      <c r="C367" s="33" t="s">
        <v>512</v>
      </c>
      <c r="D367" s="57">
        <v>40.49</v>
      </c>
      <c r="E367" s="58"/>
      <c r="F367" s="58"/>
      <c r="G367" s="70" t="s">
        <v>540</v>
      </c>
    </row>
    <row r="368" spans="2:7">
      <c r="B368" s="55"/>
      <c r="C368" s="33"/>
      <c r="D368" s="57"/>
      <c r="E368" s="58">
        <v>57.65</v>
      </c>
      <c r="F368" s="58"/>
      <c r="G368" s="33" t="s">
        <v>542</v>
      </c>
    </row>
    <row r="369" spans="2:7">
      <c r="B369" s="55"/>
      <c r="C369" s="33"/>
      <c r="D369" s="57"/>
      <c r="E369" s="58"/>
      <c r="F369" s="58">
        <v>2.85</v>
      </c>
      <c r="G369" s="33" t="s">
        <v>554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96.77</v>
      </c>
      <c r="C380" s="34" t="s">
        <v>66</v>
      </c>
      <c r="D380" s="56">
        <f>SUM(D366:D379)</f>
        <v>40.49</v>
      </c>
      <c r="E380" s="56">
        <f>SUM(E366:E379)</f>
        <v>57.65</v>
      </c>
      <c r="F380" s="56">
        <f>SUM(F366:F379)</f>
        <v>41.5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0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301" t="s">
        <v>10</v>
      </c>
      <c r="C424" s="302"/>
      <c r="D424" s="303" t="s">
        <v>11</v>
      </c>
      <c r="E424" s="303"/>
      <c r="F424" s="303"/>
      <c r="G424" s="302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'2018'!AE17-4975.44</f>
        <v>-1589.8899999999999</v>
      </c>
      <c r="C426" s="36" t="s">
        <v>528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-1589.8899999999999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5">
        <v>30</v>
      </c>
      <c r="C466" s="33" t="s">
        <v>485</v>
      </c>
      <c r="D466" s="57"/>
      <c r="E466" s="58"/>
      <c r="F466" s="58"/>
      <c r="G466" s="33"/>
    </row>
    <row r="467" spans="2:7">
      <c r="B467" s="55">
        <v>285</v>
      </c>
      <c r="C467" s="33" t="s">
        <v>468</v>
      </c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315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800-000000000000}"/>
    <hyperlink ref="I22" location="Trimestre!C39:F40" display="TELÉFONO" xr:uid="{00000000-0004-0000-0800-000001000000}"/>
    <hyperlink ref="I22:L23" location="'2018'!AE7:AH7" display="INGRESOS" xr:uid="{00000000-0004-0000-0800-000002000000}"/>
    <hyperlink ref="B2" location="Trimestre!C25:F26" display="HIPOTECA" xr:uid="{00000000-0004-0000-0800-000003000000}"/>
    <hyperlink ref="B2:G3" location="'2018'!AE20:AH20" display="'2018'!AE20:AH20" xr:uid="{00000000-0004-0000-0800-000004000000}"/>
    <hyperlink ref="B22" location="Trimestre!C25:F26" display="HIPOTECA" xr:uid="{00000000-0004-0000-0800-000005000000}"/>
    <hyperlink ref="B22:G23" location="'2018'!AE21:AH21" display="'2018'!AE21:AH21" xr:uid="{00000000-0004-0000-0800-000006000000}"/>
    <hyperlink ref="B42" location="Trimestre!C25:F26" display="HIPOTECA" xr:uid="{00000000-0004-0000-0800-000007000000}"/>
    <hyperlink ref="B42:G43" location="'2018'!AE22:AH22" display="'2018'!AE22:AH22" xr:uid="{00000000-0004-0000-0800-000008000000}"/>
    <hyperlink ref="B62" location="Trimestre!C25:F26" display="HIPOTECA" xr:uid="{00000000-0004-0000-0800-000009000000}"/>
    <hyperlink ref="B62:G63" location="'2018'!AE23:AH23" display="'2018'!AE23:AH23" xr:uid="{00000000-0004-0000-0800-00000A000000}"/>
    <hyperlink ref="B82" location="Trimestre!C25:F26" display="HIPOTECA" xr:uid="{00000000-0004-0000-0800-00000B000000}"/>
    <hyperlink ref="B82:G83" location="'2018'!AE24:AH24" display="'2018'!AE24:AH24" xr:uid="{00000000-0004-0000-0800-00000C000000}"/>
    <hyperlink ref="B102" location="Trimestre!C25:F26" display="HIPOTECA" xr:uid="{00000000-0004-0000-0800-00000D000000}"/>
    <hyperlink ref="B102:G103" location="'2018'!AE25:AH25" display="'2018'!AE25:AH25" xr:uid="{00000000-0004-0000-0800-00000E000000}"/>
    <hyperlink ref="B122" location="Trimestre!C25:F26" display="HIPOTECA" xr:uid="{00000000-0004-0000-0800-00000F000000}"/>
    <hyperlink ref="B122:G123" location="'2018'!AE26:AH26" display="'2018'!AE26:AH26" xr:uid="{00000000-0004-0000-0800-000010000000}"/>
    <hyperlink ref="B142" location="Trimestre!C25:F26" display="HIPOTECA" xr:uid="{00000000-0004-0000-0800-000011000000}"/>
    <hyperlink ref="B142:G143" location="'2018'!AE27:AH27" display="'2018'!AE27:AH27" xr:uid="{00000000-0004-0000-0800-000012000000}"/>
    <hyperlink ref="B162" location="Trimestre!C25:F26" display="HIPOTECA" xr:uid="{00000000-0004-0000-0800-000013000000}"/>
    <hyperlink ref="B162:G163" location="'2018'!AE28:AH28" display="'2018'!AE28:AH28" xr:uid="{00000000-0004-0000-0800-000014000000}"/>
    <hyperlink ref="B182" location="Trimestre!C25:F26" display="HIPOTECA" xr:uid="{00000000-0004-0000-0800-000015000000}"/>
    <hyperlink ref="B182:G183" location="'2018'!AE29:AH29" display="'2018'!AE29:AH29" xr:uid="{00000000-0004-0000-0800-000016000000}"/>
    <hyperlink ref="B202" location="Trimestre!C25:F26" display="HIPOTECA" xr:uid="{00000000-0004-0000-0800-000017000000}"/>
    <hyperlink ref="B202:G203" location="'2018'!AE30:AH30" display="'2018'!AE30:AH30" xr:uid="{00000000-0004-0000-0800-000018000000}"/>
    <hyperlink ref="B222" location="Trimestre!C25:F26" display="HIPOTECA" xr:uid="{00000000-0004-0000-0800-000019000000}"/>
    <hyperlink ref="B222:G223" location="'2018'!AE31:AH31" display="'2018'!AE31:AH31" xr:uid="{00000000-0004-0000-0800-00001A000000}"/>
    <hyperlink ref="B242" location="Trimestre!C25:F26" display="HIPOTECA" xr:uid="{00000000-0004-0000-0800-00001B000000}"/>
    <hyperlink ref="B242:G243" location="'2018'!AE32:AH32" display="'2018'!AE32:AH32" xr:uid="{00000000-0004-0000-0800-00001C000000}"/>
    <hyperlink ref="B262" location="Trimestre!C25:F26" display="HIPOTECA" xr:uid="{00000000-0004-0000-0800-00001D000000}"/>
    <hyperlink ref="B262:G263" location="'2018'!AE33:AH33" display="'2018'!AE33:AH33" xr:uid="{00000000-0004-0000-0800-00001E000000}"/>
    <hyperlink ref="B282" location="Trimestre!C25:F26" display="HIPOTECA" xr:uid="{00000000-0004-0000-0800-00001F000000}"/>
    <hyperlink ref="B282:G283" location="'2018'!AE34:AH34" display="'2018'!AE34:AH34" xr:uid="{00000000-0004-0000-0800-000020000000}"/>
    <hyperlink ref="B302" location="Trimestre!C25:F26" display="HIPOTECA" xr:uid="{00000000-0004-0000-0800-000021000000}"/>
    <hyperlink ref="B302:G303" location="'2018'!AE35:AH35" display="'2018'!AE35:AH35" xr:uid="{00000000-0004-0000-0800-000022000000}"/>
    <hyperlink ref="B322" location="Trimestre!C25:F26" display="HIPOTECA" xr:uid="{00000000-0004-0000-0800-000023000000}"/>
    <hyperlink ref="B322:G323" location="'2018'!AE36:AH36" display="'2018'!AE36:AH36" xr:uid="{00000000-0004-0000-0800-000024000000}"/>
    <hyperlink ref="B342" location="Trimestre!C25:F26" display="HIPOTECA" xr:uid="{00000000-0004-0000-0800-000025000000}"/>
    <hyperlink ref="B342:G343" location="'2018'!AE37:AH37" display="'2018'!AE37:AH37" xr:uid="{00000000-0004-0000-0800-000026000000}"/>
    <hyperlink ref="B362" location="Trimestre!C25:F26" display="HIPOTECA" xr:uid="{00000000-0004-0000-0800-000027000000}"/>
    <hyperlink ref="B362:G363" location="'2018'!AE38:AH38" display="'2018'!AE38:AH38" xr:uid="{00000000-0004-0000-0800-000028000000}"/>
    <hyperlink ref="B382" location="Trimestre!C25:F26" display="HIPOTECA" xr:uid="{00000000-0004-0000-0800-000029000000}"/>
    <hyperlink ref="B382:G383" location="'2018'!AE39:AH39" display="'2018'!AE39:AH39" xr:uid="{00000000-0004-0000-0800-00002A000000}"/>
    <hyperlink ref="B402" location="Trimestre!C25:F26" display="HIPOTECA" xr:uid="{00000000-0004-0000-0800-00002B000000}"/>
    <hyperlink ref="B402:G403" location="'2018'!AE40:AH40" display="'2018'!AE40:AH40" xr:uid="{00000000-0004-0000-0800-00002C000000}"/>
    <hyperlink ref="B422" location="Trimestre!C25:F26" display="HIPOTECA" xr:uid="{00000000-0004-0000-0800-00002D000000}"/>
    <hyperlink ref="B422:G423" location="'2018'!AE41:AH41" display="'2018'!AE41:AH41" xr:uid="{00000000-0004-0000-0800-00002E000000}"/>
    <hyperlink ref="B442" location="Trimestre!C25:F26" display="HIPOTECA" xr:uid="{00000000-0004-0000-0800-00002F000000}"/>
    <hyperlink ref="B442:G443" location="'2018'!AE42:AH42" display="'2018'!AE42:AH42" xr:uid="{00000000-0004-0000-0800-000030000000}"/>
    <hyperlink ref="B462" location="Trimestre!C25:F26" display="HIPOTECA" xr:uid="{00000000-0004-0000-0800-000031000000}"/>
    <hyperlink ref="B462:G463" location="'2018'!AE43:AH43" display="'2018'!AE43:AH43" xr:uid="{00000000-0004-0000-0800-000032000000}"/>
    <hyperlink ref="B482" location="Trimestre!C25:F26" display="HIPOTECA" xr:uid="{00000000-0004-0000-0800-000033000000}"/>
    <hyperlink ref="B482:G483" location="'2018'!AE44:AH44" display="'2018'!AE44:AH44" xr:uid="{00000000-0004-0000-0800-000034000000}"/>
    <hyperlink ref="B502" location="Trimestre!C25:F26" display="HIPOTECA" xr:uid="{00000000-0004-0000-0800-000035000000}"/>
    <hyperlink ref="B502:G503" location="'2018'!AE45:AH45" display="'2018'!AE45:AH45" xr:uid="{00000000-0004-0000-0800-000036000000}"/>
    <hyperlink ref="I2:L3" location="'2018'!AE4:AH4" display="SALDO REAL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2018-11-12T15:09:55Z</dcterms:modified>
</cp:coreProperties>
</file>