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CE0258B9-098F-472F-BD19-98E881BDF24D}" xr6:coauthVersionLast="41" xr6:coauthVersionMax="41" xr10:uidLastSave="{00000000-0000-0000-0000-000000000000}"/>
  <bookViews>
    <workbookView xWindow="-108" yWindow="12852" windowWidth="22320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9" i="3" l="1"/>
  <c r="A286" i="3"/>
  <c r="I257" i="3"/>
  <c r="A257" i="3"/>
  <c r="A256" i="3"/>
  <c r="A246" i="3"/>
  <c r="B257" i="3"/>
  <c r="B256" i="3"/>
  <c r="B307" i="2"/>
  <c r="A431" i="2"/>
  <c r="B308" i="2"/>
  <c r="A430" i="2"/>
  <c r="L56" i="2"/>
  <c r="A300" i="3" l="1"/>
  <c r="A260" i="3"/>
  <c r="D309" i="2"/>
  <c r="A140" i="2"/>
  <c r="A140" i="3"/>
  <c r="A130" i="3"/>
  <c r="A129" i="3"/>
  <c r="A127" i="3"/>
  <c r="A126" i="3"/>
  <c r="F140" i="3"/>
  <c r="E140" i="3"/>
  <c r="D140" i="3"/>
  <c r="B14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N45" i="2"/>
  <c r="K74" i="2" l="1"/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<sst xmlns="http://schemas.openxmlformats.org/spreadsheetml/2006/main" count="5781" uniqueCount="882">
  <si>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</si>
  <si>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</si>
  <si>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</si>
  <si>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</si>
  <si>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</si>
  <si>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</si>
  <si>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</si>
  <si>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</si>
  <si>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</si>
  <si>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</si>
  <si>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</si>
  <si>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</si>
  <si>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</si>
  <si>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</si>
  <si>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</si>
  <si>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</si>
  <si>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</si>
  <si>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</si>
  <si>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</si>
  <si>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</si>
  <si>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</si>
  <si>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</si>
  <si>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</si>
  <si>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</si>
  <si>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</si>
  <si>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</si>
  <si>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</si>
  <si>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</si>
  <si>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</si>
  <si>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</si>
  <si>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</si>
  <si>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</si>
  <si>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</si>
  <si>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</si>
  <si>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</si>
  <si>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</si>
  <si>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</si>
  <si>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</si>
  <si>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</si>
  <si>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</si>
  <si>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</si>
  <si>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</si>
  <si>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</si>
  <si>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</si>
  <si>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</si>
  <si>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</si>
  <si>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</si>
  <si>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</si>
  <si>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</si>
  <si>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</si>
  <si>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</si>
  <si>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</si>
  <si>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</si>
  <si>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</si>
  <si>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</si>
  <si>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</si>
  <si>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</si>
  <si>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</si>
  <si>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</si>
  <si>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</si>
  <si>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</si>
  <si>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</si>
  <si>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</si>
  <si>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</si>
  <si>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</si>
  <si>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</si>
  <si>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</si>
  <si>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</si>
  <si>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</si>
  <si>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</si>
  <si>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</si>
  <si>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</si>
  <si>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</si>
  <si>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</si>
  <si>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</si>
  <si>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</si>
  <si>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</si>
  <si>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</si>
  <si>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</si>
  <si>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</si>
  <si>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</si>
  <si>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</si>
  <si>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</si>
  <si>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</si>
  <si>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</si>
  <si>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</si>
  <si>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</si>
  <si>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</si>
  <si>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</si>
  <si>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</si>
  <si>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</si>
  <si>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</si>
  <si>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</si>
  <si>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</si>
  <si>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</si>
  <si>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</si>
  <si>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</si>
  <si>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</si>
  <si>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</si>
  <si>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</si>
  <si>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</si>
  <si>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</si>
  <si>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</si>
  <si>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</si>
  <si>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</si>
  <si>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</si>
  <si>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</si>
  <si>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</si>
  <si>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</si>
  <si>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</si>
  <si>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</si>
  <si>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</si>
  <si>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</si>
  <si>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</si>
  <si>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</si>
  <si>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</si>
  <si>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</si>
  <si>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</si>
  <si>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</si>
  <si>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</si>
  <si>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</si>
  <si>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</si>
  <si>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</si>
  <si>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</si>
  <si>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</si>
  <si>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</si>
  <si>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</si>
  <si>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</si>
  <si>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</si>
  <si>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</si>
  <si>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</si>
  <si>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</si>
  <si>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</si>
  <si>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</si>
  <si>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</si>
  <si>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</si>
  <si>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</si>
  <si>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</si>
  <si>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</si>
  <si>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</si>
  <si>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</si>
  <si>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</si>
  <si>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</si>
  <si>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</si>
  <si>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</si>
  <si>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</si>
  <si>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</si>
  <si>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</si>
  <si>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</si>
  <si>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</si>
  <si>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</si>
  <si>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</si>
  <si>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</si>
  <si>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</si>
  <si>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</si>
  <si>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</si>
  <si>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</si>
  <si>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</si>
  <si>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</si>
  <si>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</si>
  <si>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</si>
  <si>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</si>
  <si>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</si>
  <si>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</si>
  <si>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</si>
  <si>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</si>
  <si>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</si>
  <si>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</si>
  <si>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</si>
  <si>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</si>
  <si>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</si>
  <si>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</si>
  <si>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</si>
  <si>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</si>
  <si>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</si>
  <si>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</si>
  <si>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</si>
  <si>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</si>
  <si>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</si>
  <si>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</si>
  <si>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</si>
  <si>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</si>
  <si>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</si>
  <si>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</si>
  <si>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</si>
  <si>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</si>
  <si>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</si>
  <si>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</si>
  <si>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</si>
  <si>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</si>
  <si>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</si>
  <si>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</si>
  <si>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</si>
  <si>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</si>
  <si>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</si>
  <si>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</si>
  <si>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</si>
  <si>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</si>
  <si>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</si>
  <si>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</si>
  <si>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</si>
  <si>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</si>
  <si>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</si>
  <si>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</si>
  <si>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</si>
  <si>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</si>
  <si>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</si>
  <si>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</si>
  <si>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</si>
  <si>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</si>
  <si>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</si>
  <si>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</si>
  <si>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</si>
  <si>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</si>
  <si>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</si>
  <si>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</si>
  <si>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</si>
  <si>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</si>
  <si>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</si>
  <si>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</si>
  <si>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</si>
  <si>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</si>
  <si>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</si>
  <si>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</si>
  <si>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</si>
  <si>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</si>
  <si>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</si>
  <si>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</si>
  <si>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</si>
  <si>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</si>
  <si>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</si>
  <si>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</si>
  <si>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</si>
  <si>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</si>
  <si>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</si>
  <si>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</si>
  <si>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</si>
  <si>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</si>
  <si>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</si>
  <si>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</si>
  <si>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</si>
  <si>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</si>
  <si>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</si>
  <si>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</si>
  <si>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</si>
  <si>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</si>
  <si>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</si>
  <si>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</si>
  <si>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</si>
  <si>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</si>
  <si>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</si>
  <si>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</si>
  <si>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</si>
  <si>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</si>
  <si>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</si>
  <si>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</si>
  <si>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</si>
  <si>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</si>
  <si>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</si>
  <si>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</si>
  <si>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</si>
  <si>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</si>
  <si>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</si>
  <si>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</si>
  <si>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</si>
  <si>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</si>
  <si>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</si>
  <si>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</si>
  <si>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</si>
  <si>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</si>
  <si>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</si>
  <si>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</si>
  <si>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</si>
  <si>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</si>
  <si>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</si>
  <si>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</si>
  <si>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</si>
  <si>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</si>
  <si>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</si>
  <si>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</si>
  <si>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</si>
  <si>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</si>
  <si>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</si>
  <si>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</si>
  <si>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</si>
  <si>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</si>
  <si>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</si>
  <si>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</si>
  <si>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</si>
  <si>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</si>
  <si>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</si>
  <si>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</si>
  <si>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</si>
  <si>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</si>
  <si>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</si>
  <si>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</si>
  <si>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</si>
  <si>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</si>
  <si>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</si>
  <si>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</si>
  <si>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</si>
  <si>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</si>
  <si>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</si>
  <si>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</si>
  <si>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</si>
  <si>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</si>
  <si>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</si>
  <si>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</si>
  <si>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</si>
  <si>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</si>
  <si>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</si>
  <si>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</si>
  <si>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</si>
  <si>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</si>
  <si>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</si>
  <si>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</si>
  <si>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</si>
  <si>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</si>
  <si>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</si>
  <si>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</si>
  <si>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</si>
  <si>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</si>
  <si>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</si>
  <si>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</si>
  <si>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</si>
  <si>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</si>
  <si>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</si>
  <si>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</si>
  <si>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</si>
  <si>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</si>
  <si>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</si>
  <si>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</si>
  <si>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</si>
  <si>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</si>
  <si>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</si>
  <si>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</si>
  <si>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</si>
  <si>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</si>
  <si>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</si>
  <si>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</si>
  <si>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</si>
  <si>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</si>
  <si>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</si>
  <si>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</si>
  <si>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</si>
  <si>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</si>
  <si>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</si>
  <si>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</si>
  <si>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</si>
  <si>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</si>
  <si>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</si>
  <si>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</si>
  <si>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</si>
  <si>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</si>
  <si>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</si>
  <si>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</si>
  <si>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</si>
  <si>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</si>
  <si>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</si>
  <si>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</si>
  <si>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</si>
  <si>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</si>
  <si>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</si>
  <si>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</si>
  <si>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</si>
  <si>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</si>
  <si>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</si>
  <si>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</si>
  <si>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</si>
  <si>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</si>
  <si>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</si>
  <si>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</si>
  <si>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</si>
  <si>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</si>
  <si>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</si>
  <si>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</si>
  <si>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</si>
  <si>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</si>
  <si>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</si>
  <si>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</si>
  <si>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</si>
  <si>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</si>
  <si>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</si>
  <si>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</si>
  <si>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</si>
  <si>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</si>
  <si>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</si>
  <si>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</si>
  <si>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</si>
  <si>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</si>
  <si>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</si>
  <si>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</si>
  <si>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</si>
  <si>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</si>
  <si>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</si>
  <si>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</si>
  <si>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</si>
  <si>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</si>
  <si>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</si>
  <si>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</si>
  <si>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</si>
  <si>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</si>
  <si>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</si>
  <si>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</si>
  <si>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</si>
  <si>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</si>
  <si>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</si>
  <si>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</si>
  <si>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</si>
  <si>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</si>
  <si>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</si>
  <si>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</si>
  <si>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</si>
  <si>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</si>
  <si>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</si>
  <si>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</si>
  <si>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</si>
  <si>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</si>
  <si>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</si>
  <si>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</si>
  <si>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</si>
  <si>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</si>
  <si>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</si>
  <si>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</si>
  <si>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</si>
  <si>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</si>
  <si>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</si>
  <si>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</si>
  <si>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</si>
  <si>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</si>
  <si>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</si>
  <si>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</si>
  <si>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</si>
  <si>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</si>
  <si>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</si>
  <si>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</si>
  <si>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</si>
  <si>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</si>
  <si>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</si>
  <si>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</si>
  <si>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</si>
  <si>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</si>
  <si>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</si>
  <si>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</si>
  <si>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</si>
  <si>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</si>
  <si>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</si>
  <si>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</si>
  <si>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</si>
  <si>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</si>
  <si>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</si>
  <si>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</si>
  <si>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</si>
  <si>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</si>
  <si>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</si>
  <si>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</si>
  <si>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</si>
  <si>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</si>
  <si>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</si>
  <si>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</si>
  <si>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</si>
  <si>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</si>
  <si>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</si>
  <si>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</si>
  <si>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</si>
  <si>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</si>
  <si>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</si>
  <si>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</si>
  <si>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</si>
  <si>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</si>
  <si>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</si>
  <si>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</si>
  <si>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</si>
  <si>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</si>
  <si>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</si>
  <si>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</si>
  <si>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</si>
  <si>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</si>
  <si>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</si>
  <si>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</si>
  <si>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</si>
  <si>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</si>
  <si>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</si>
  <si>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</si>
  <si>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</si>
  <si>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</si>
  <si>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</si>
  <si>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</si>
  <si>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</si>
  <si>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</si>
  <si>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</si>
  <si>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</si>
  <si>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</si>
  <si>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</si>
  <si>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</si>
  <si>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</si>
  <si>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</si>
  <si>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</si>
  <si>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</si>
  <si>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</si>
  <si>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</si>
  <si>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</si>
  <si>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</si>
  <si>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</si>
  <si>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</si>
  <si>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</si>
  <si>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</si>
  <si>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</si>
  <si>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</si>
  <si>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</si>
  <si>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</si>
  <si>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</si>
  <si>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</si>
  <si>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</si>
  <si>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</si>
  <si>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</si>
  <si>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</si>
  <si>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</si>
  <si>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</si>
  <si>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</si>
  <si>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</si>
  <si>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</si>
  <si>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</si>
  <si>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</si>
  <si>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</si>
  <si>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</si>
  <si>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</si>
  <si>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</si>
  <si>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</si>
  <si>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</si>
  <si>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</si>
  <si>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</si>
  <si>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</si>
  <si>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</si>
  <si>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</si>
  <si>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</si>
  <si>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</si>
  <si>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</si>
  <si>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</si>
  <si>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</si>
  <si>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</si>
  <si>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</si>
  <si>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</si>
  <si>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</si>
  <si>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</si>
  <si>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</si>
  <si>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</si>
  <si>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</si>
  <si>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</si>
  <si>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</si>
  <si>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</si>
  <si>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</si>
  <si>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</si>
  <si>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</si>
  <si>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</si>
  <si>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</si>
  <si>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</si>
  <si>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</si>
  <si>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</si>
  <si>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</si>
  <si>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</si>
  <si>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</si>
  <si>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</si>
  <si>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</si>
  <si>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</si>
  <si>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</si>
  <si>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</si>
  <si>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</si>
  <si>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</si>
  <si>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</si>
  <si>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</si>
  <si>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</si>
  <si>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</si>
  <si>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</si>
  <si>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</si>
  <si>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</si>
  <si>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</si>
  <si>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</si>
  <si>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</si>
  <si>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</si>
  <si>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</si>
  <si>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</si>
  <si>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</si>
  <si>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</si>
  <si>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</si>
  <si>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</si>
  <si>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</si>
  <si>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</si>
  <si>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</si>
  <si>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</si>
  <si>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</si>
  <si>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</si>
  <si>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</si>
  <si>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</si>
  <si>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</si>
  <si>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</si>
  <si>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</si>
  <si>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</si>
  <si>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</si>
  <si>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</si>
  <si>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</si>
  <si>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</si>
  <si>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</si>
  <si>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</si>
  <si>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</si>
  <si>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</si>
  <si>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</si>
  <si>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</si>
  <si>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</si>
  <si>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</si>
  <si>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</si>
  <si>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</si>
  <si>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</si>
  <si>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</si>
  <si>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</si>
  <si>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</si>
  <si>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</si>
  <si>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</si>
  <si>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</si>
  <si>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</si>
  <si>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</si>
  <si>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</si>
  <si>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</si>
  <si>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</si>
  <si>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</si>
  <si>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</si>
  <si>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</si>
  <si>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</si>
  <si>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</si>
  <si>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</si>
  <si>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</si>
  <si>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</si>
  <si>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</si>
  <si>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</si>
  <si>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</si>
  <si>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</si>
  <si>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</si>
  <si>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</si>
  <si>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</si>
  <si>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</si>
  <si>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</si>
  <si>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</si>
  <si>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</si>
  <si>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</si>
  <si>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</si>
  <si>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</si>
  <si>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</si>
  <si>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</si>
  <si>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</si>
  <si>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</si>
  <si>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</si>
  <si>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</si>
  <si>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</si>
  <si>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</si>
  <si>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</si>
  <si>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</si>
  <si>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</si>
  <si>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</si>
  <si>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</si>
  <si>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</si>
  <si>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</si>
  <si>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</si>
  <si>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</si>
  <si>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</si>
  <si>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</si>
  <si>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</si>
  <si>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</si>
  <si>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</si>
  <si>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</si>
  <si>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</si>
  <si>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</si>
  <si>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</si>
  <si>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</si>
  <si>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</si>
  <si>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</si>
  <si>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</si>
  <si>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</si>
  <si>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</si>
  <si>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</si>
  <si>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</si>
  <si>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</si>
  <si>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</si>
  <si>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</si>
  <si>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</si>
  <si>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</si>
  <si>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</si>
  <si>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</si>
  <si>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</si>
  <si>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</si>
  <si>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</si>
  <si>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</si>
  <si>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</si>
  <si>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</si>
  <si>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</si>
  <si>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</si>
  <si>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</si>
  <si>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</si>
  <si>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</si>
  <si>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</si>
  <si>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</si>
  <si>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</si>
  <si>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</si>
  <si>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</si>
  <si>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</si>
  <si>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</si>
  <si>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</si>
  <si>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</si>
  <si>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</si>
  <si>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</si>
  <si>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</si>
  <si>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</si>
  <si>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</si>
  <si>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</si>
  <si>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</si>
  <si>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</si>
  <si>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</si>
  <si>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</si>
  <si>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</si>
  <si>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</si>
  <si>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</si>
  <si>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</si>
  <si>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</si>
  <si>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</si>
  <si>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</si>
  <si>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</si>
  <si>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</si>
  <si>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</si>
  <si>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</si>
  <si>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</si>
  <si>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</si>
  <si>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</si>
  <si>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</si>
  <si>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</si>
  <si>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</si>
  <si>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</si>
  <si>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</si>
  <si>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</si>
  <si>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</si>
  <si>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</si>
  <si>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</si>
  <si>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</si>
  <si>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</si>
  <si>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</si>
  <si>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</si>
  <si>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</si>
  <si>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</si>
  <si>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</si>
  <si>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</si>
  <si>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</si>
  <si>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</si>
  <si>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</si>
  <si>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</si>
  <si>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</si>
  <si>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</si>
  <si>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</si>
  <si>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</si>
  <si>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</si>
  <si>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</si>
  <si>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</si>
  <si>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</si>
  <si>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</si>
  <si>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</si>
  <si>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</si>
  <si>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</si>
  <si>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</si>
  <si>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</si>
  <si>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</si>
  <si>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</si>
  <si>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</si>
  <si>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</si>
  <si>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</si>
  <si>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</si>
  <si>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</si>
  <si>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</si>
  <si>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</si>
  <si>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</si>
  <si>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</si>
  <si>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</si>
  <si>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</si>
  <si>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</si>
  <si>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</si>
  <si>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</si>
  <si>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</si>
  <si>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</si>
  <si>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</si>
  <si>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</si>
  <si>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</si>
  <si>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</si>
  <si>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</si>
  <si>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</si>
  <si>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</si>
  <si>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</si>
  <si>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</si>
  <si>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</si>
  <si>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</si>
  <si>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</si>
  <si>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</si>
  <si>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</si>
  <si>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</si>
  <si>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</si>
  <si>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</si>
  <si>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</si>
  <si>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</si>
  <si>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</si>
  <si>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</si>
  <si>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</si>
  <si>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</si>
  <si>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</si>
  <si>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</si>
  <si>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</si>
  <si>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</si>
  <si>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</si>
  <si>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</si>
  <si>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</si>
  <si>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</si>
  <si>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</si>
  <si>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</si>
  <si>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</si>
  <si>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</si>
  <si>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</si>
  <si>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</si>
  <si>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</si>
  <si>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</si>
  <si>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</si>
  <si>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</si>
  <si>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</si>
  <si>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</si>
  <si>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</si>
  <si>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</si>
  <si>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</si>
  <si>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</si>
  <si>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</si>
  <si>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</si>
  <si>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</si>
  <si>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</si>
  <si>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</si>
  <si>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</si>
  <si>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</si>
  <si>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</si>
  <si>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</si>
  <si>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</si>
  <si>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</si>
  <si>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</si>
  <si>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</si>
  <si>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</si>
  <si>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</si>
  <si>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</si>
  <si>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</si>
  <si>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</si>
  <si>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</si>
  <si>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</si>
  <si>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</si>
  <si>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</si>
  <si>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</si>
  <si>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</si>
  <si>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</si>
  <si>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</si>
  <si>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</si>
  <si>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</si>
  <si>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</si>
  <si>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</si>
  <si>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</si>
  <si>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</si>
  <si>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</si>
  <si>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</si>
  <si>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</si>
  <si>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</si>
  <si>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</si>
  <si>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</si>
  <si>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</si>
  <si>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</si>
  <si>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</si>
  <si>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</si>
  <si>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</si>
  <si>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</si>
  <si>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</si>
  <si>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</si>
  <si>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</si>
  <si>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deltoya*29</t>
  </si>
  <si>
    <t>14/01 PayPal</t>
  </si>
  <si>
    <t>15/01 PayPal</t>
  </si>
  <si>
    <t>15/01 Ryanair para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</si>
</sst>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B1" activePane="topRight" state="frozen"/>
      <selection pane="topRight" activeCell="C28" sqref="C2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2">
        <f>'01'!K19</f>
        <v>33579</v>
      </c>
      <c r="D5" s="390"/>
      <c r="E5" s="390"/>
      <c r="F5" s="391"/>
      <c r="G5" s="392">
        <f>'02'!K19</f>
        <v>34721.86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6" t="s">
        <v>218</v>
      </c>
      <c r="D7" s="387"/>
      <c r="E7" s="387"/>
      <c r="F7" s="388"/>
      <c r="G7" s="386" t="s">
        <v>218</v>
      </c>
      <c r="H7" s="387"/>
      <c r="I7" s="387"/>
      <c r="J7" s="388"/>
      <c r="K7" s="386" t="s">
        <v>218</v>
      </c>
      <c r="L7" s="387"/>
      <c r="M7" s="387"/>
      <c r="N7" s="388"/>
      <c r="O7" s="386" t="s">
        <v>218</v>
      </c>
      <c r="P7" s="387"/>
      <c r="Q7" s="387"/>
      <c r="R7" s="388"/>
      <c r="S7" s="386" t="s">
        <v>218</v>
      </c>
      <c r="T7" s="387"/>
      <c r="U7" s="387"/>
      <c r="V7" s="388"/>
      <c r="W7" s="386" t="s">
        <v>218</v>
      </c>
      <c r="X7" s="387"/>
      <c r="Y7" s="387"/>
      <c r="Z7" s="388"/>
      <c r="AA7" s="386" t="s">
        <v>218</v>
      </c>
      <c r="AB7" s="387"/>
      <c r="AC7" s="387"/>
      <c r="AD7" s="388"/>
      <c r="AE7" s="386" t="s">
        <v>218</v>
      </c>
      <c r="AF7" s="387"/>
      <c r="AG7" s="387"/>
      <c r="AH7" s="388"/>
      <c r="AI7" s="386" t="s">
        <v>218</v>
      </c>
      <c r="AJ7" s="387"/>
      <c r="AK7" s="387"/>
      <c r="AL7" s="388"/>
      <c r="AM7" s="386" t="s">
        <v>218</v>
      </c>
      <c r="AN7" s="387"/>
      <c r="AO7" s="387"/>
      <c r="AP7" s="388"/>
      <c r="AQ7" s="386" t="s">
        <v>218</v>
      </c>
      <c r="AR7" s="387"/>
      <c r="AS7" s="387"/>
      <c r="AT7" s="388"/>
      <c r="AU7" s="386" t="s">
        <v>218</v>
      </c>
      <c r="AV7" s="387"/>
      <c r="AW7" s="387"/>
      <c r="AX7" s="388"/>
      <c r="AZ7" s="9" t="s">
        <v>220</v>
      </c>
      <c r="BA7" s="13" t="s">
        <v>183</v>
      </c>
      <c r="BB7" s="1"/>
      <c r="BC7" s="1"/>
    </row>
    <row r="8" spans="1:55" ht="15.75">
      <c r="A8" s="206" t="s">
        <v>201</v>
      </c>
      <c r="B8" s="192">
        <v>35000.47</v>
      </c>
      <c r="C8" s="393">
        <f>SUM('01'!L25:'01'!L29)</f>
        <v>0</v>
      </c>
      <c r="D8" s="394"/>
      <c r="E8" s="394"/>
      <c r="F8" s="395"/>
      <c r="G8" s="393">
        <f>SUM('02'!L25:'02'!L29)</f>
        <v>0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2568.54</v>
      </c>
      <c r="AB8" s="394"/>
      <c r="AC8" s="394"/>
      <c r="AD8" s="395"/>
      <c r="AE8" s="393">
        <f>SUM('08'!L25:'08'!L29)</f>
        <v>2571.5500000000002</v>
      </c>
      <c r="AF8" s="394"/>
      <c r="AG8" s="394"/>
      <c r="AH8" s="395"/>
      <c r="AI8" s="393">
        <f>SUM('09'!L25:'09'!L29)</f>
        <v>2573.7399999999998</v>
      </c>
      <c r="AJ8" s="394"/>
      <c r="AK8" s="394"/>
      <c r="AL8" s="395"/>
      <c r="AM8" s="393">
        <f>SUM('10'!L25:'10'!L29)</f>
        <v>2617.69</v>
      </c>
      <c r="AN8" s="394"/>
      <c r="AO8" s="394"/>
      <c r="AP8" s="395"/>
      <c r="AQ8" s="393">
        <f>SUM('11'!L25:'11'!L29)</f>
        <v>2588.0700000000002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75">
      <c r="A9" s="189" t="s">
        <v>202</v>
      </c>
      <c r="B9" s="193">
        <v>6335.2300000000014</v>
      </c>
      <c r="C9" s="380">
        <f>SUM('01'!L30:'01'!L34)</f>
        <v>70.400000000000006</v>
      </c>
      <c r="D9" s="381"/>
      <c r="E9" s="381"/>
      <c r="F9" s="382"/>
      <c r="G9" s="380">
        <f>SUM('02'!L30:'02'!L34)</f>
        <v>0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1147.52</v>
      </c>
      <c r="AB9" s="381"/>
      <c r="AC9" s="381"/>
      <c r="AD9" s="382"/>
      <c r="AE9" s="380">
        <f>SUM('08'!L30:'08'!L34)</f>
        <v>291.60000000000002</v>
      </c>
      <c r="AF9" s="381"/>
      <c r="AG9" s="381"/>
      <c r="AH9" s="382"/>
      <c r="AI9" s="380">
        <f>SUM('09'!L30:'09'!L34)</f>
        <v>291.60000000000002</v>
      </c>
      <c r="AJ9" s="381"/>
      <c r="AK9" s="381"/>
      <c r="AL9" s="382"/>
      <c r="AM9" s="380">
        <f>SUM('10'!L30:'10'!L34)</f>
        <v>599.04999999999995</v>
      </c>
      <c r="AN9" s="381"/>
      <c r="AO9" s="381"/>
      <c r="AP9" s="382"/>
      <c r="AQ9" s="380">
        <f>SUM('11'!L30:'11'!L34)</f>
        <v>302.78999999999996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207</v>
      </c>
      <c r="B10" s="194">
        <v>1156.51</v>
      </c>
      <c r="C10" s="380">
        <f>SUM('01'!L35:'01'!L39)</f>
        <v>0</v>
      </c>
      <c r="D10" s="381"/>
      <c r="E10" s="381"/>
      <c r="F10" s="382"/>
      <c r="G10" s="380">
        <f>SUM('02'!L35:'02'!L39)</f>
        <v>0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124.52</v>
      </c>
      <c r="AB10" s="397"/>
      <c r="AC10" s="397"/>
      <c r="AD10" s="398"/>
      <c r="AE10" s="396">
        <f>SUM('08'!L35:'08'!L39)</f>
        <v>164.91</v>
      </c>
      <c r="AF10" s="397"/>
      <c r="AG10" s="397"/>
      <c r="AH10" s="398"/>
      <c r="AI10" s="396">
        <f>SUM('09'!L35:'09'!L39)</f>
        <v>167.95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203</v>
      </c>
      <c r="B11" s="193">
        <v>1224.4499999999998</v>
      </c>
      <c r="C11" s="380">
        <f>SUM('01'!L40:'01'!L44)</f>
        <v>2.61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1.02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52.97</v>
      </c>
      <c r="AN11" s="381"/>
      <c r="AO11" s="381"/>
      <c r="AP11" s="382"/>
      <c r="AQ11" s="380">
        <f>SUM('11'!L40:'11'!L44)</f>
        <v>42.84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0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222.98</v>
      </c>
      <c r="AF12" s="397"/>
      <c r="AG12" s="397"/>
      <c r="AH12" s="398"/>
      <c r="AI12" s="396">
        <f>SUM('09'!L45:'09'!L49)</f>
        <v>200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430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204</v>
      </c>
      <c r="B13" s="195">
        <v>10099.5</v>
      </c>
      <c r="C13" s="380">
        <f>SUM('01'!L50:'01'!L54)</f>
        <v>273.07</v>
      </c>
      <c r="D13" s="381"/>
      <c r="E13" s="381"/>
      <c r="F13" s="382"/>
      <c r="G13" s="380">
        <f>SUM('02'!L50:'02'!L54)</f>
        <v>0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117.03</v>
      </c>
      <c r="AF13" s="381"/>
      <c r="AG13" s="381"/>
      <c r="AH13" s="382"/>
      <c r="AI13" s="380">
        <f>SUM('09'!L50:'09'!L54)</f>
        <v>1072.33</v>
      </c>
      <c r="AJ13" s="381"/>
      <c r="AK13" s="381"/>
      <c r="AL13" s="382"/>
      <c r="AM13" s="380">
        <f>SUM('10'!L50:'10'!L54)</f>
        <v>95.8</v>
      </c>
      <c r="AN13" s="381"/>
      <c r="AO13" s="381"/>
      <c r="AP13" s="382"/>
      <c r="AQ13" s="380">
        <f>SUM('11'!L50:'11'!L54)</f>
        <v>95.8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205</v>
      </c>
      <c r="B14" s="194">
        <v>768.34999999999991</v>
      </c>
      <c r="C14" s="380">
        <f>SUM('01'!L55:'01'!L59)</f>
        <v>168.88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51.759999999999991</v>
      </c>
      <c r="AB14" s="397"/>
      <c r="AC14" s="397"/>
      <c r="AD14" s="398"/>
      <c r="AE14" s="396">
        <f>SUM('08'!L55:'08'!L59)</f>
        <v>27.42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57.08</v>
      </c>
      <c r="AN14" s="397"/>
      <c r="AO14" s="397"/>
      <c r="AP14" s="398"/>
      <c r="AQ14" s="396">
        <f>SUM('11'!L55:'11'!L59)</f>
        <v>393.02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762.93</v>
      </c>
      <c r="BA14" s="112">
        <f t="shared" ca="1" si="0"/>
        <v>762.93</v>
      </c>
      <c r="BB14" s="3"/>
      <c r="BC14" s="3"/>
    </row>
    <row r="15" spans="1:55" ht="15.75">
      <c r="A15" s="189" t="s">
        <v>206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0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550</v>
      </c>
      <c r="AF15" s="381"/>
      <c r="AG15" s="381"/>
      <c r="AH15" s="382"/>
      <c r="AI15" s="380">
        <f>SUM('09'!L60:'09'!L64)</f>
        <v>676.35</v>
      </c>
      <c r="AJ15" s="381"/>
      <c r="AK15" s="381"/>
      <c r="AL15" s="382"/>
      <c r="AM15" s="380">
        <f>SUM('10'!L60:'10'!L64)</f>
        <v>550</v>
      </c>
      <c r="AN15" s="381"/>
      <c r="AO15" s="381"/>
      <c r="AP15" s="382"/>
      <c r="AQ15" s="380">
        <f>SUM('11'!L60:'11'!L64)</f>
        <v>647.88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80">
        <f>SUM('01'!L65:'01'!L69)</f>
        <v>87.95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6">
        <f>SUM(C8:C16)</f>
        <v>1745.7699999999998</v>
      </c>
      <c r="D17" s="377"/>
      <c r="E17" s="377"/>
      <c r="F17" s="378"/>
      <c r="G17" s="376">
        <f>SUM(G8:G16)</f>
        <v>0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4638.26</v>
      </c>
      <c r="AB17" s="377"/>
      <c r="AC17" s="377"/>
      <c r="AD17" s="378"/>
      <c r="AE17" s="376">
        <f>SUM(AE8:AE16)</f>
        <v>3945.4900000000002</v>
      </c>
      <c r="AF17" s="377"/>
      <c r="AG17" s="377"/>
      <c r="AH17" s="378"/>
      <c r="AI17" s="376">
        <f>SUM(AI8:AI16)</f>
        <v>4981.9699999999993</v>
      </c>
      <c r="AJ17" s="377"/>
      <c r="AK17" s="377"/>
      <c r="AL17" s="378"/>
      <c r="AM17" s="376">
        <f>SUM(AM8:AM16)</f>
        <v>3972.5899999999997</v>
      </c>
      <c r="AN17" s="377"/>
      <c r="AO17" s="377"/>
      <c r="AP17" s="378"/>
      <c r="AQ17" s="376">
        <f>SUM(AQ8:AQ16)</f>
        <v>4500.4000000000005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46883.429999999993</v>
      </c>
      <c r="BA17" s="112">
        <f ca="1">AZ17/BC$17</f>
        <v>46883.429999999993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562601.15999999992</v>
      </c>
      <c r="BB18" s="1"/>
      <c r="BC18" s="1"/>
    </row>
    <row r="19" spans="1:62" ht="17.25" thickTop="1" thickBot="1">
      <c r="A19" s="24" t="s">
        <v>7</v>
      </c>
      <c r="B19" s="24" t="s">
        <v>825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75">
      <c r="A20" s="141" t="s">
        <v>810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0.1167768742325106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0.86701240135287383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918.62</v>
      </c>
      <c r="F21" s="151">
        <f t="shared" si="2"/>
        <v>546.10999999999933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1710.1099999999992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1342.8799999999992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1386.9399999999991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1263.1799999999992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1307.2399999999993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1351.2999999999993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1291.1699999999992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1335.2299999999991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1275.099999999999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1318.4899999999991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2471.4899999999989</v>
      </c>
      <c r="AZ21" s="152">
        <f t="shared" si="14"/>
        <v>11622.240000000002</v>
      </c>
      <c r="BA21" s="21">
        <f t="shared" si="15"/>
        <v>0.27653386637137334</v>
      </c>
      <c r="BB21" s="22">
        <f t="shared" ref="BB21:BB45" si="20">_xlfn.RANK.EQ(BA21,$BA$20:$BA$45,)</f>
        <v>1</v>
      </c>
      <c r="BC21" s="22">
        <f t="shared" ca="1" si="16"/>
        <v>11622.240000000002</v>
      </c>
      <c r="BE21" s="224">
        <f t="shared" ca="1" si="17"/>
        <v>1164</v>
      </c>
      <c r="BF21" s="21">
        <f t="shared" ca="1" si="18"/>
        <v>1.7497181510710236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245.38</v>
      </c>
    </row>
    <row r="22" spans="1:62" ht="15.75">
      <c r="A22" s="153" t="s">
        <v>811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191.82</v>
      </c>
      <c r="F22" s="156">
        <f t="shared" si="2"/>
        <v>266.56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661.56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755.67999999999984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914.26999999999987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883.01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889.79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889.79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889.78999999999974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905.08999999999969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877.87999999999965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781.67999999999961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1096.6799999999996</v>
      </c>
      <c r="AZ22" s="157">
        <f t="shared" si="14"/>
        <v>2637.9300000000003</v>
      </c>
      <c r="BA22" s="21">
        <f t="shared" si="15"/>
        <v>6.2765609909710765E-2</v>
      </c>
      <c r="BB22" s="22">
        <f t="shared" si="20"/>
        <v>6</v>
      </c>
      <c r="BC22" s="22">
        <f t="shared" ca="1" si="16"/>
        <v>2637.9300000000003</v>
      </c>
      <c r="BE22" s="225">
        <f t="shared" ca="1" si="17"/>
        <v>395</v>
      </c>
      <c r="BF22" s="21">
        <f t="shared" ca="1" si="18"/>
        <v>0.59376174370537316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203.18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76.75</v>
      </c>
      <c r="F23" s="151">
        <f t="shared" si="2"/>
        <v>284.2000000000001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484.2000000000001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507.68000000000006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576.68000000000006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533.83000000000004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536.18000000000006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563.98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557.33000000000004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564.43000000000006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581.05000000000007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612.85000000000014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797.85000000000014</v>
      </c>
      <c r="AZ23" s="152">
        <f t="shared" si="14"/>
        <v>1693.1000000000001</v>
      </c>
      <c r="BA23" s="21">
        <f t="shared" si="15"/>
        <v>4.0284789262084772E-2</v>
      </c>
      <c r="BB23" s="22">
        <f t="shared" si="20"/>
        <v>9</v>
      </c>
      <c r="BC23" s="22">
        <f t="shared" ca="1" si="16"/>
        <v>1693.1000000000001</v>
      </c>
      <c r="BE23" s="224">
        <f t="shared" ca="1" si="17"/>
        <v>180</v>
      </c>
      <c r="BF23" s="21">
        <f t="shared" ca="1" si="18"/>
        <v>0.27057497181510676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103.25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53.92</v>
      </c>
      <c r="F24" s="156">
        <f t="shared" si="2"/>
        <v>382.7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582.70000000000005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646.61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693.22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677.74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644.88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749.78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765.96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761.30000000000007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701.12000000000012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807.84000000000015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957.84000000000015</v>
      </c>
      <c r="AZ24" s="157">
        <f t="shared" si="14"/>
        <v>1268.78</v>
      </c>
      <c r="BA24" s="21">
        <f t="shared" si="15"/>
        <v>3.0188727730168282E-2</v>
      </c>
      <c r="BB24" s="22">
        <f t="shared" si="20"/>
        <v>10</v>
      </c>
      <c r="BC24" s="22">
        <f t="shared" ca="1" si="16"/>
        <v>1268.78</v>
      </c>
      <c r="BE24" s="225">
        <f t="shared" ca="1" si="17"/>
        <v>200</v>
      </c>
      <c r="BF24" s="21">
        <f t="shared" ca="1" si="18"/>
        <v>0.30063885757234082</v>
      </c>
      <c r="BG24" s="22">
        <f t="shared" ca="1" si="21"/>
        <v>6</v>
      </c>
      <c r="BH24" s="22">
        <f t="shared" ca="1" si="19"/>
        <v>200</v>
      </c>
      <c r="BJ24" s="225">
        <f t="shared" ca="1" si="22"/>
        <v>146.07999999999996</v>
      </c>
    </row>
    <row r="25" spans="1:62" ht="15.75">
      <c r="A25" s="146" t="s">
        <v>826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367.54</v>
      </c>
      <c r="F25" s="151">
        <f t="shared" si="2"/>
        <v>5437.4515974244969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5962.0915974244972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4769.7115974244971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6311.6815974244973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5499.3015974244972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5616.9215974244971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5934.541597424497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6602.1615974244969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6719.7815974244968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7153.7331948489946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7283.8231948489947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7741.293194848995</v>
      </c>
      <c r="AZ25" s="152">
        <f t="shared" si="14"/>
        <v>3706.7900000000009</v>
      </c>
      <c r="BA25" s="21">
        <f t="shared" si="15"/>
        <v>8.8197539418110718E-2</v>
      </c>
      <c r="BB25" s="22">
        <f t="shared" si="20"/>
        <v>4</v>
      </c>
      <c r="BC25" s="22">
        <f t="shared" ca="1" si="16"/>
        <v>3706.7900000000009</v>
      </c>
      <c r="BE25" s="224">
        <f t="shared" ca="1" si="17"/>
        <v>853.47</v>
      </c>
      <c r="BF25" s="21">
        <f t="shared" ca="1" si="18"/>
        <v>1.2829312288613286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485.93000000000029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135.59999999999997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143.09999999999997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186.17999999999989</v>
      </c>
      <c r="AZ26" s="157">
        <f t="shared" si="14"/>
        <v>515.4</v>
      </c>
      <c r="BA26" s="21">
        <f t="shared" si="15"/>
        <v>1.2263174287211914E-2</v>
      </c>
      <c r="BB26" s="22">
        <f t="shared" si="20"/>
        <v>14</v>
      </c>
      <c r="BC26" s="22">
        <f t="shared" ca="1" si="16"/>
        <v>515.4</v>
      </c>
      <c r="BE26" s="225">
        <f t="shared" ca="1" si="17"/>
        <v>53</v>
      </c>
      <c r="BF26" s="21">
        <f t="shared" ca="1" si="18"/>
        <v>7.966929725667031E-2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9.9038099831375379E-3</v>
      </c>
      <c r="BB27" s="22">
        <f t="shared" si="20"/>
        <v>16</v>
      </c>
      <c r="BC27" s="22">
        <f t="shared" ca="1" si="16"/>
        <v>416.24</v>
      </c>
      <c r="BE27" s="224">
        <f t="shared" ca="1" si="17"/>
        <v>40</v>
      </c>
      <c r="BF27" s="21">
        <f t="shared" ca="1" si="18"/>
        <v>6.0127771514468166E-2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1704.0600000000002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1013.2000000000002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2063.2000000000003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2263.2000000000003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1099.9200000000003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1299.9200000000003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1455.9200000000003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1655.9200000000003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1855.9200000000003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2055.92</v>
      </c>
      <c r="AZ28" s="182">
        <f t="shared" ref="AZ28:AZ45" si="23">E28+I28+M28+Q28+U28+Y28+AC28+AG28+AK28+AO28+AS28+AW28</f>
        <v>2713.08</v>
      </c>
      <c r="BA28" s="21">
        <f t="shared" si="15"/>
        <v>6.4553692074406088E-2</v>
      </c>
      <c r="BB28" s="22">
        <f t="shared" si="20"/>
        <v>5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0.30063885757234082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-174.94000000000005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2.5517586139044028E-2</v>
      </c>
      <c r="BB29" s="22">
        <f t="shared" si="20"/>
        <v>11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0.217888012025554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54.04</v>
      </c>
      <c r="F30" s="161">
        <f t="shared" si="2"/>
        <v>44.709999999999958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79.709999999999951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112.57999999999996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113.24999999999996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135.68999999999994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170.68999999999994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129.51999999999992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141.51999999999992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164.01999999999992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175.51999999999992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210.51999999999992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245.51999999999992</v>
      </c>
      <c r="AZ30" s="157">
        <f t="shared" si="23"/>
        <v>278.23</v>
      </c>
      <c r="BA30" s="21">
        <f t="shared" si="15"/>
        <v>6.620067873362381E-3</v>
      </c>
      <c r="BB30" s="22">
        <f t="shared" si="20"/>
        <v>17</v>
      </c>
      <c r="BC30" s="22">
        <f t="shared" ca="1" si="16"/>
        <v>278.23</v>
      </c>
      <c r="BE30" s="225">
        <f t="shared" ca="1" si="17"/>
        <v>35</v>
      </c>
      <c r="BF30" s="21">
        <f t="shared" ca="1" si="18"/>
        <v>5.2611800075159643E-2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-19.04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4.4926902772824085E-3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3.1567080045095786E-2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566.89999999999975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651.61999999999978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920.74999999999977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1425.5099999999998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1320.1899999999998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1095.7899999999997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1138.0199999999998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981.67999999999961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904.47999999999956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999.47999999999956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1249.4799999999996</v>
      </c>
      <c r="AZ32" s="157">
        <f t="shared" si="23"/>
        <v>1759.7500000000002</v>
      </c>
      <c r="BA32" s="21">
        <f t="shared" si="15"/>
        <v>4.1870626604426017E-2</v>
      </c>
      <c r="BB32" s="22">
        <f t="shared" si="20"/>
        <v>8</v>
      </c>
      <c r="BC32" s="22">
        <f t="shared" ca="1" si="16"/>
        <v>1759.7500000000002</v>
      </c>
      <c r="BE32" s="225">
        <f t="shared" ca="1" si="17"/>
        <v>50</v>
      </c>
      <c r="BF32" s="21">
        <f t="shared" ca="1" si="18"/>
        <v>7.5159714393085206E-2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8.9474061149792714E-2</v>
      </c>
      <c r="BB33" s="22">
        <f t="shared" si="20"/>
        <v>3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1.5031942878617041E-2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82.2</v>
      </c>
      <c r="F34" s="161">
        <f t="shared" si="2"/>
        <v>130.57999999999981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240.57999999999981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330.57999999999981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376.57999999999981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140.93999999999977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240.93999999999971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147.67999999999972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223.38999999999973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242.38999999999976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286.48999999999978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376.48999999999978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471.48999999999978</v>
      </c>
      <c r="AZ34" s="152">
        <f t="shared" si="23"/>
        <v>1043.7</v>
      </c>
      <c r="BA34" s="21">
        <f t="shared" si="15"/>
        <v>2.4833284834231809E-2</v>
      </c>
      <c r="BB34" s="22">
        <f t="shared" si="20"/>
        <v>12</v>
      </c>
      <c r="BC34" s="22">
        <f t="shared" ca="1" si="16"/>
        <v>1043.7</v>
      </c>
      <c r="BE34" s="225">
        <f t="shared" ca="1" si="17"/>
        <v>197.95</v>
      </c>
      <c r="BF34" s="21">
        <f t="shared" ca="1" si="18"/>
        <v>0.29755730928222429</v>
      </c>
      <c r="BG34" s="22">
        <f t="shared" ca="1" si="21"/>
        <v>8</v>
      </c>
      <c r="BH34" s="22">
        <f t="shared" ca="1" si="19"/>
        <v>197.95</v>
      </c>
      <c r="BJ34" s="225">
        <f t="shared" ca="1" si="22"/>
        <v>115.75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298.88</v>
      </c>
      <c r="E35" s="186">
        <f>SUM('01'!D320:F320)</f>
        <v>357.62</v>
      </c>
      <c r="F35" s="187">
        <f t="shared" si="2"/>
        <v>1522.6200000000008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1662.6200000000008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1650.6400000000008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1623.2200000000007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1749.7100000000007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1727.1100000000008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1770.6400000000008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1813.4200000000008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1746.9100000000008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1429.2200000000007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1483.1900000000007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1613.1900000000007</v>
      </c>
      <c r="AZ35" s="188">
        <f t="shared" si="23"/>
        <v>2495.4700000000003</v>
      </c>
      <c r="BA35" s="21">
        <f t="shared" si="15"/>
        <v>5.9375986687056105E-2</v>
      </c>
      <c r="BB35" s="22">
        <f t="shared" si="20"/>
        <v>7</v>
      </c>
      <c r="BC35" s="22">
        <f t="shared" ca="1" si="16"/>
        <v>2495.4700000000003</v>
      </c>
      <c r="BE35" s="224">
        <f t="shared" ca="1" si="17"/>
        <v>298.88</v>
      </c>
      <c r="BF35" s="21">
        <f t="shared" ca="1" si="18"/>
        <v>0.44927470875610609</v>
      </c>
      <c r="BG35" s="22">
        <f t="shared" ca="1" si="21"/>
        <v>5</v>
      </c>
      <c r="BH35" s="22">
        <f t="shared" ca="1" si="19"/>
        <v>298.88</v>
      </c>
      <c r="BJ35" s="224">
        <f t="shared" ca="1" si="22"/>
        <v>-58.739999999999782</v>
      </c>
    </row>
    <row r="36" spans="1:62" ht="15.75">
      <c r="A36" s="163" t="s">
        <v>443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1267.4900000000002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1458.4000000000003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1548.4200000000003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1464.4200000000003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1472.4200000000003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1647.4200000000003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1309.8700000000003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1567.9900000000005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1652.9900000000005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2157.9900000000007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2247.9900000000007</v>
      </c>
      <c r="AZ36" s="182">
        <f t="shared" si="23"/>
        <v>1008.47</v>
      </c>
      <c r="BA36" s="21">
        <f t="shared" si="15"/>
        <v>2.3995039529345362E-2</v>
      </c>
      <c r="BB36" s="22">
        <f t="shared" si="20"/>
        <v>13</v>
      </c>
      <c r="BC36" s="22">
        <f t="shared" ca="1" si="16"/>
        <v>1008.47</v>
      </c>
      <c r="BE36" s="223">
        <f t="shared" ca="1" si="17"/>
        <v>90</v>
      </c>
      <c r="BF36" s="21">
        <f t="shared" ca="1" si="18"/>
        <v>0.13528748590755338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812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4.3137630932703142E-3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7.5159714393085207E-3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11.91</v>
      </c>
      <c r="F38" s="156">
        <f t="shared" si="2"/>
        <v>222.59000000000009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282.59000000000009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307.99000000000012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353.69000000000011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341.40000000000009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342.30000000000007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368.70000000000005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397.40000000000003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419.40000000000003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466.90000000000003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448.87000000000012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508.87000000000012</v>
      </c>
      <c r="AZ38" s="157">
        <f t="shared" si="23"/>
        <v>460.63</v>
      </c>
      <c r="BA38" s="21">
        <f t="shared" si="15"/>
        <v>1.0960003825996165E-2</v>
      </c>
      <c r="BB38" s="22">
        <f t="shared" si="20"/>
        <v>15</v>
      </c>
      <c r="BC38" s="22">
        <f t="shared" ca="1" si="16"/>
        <v>460.63</v>
      </c>
      <c r="BE38" s="225">
        <f t="shared" ca="1" si="17"/>
        <v>60</v>
      </c>
      <c r="BF38" s="21">
        <f t="shared" ca="1" si="18"/>
        <v>9.0191657271702239E-2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48.09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1.5031942878617041E-2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3.5495155998569532E-3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4.7726418639609101E-2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-3956.5299999999988</v>
      </c>
      <c r="E41" s="165">
        <f>SUM('01'!D440:F440)</f>
        <v>0</v>
      </c>
      <c r="F41" s="151">
        <f t="shared" si="2"/>
        <v>4618.5900000000038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318.59000000000378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199.43000000000211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199.43000000000356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199.71000000000512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198.88000000000611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664.33000000000595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363.43000000000677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363.43000000000677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325.97000000000673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-37.369999999993411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-3937.3699999999935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-3956.5299999999988</v>
      </c>
      <c r="BF41" s="21">
        <f t="shared" ca="1" si="18"/>
        <v>-5.9474332957534664</v>
      </c>
      <c r="BG41" s="22">
        <f t="shared" ca="1" si="21"/>
        <v>26</v>
      </c>
      <c r="BH41" s="22">
        <f t="shared" ca="1" si="19"/>
        <v>-3956.5299999999988</v>
      </c>
      <c r="BJ41" s="224">
        <f t="shared" ca="1" si="22"/>
        <v>-3956.5299999999988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4.7111146854248329E-5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3.4821799707672949E-3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7.5159714393085207E-3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665.25000000000091</v>
      </c>
      <c r="E46" s="219">
        <f>SUM(E20:E45)</f>
        <v>2666.9499999999994</v>
      </c>
      <c r="F46" s="220">
        <f>SUM(F20:F45)</f>
        <v>31577.297680000003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31216.377680000005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32085.377680000001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32804.707680000007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34655.697680000012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34924.577680000009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34808.467680000009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34899.877680000012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35731.087680000011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35744.995360000015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37407.875360000013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37383.005360000003</v>
      </c>
      <c r="AZ46" s="227">
        <f>SUM(AZ20:AZ45)</f>
        <v>42028.270000000011</v>
      </c>
      <c r="BA46" s="1"/>
      <c r="BB46" s="1"/>
      <c r="BC46" s="124">
        <f ca="1">SUM(BC20:BC45)</f>
        <v>42028.270000000011</v>
      </c>
      <c r="BE46" s="227">
        <f ca="1">SUM(BE20:BE45)</f>
        <v>665.25000000000091</v>
      </c>
      <c r="BF46" s="1"/>
      <c r="BG46" s="1"/>
      <c r="BH46" s="124">
        <f ca="1">SUM(BH20:BH45)</f>
        <v>665.25000000000091</v>
      </c>
      <c r="BJ46" s="227">
        <f ca="1">SUM(BJ20:BJ45)</f>
        <v>-2001.699999999998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1080.5199999999988</v>
      </c>
      <c r="E47" s="125">
        <f>C17-E46</f>
        <v>-921.17999999999961</v>
      </c>
      <c r="F47" s="125"/>
      <c r="G47" s="125">
        <f>G5-F46</f>
        <v>3144.5623199999973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-5641.617680000003</v>
      </c>
      <c r="L47" s="125">
        <f>K17-L46</f>
        <v>0</v>
      </c>
      <c r="M47" s="125">
        <f>K17-M46</f>
        <v>868.99999999999818</v>
      </c>
      <c r="N47" s="125"/>
      <c r="O47" s="125">
        <f>O5-N46</f>
        <v>-5641.617680000003</v>
      </c>
      <c r="P47" s="125">
        <f>O17-P46</f>
        <v>0</v>
      </c>
      <c r="Q47" s="125">
        <f>O17-Q46</f>
        <v>719.33000000000084</v>
      </c>
      <c r="R47" s="125"/>
      <c r="S47" s="125">
        <f>S5-R46</f>
        <v>-5641.617680000003</v>
      </c>
      <c r="T47" s="125">
        <f>S17-T46</f>
        <v>0</v>
      </c>
      <c r="U47" s="125">
        <f>S17-U46</f>
        <v>1850.9900000000016</v>
      </c>
      <c r="V47" s="125"/>
      <c r="W47" s="125">
        <f>W5-V46</f>
        <v>-5641.6176800000139</v>
      </c>
      <c r="X47" s="125">
        <f>W17-X46</f>
        <v>0</v>
      </c>
      <c r="Y47" s="125">
        <f>W17-Y46</f>
        <v>268.88000000000056</v>
      </c>
      <c r="Z47" s="125"/>
      <c r="AA47" s="125">
        <f>AA5-Z46</f>
        <v>-5641.6176800000103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-5641.6176800000067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-5641.6176800000103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-5641.6176800000103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-5641.6153600000107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-7304.4953600000081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504339.24000000011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5.75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855</v>
      </c>
      <c r="E54" s="354"/>
      <c r="F54" s="98"/>
      <c r="G54" s="95"/>
      <c r="H54" s="353"/>
      <c r="I54" s="354"/>
      <c r="J54" s="100"/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/>
      <c r="H55" s="344"/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/>
      <c r="D56" s="344"/>
      <c r="E56" s="345"/>
      <c r="F56" s="98"/>
      <c r="G56" s="96"/>
      <c r="H56" s="344"/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/>
      <c r="H57" s="344"/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/>
      <c r="H58" s="344"/>
      <c r="I58" s="345"/>
      <c r="J58" s="100"/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/>
      <c r="H59" s="344"/>
      <c r="I59" s="345"/>
      <c r="J59" s="100"/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5.75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'08'!A27+(B27-SUM(D27:F27))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'08'!A29+(B29-SUM(D29:F29))</f>
        <v>20.170000000000009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670</v>
      </c>
      <c r="K35" s="408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1280.23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660</v>
      </c>
      <c r="K45" s="408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666</v>
      </c>
      <c r="H46" s="1"/>
      <c r="I46" s="405"/>
      <c r="J46" s="409" t="s">
        <v>702</v>
      </c>
      <c r="K46" s="410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671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657</v>
      </c>
      <c r="D48" s="137">
        <v>67.47</v>
      </c>
      <c r="E48" s="138"/>
      <c r="F48" s="138"/>
      <c r="G48" s="16" t="s">
        <v>675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676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677</v>
      </c>
      <c r="H50" s="1"/>
      <c r="I50" s="404" t="str">
        <f>AÑO!A13</f>
        <v>Gubernamental</v>
      </c>
      <c r="J50" s="407" t="s">
        <v>668</v>
      </c>
      <c r="K50" s="408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685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686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694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669</v>
      </c>
      <c r="K60" s="408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654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655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664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678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681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693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701</v>
      </c>
      <c r="D79" s="135">
        <v>122.95</v>
      </c>
      <c r="E79" s="139"/>
      <c r="F79" s="139"/>
      <c r="G79" s="17" t="s">
        <v>695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665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672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691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D127+D128+'08'!I127</f>
        <v>95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683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692</v>
      </c>
      <c r="H189" s="89">
        <f>9.99+8.99+6.99+3.99+7.99</f>
        <v>37.950000000000003</v>
      </c>
      <c r="I189" s="1" t="s">
        <v>690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696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697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700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564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658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682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698</v>
      </c>
      <c r="H248" s="89">
        <f>33.98+1.99</f>
        <v>35.97</v>
      </c>
      <c r="I248" s="89" t="s">
        <v>690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700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607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653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182.38999999999973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563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680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699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242.38999999999973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>
        <v>60</v>
      </c>
      <c r="G306" s="16" t="s">
        <v>673</v>
      </c>
    </row>
    <row r="307" spans="2:7">
      <c r="B307" s="134"/>
      <c r="C307" s="27"/>
      <c r="D307" s="137">
        <v>35.96</v>
      </c>
      <c r="E307" s="138"/>
      <c r="F307" s="138"/>
      <c r="G307" s="16" t="s">
        <v>674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679</v>
      </c>
    </row>
    <row r="309" spans="2:7">
      <c r="B309" s="134"/>
      <c r="C309" s="16"/>
      <c r="D309" s="137"/>
      <c r="E309" s="138"/>
      <c r="F309" s="138">
        <v>60</v>
      </c>
      <c r="G309" s="16" t="s">
        <v>703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659</v>
      </c>
    </row>
    <row r="327" spans="2:9">
      <c r="B327" s="134">
        <v>100</v>
      </c>
      <c r="C327" s="16" t="s">
        <v>660</v>
      </c>
      <c r="D327" s="137">
        <v>15</v>
      </c>
      <c r="E327" s="138"/>
      <c r="F327" s="138"/>
      <c r="G327" s="16" t="s">
        <v>687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700</v>
      </c>
      <c r="H328" s="89">
        <f>9.99+34.99+2</f>
        <v>46.980000000000004</v>
      </c>
      <c r="I328" s="89" t="s">
        <v>690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662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684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704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6.5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'09'!A27+(B27-SUM(D27:F27))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'09'!A29+(B29-SUM(D29:F29))</f>
        <v>20.22000000000001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499</v>
      </c>
      <c r="K31" s="410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730</v>
      </c>
      <c r="K32" s="410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234</v>
      </c>
      <c r="K33" s="410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1220.0999999999999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733</v>
      </c>
      <c r="K42" s="410"/>
      <c r="L42" s="229">
        <v>52.06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708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711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712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719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726</v>
      </c>
      <c r="H50" s="1"/>
      <c r="I50" s="404" t="str">
        <f>AÑO!A13</f>
        <v>Gubernamental</v>
      </c>
      <c r="J50" s="407" t="s">
        <v>668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727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728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729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731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739</v>
      </c>
      <c r="H55" s="1"/>
      <c r="I55" s="404" t="str">
        <f>AÑO!A14</f>
        <v>Mutualite/DKV</v>
      </c>
      <c r="J55" s="407" t="s">
        <v>345</v>
      </c>
      <c r="K55" s="408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740</v>
      </c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710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720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725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757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752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707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716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718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737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738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741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761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763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D127+D128+'09'!I127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755</v>
      </c>
      <c r="D130" s="137">
        <v>65</v>
      </c>
      <c r="E130" s="138"/>
      <c r="F130" s="138"/>
      <c r="G130" s="16" t="s">
        <v>756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708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721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724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748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749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708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729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736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750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667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706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186.48999999999972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714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715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751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754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286.48999999999972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f>37.5+37.5</f>
        <v>75</v>
      </c>
      <c r="E306" s="138"/>
      <c r="F306" s="138"/>
      <c r="G306" s="16" t="s">
        <v>717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722</v>
      </c>
    </row>
    <row r="308" spans="2:7">
      <c r="B308" s="134"/>
      <c r="C308" s="27"/>
      <c r="D308" s="137">
        <v>35.96</v>
      </c>
      <c r="E308" s="138"/>
      <c r="F308" s="138"/>
      <c r="G308" s="16" t="s">
        <v>723</v>
      </c>
    </row>
    <row r="309" spans="2:7">
      <c r="B309" s="134"/>
      <c r="C309" s="16"/>
      <c r="D309" s="137">
        <v>16.21</v>
      </c>
      <c r="E309" s="138"/>
      <c r="F309" s="138"/>
      <c r="G309" s="16" t="s">
        <v>743</v>
      </c>
    </row>
    <row r="310" spans="2:7">
      <c r="B310" s="134"/>
      <c r="C310" s="16"/>
      <c r="D310" s="137"/>
      <c r="E310" s="138"/>
      <c r="F310" s="138">
        <v>50</v>
      </c>
      <c r="G310" s="16" t="s">
        <v>742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744</v>
      </c>
    </row>
    <row r="312" spans="2:7">
      <c r="B312" s="134"/>
      <c r="C312" s="16"/>
      <c r="D312" s="137"/>
      <c r="E312" s="138"/>
      <c r="F312" s="138">
        <v>60</v>
      </c>
      <c r="G312" s="16" t="s">
        <v>745</v>
      </c>
    </row>
    <row r="313" spans="2:7">
      <c r="B313" s="134"/>
      <c r="C313" s="16"/>
      <c r="D313" s="137">
        <v>5.3</v>
      </c>
      <c r="E313" s="138"/>
      <c r="F313" s="138"/>
      <c r="G313" s="16" t="s">
        <v>747</v>
      </c>
    </row>
    <row r="314" spans="2:7">
      <c r="B314" s="134"/>
      <c r="C314" s="16"/>
      <c r="D314" s="137">
        <v>12.95</v>
      </c>
      <c r="E314" s="138"/>
      <c r="F314" s="138"/>
      <c r="G314" s="16" t="s">
        <v>760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758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759</v>
      </c>
    </row>
    <row r="317" spans="2:7">
      <c r="B317" s="134"/>
      <c r="C317" s="16"/>
      <c r="D317" s="137"/>
      <c r="E317" s="138"/>
      <c r="F317" s="138">
        <v>4.5</v>
      </c>
      <c r="G317" s="16" t="s">
        <v>764</v>
      </c>
    </row>
    <row r="318" spans="2:7">
      <c r="B318" s="134"/>
      <c r="C318" s="16"/>
      <c r="D318" s="137"/>
      <c r="E318" s="138"/>
      <c r="F318" s="138">
        <v>84.93</v>
      </c>
      <c r="G318" s="16" t="s">
        <v>765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733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705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733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733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762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'10'!A27+(B27-SUM(D27:F27))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'10'!A29+(B29-SUM(D29:F29))</f>
        <v>19.600000000000009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560</v>
      </c>
      <c r="K31" s="410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1263.4899999999998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768</v>
      </c>
      <c r="K40" s="408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774</v>
      </c>
      <c r="K45" s="408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773</v>
      </c>
      <c r="H46" s="1"/>
      <c r="I46" s="405"/>
      <c r="J46" s="409" t="s">
        <v>788</v>
      </c>
      <c r="K46" s="410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784</v>
      </c>
      <c r="H47" s="1"/>
      <c r="I47" s="405"/>
      <c r="J47" s="409" t="s">
        <v>789</v>
      </c>
      <c r="K47" s="410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786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792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797</v>
      </c>
      <c r="H50" s="1"/>
      <c r="I50" s="404" t="str">
        <f>AÑO!A13</f>
        <v>Gubernamental</v>
      </c>
      <c r="J50" s="407" t="s">
        <v>779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801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803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805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778</v>
      </c>
      <c r="K55" s="408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561</v>
      </c>
      <c r="K56" s="410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771</v>
      </c>
      <c r="K60" s="408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772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787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791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799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798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806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807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D127+D128+'10'!I127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794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800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735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236.48999999999972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376.48999999999972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594</v>
      </c>
      <c r="D306" s="137"/>
      <c r="E306" s="138"/>
      <c r="F306" s="138">
        <v>80</v>
      </c>
      <c r="G306" s="16" t="s">
        <v>777</v>
      </c>
    </row>
    <row r="307" spans="2:8">
      <c r="B307" s="134">
        <v>300</v>
      </c>
      <c r="C307" s="27" t="s">
        <v>781</v>
      </c>
      <c r="D307" s="137">
        <v>82.87</v>
      </c>
      <c r="E307" s="138"/>
      <c r="F307" s="138"/>
      <c r="G307" s="16" t="s">
        <v>780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783</v>
      </c>
    </row>
    <row r="309" spans="2:8">
      <c r="B309" s="134"/>
      <c r="C309" s="16"/>
      <c r="D309" s="137">
        <v>40.18</v>
      </c>
      <c r="E309" s="138"/>
      <c r="F309" s="138"/>
      <c r="G309" s="16" t="s">
        <v>785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790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793</v>
      </c>
    </row>
    <row r="312" spans="2:8">
      <c r="B312" s="134"/>
      <c r="C312" s="16"/>
      <c r="D312" s="137">
        <v>50</v>
      </c>
      <c r="E312" s="138"/>
      <c r="F312" s="138"/>
      <c r="G312" s="16" t="s">
        <v>796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776</v>
      </c>
    </row>
    <row r="327" spans="2:7">
      <c r="B327" s="134">
        <v>30</v>
      </c>
      <c r="C327" s="16" t="s">
        <v>775</v>
      </c>
      <c r="D327" s="137"/>
      <c r="E327" s="138"/>
      <c r="F327" s="138"/>
      <c r="G327" s="16"/>
    </row>
    <row r="328" spans="2:7">
      <c r="B328" s="134">
        <v>250</v>
      </c>
      <c r="C328" s="16" t="s">
        <v>788</v>
      </c>
      <c r="D328" s="137"/>
      <c r="E328" s="138"/>
      <c r="F328" s="138"/>
      <c r="G328" s="16"/>
    </row>
    <row r="329" spans="2:7">
      <c r="B329" s="134">
        <v>150</v>
      </c>
      <c r="C329" s="16" t="s">
        <v>789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734</v>
      </c>
      <c r="D359" s="135">
        <v>65</v>
      </c>
      <c r="E359" s="139"/>
      <c r="F359" s="139"/>
      <c r="G359" s="17" t="s">
        <v>767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795</v>
      </c>
    </row>
    <row r="368" spans="1:7">
      <c r="B368" s="134"/>
      <c r="C368" s="16"/>
      <c r="D368" s="137">
        <v>34</v>
      </c>
      <c r="E368" s="138"/>
      <c r="F368" s="138"/>
      <c r="G368" s="16" t="s">
        <v>802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766</v>
      </c>
    </row>
    <row r="407" spans="2:7">
      <c r="B407" s="134">
        <v>42.84</v>
      </c>
      <c r="C407" s="16" t="s">
        <v>768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804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'11'!A27+(B27-SUM(D27:F27))</f>
        <v>656.16999999999985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'11'!A29+(B29-SUM(D29:F29))</f>
        <v>37.600000000000009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2416.4900000000002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779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D127+D128+'11'!I127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809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782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286.48999999999972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471.48999999999972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734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848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849</v>
      </c>
    </row>
    <row r="66" spans="2:7">
      <c r="C66" t="s">
        <v>828</v>
      </c>
      <c r="D66">
        <v>16420</v>
      </c>
    </row>
    <row r="67" spans="2:7">
      <c r="C67" t="s">
        <v>827</v>
      </c>
      <c r="D67">
        <f>D66*0.2</f>
        <v>3284</v>
      </c>
    </row>
    <row r="68" spans="2:7">
      <c r="B68" t="s">
        <v>819</v>
      </c>
      <c r="C68" t="s">
        <v>820</v>
      </c>
      <c r="D68" t="s">
        <v>822</v>
      </c>
      <c r="E68" t="s">
        <v>821</v>
      </c>
      <c r="F68" t="s">
        <v>93</v>
      </c>
      <c r="G68" t="s">
        <v>824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635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439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732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1636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43845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240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43845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691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43845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439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732</v>
      </c>
      <c r="R12" s="297" t="s">
        <v>93</v>
      </c>
      <c r="S12" s="298" t="s">
        <v>391</v>
      </c>
      <c r="T12" s="338" t="s">
        <v>478</v>
      </c>
      <c r="U12" s="338" t="s">
        <v>651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3.5008469791078488E-2</v>
      </c>
      <c r="Y13" s="119">
        <f ca="1">X13*E13</f>
        <v>140.70845561829475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3.1055900621118012E-2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7.9051383399209481E-3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0.49068322981366458</v>
      </c>
      <c r="Y19" s="119">
        <f t="shared" ca="1" si="3"/>
        <v>2170.4881595031061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440</v>
      </c>
      <c r="X20" s="39">
        <f t="shared" ca="1" si="1"/>
        <v>0.35686053077357427</v>
      </c>
      <c r="Y20" s="119">
        <f t="shared" ca="1" si="3"/>
        <v>214.33043478260871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0.16261998870694522</v>
      </c>
      <c r="Y25" s="119">
        <f t="shared" ca="1" si="3"/>
        <v>98.866972946357976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0.37041219649915302</v>
      </c>
      <c r="Y28" s="119">
        <f t="shared" ca="1" si="3"/>
        <v>1906.9163914624507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1.2422360248447204E-2</v>
      </c>
      <c r="Y33" s="119">
        <f t="shared" ca="1" si="3"/>
        <v>51.293493167701854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8.4133258046301521E-2</v>
      </c>
      <c r="Y35" s="119">
        <f t="shared" ca="1" si="3"/>
        <v>343.99959465838509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847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1.5511010728402033</v>
      </c>
      <c r="Y42" s="327">
        <f ca="1">SUM(Y13:Y41)</f>
        <v>4926.6035021389052</v>
      </c>
      <c r="Z42" s="328">
        <f ca="1">P42/Y42</f>
        <v>0.8928839272513418</v>
      </c>
      <c r="AA42" s="328">
        <f ca="1">Z42/(D$43/365)</f>
        <v>0.18402181448150184</v>
      </c>
    </row>
    <row r="43" spans="1:27">
      <c r="C43" s="119" t="s">
        <v>442</v>
      </c>
      <c r="D43" s="46">
        <f ca="1">_xlfn.DAYS(TODAY(),F13)</f>
        <v>1771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75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K65" t="s">
        <v>425</v>
      </c>
      <c r="T65" s="38"/>
      <c r="U65" t="s">
        <v>426</v>
      </c>
      <c r="V65" s="38"/>
    </row>
    <row r="66" spans="6:22">
      <c r="K66" s="310">
        <v>43587</v>
      </c>
      <c r="T66" s="305"/>
    </row>
    <row r="67" spans="6:22">
      <c r="K67" t="s">
        <v>427</v>
      </c>
      <c r="T67" s="311"/>
    </row>
    <row r="68" spans="6:22">
      <c r="K68" t="s">
        <v>428</v>
      </c>
      <c r="M68" t="s">
        <v>146</v>
      </c>
      <c r="T68" s="308"/>
      <c r="U68">
        <f>5000/12</f>
        <v>416.66666666666669</v>
      </c>
    </row>
    <row r="69" spans="6:22">
      <c r="K69" t="s">
        <v>429</v>
      </c>
      <c r="U69">
        <f>2.2/U68</f>
        <v>5.28E-3</v>
      </c>
    </row>
    <row r="70" spans="6:22">
      <c r="K70" t="s">
        <v>430</v>
      </c>
      <c r="U70">
        <f>100*U69</f>
        <v>0.52800000000000002</v>
      </c>
    </row>
    <row r="71" spans="6:22">
      <c r="K71" t="s">
        <v>431</v>
      </c>
      <c r="U71">
        <f>2.2*12</f>
        <v>26.400000000000002</v>
      </c>
    </row>
    <row r="72" spans="6:22">
      <c r="K72" t="s">
        <v>432</v>
      </c>
    </row>
    <row r="73" spans="6:22">
      <c r="K73" t="s">
        <v>433</v>
      </c>
    </row>
    <row r="74" spans="6:22">
      <c r="K74" t="s">
        <v>434</v>
      </c>
    </row>
    <row r="75" spans="6:22">
      <c r="K75" t="s">
        <v>435</v>
      </c>
    </row>
    <row r="76" spans="6:22">
      <c r="K76" t="s">
        <v>436</v>
      </c>
    </row>
    <row r="77" spans="6:22">
      <c r="K77" t="s">
        <v>437</v>
      </c>
    </row>
    <row r="78" spans="6:22">
      <c r="K78" t="s">
        <v>438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448</v>
      </c>
      <c r="B1" s="449"/>
      <c r="C1" s="449"/>
      <c r="D1" s="449"/>
      <c r="E1" s="449"/>
    </row>
    <row r="2" spans="1:5">
      <c r="A2" s="331" t="s">
        <v>444</v>
      </c>
      <c r="B2" s="332" t="s">
        <v>86</v>
      </c>
      <c r="C2" s="332" t="s">
        <v>445</v>
      </c>
      <c r="D2" s="332" t="s">
        <v>446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447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477</v>
      </c>
      <c r="B15" s="447"/>
      <c r="C15" s="447"/>
      <c r="D15" s="447"/>
      <c r="E15" s="447"/>
    </row>
    <row r="17" spans="1:4">
      <c r="A17" s="330" t="s">
        <v>449</v>
      </c>
    </row>
    <row r="19" spans="1:4">
      <c r="A19" t="s">
        <v>450</v>
      </c>
    </row>
    <row r="20" spans="1:4">
      <c r="A20" t="s">
        <v>451</v>
      </c>
    </row>
    <row r="21" spans="1:4">
      <c r="A21" t="s">
        <v>452</v>
      </c>
    </row>
    <row r="22" spans="1:4">
      <c r="A22" t="s">
        <v>453</v>
      </c>
    </row>
    <row r="23" spans="1:4">
      <c r="A23" t="s">
        <v>454</v>
      </c>
    </row>
    <row r="24" spans="1:4">
      <c r="A24" t="s">
        <v>455</v>
      </c>
    </row>
    <row r="25" spans="1:4">
      <c r="A25" t="s">
        <v>456</v>
      </c>
    </row>
    <row r="26" spans="1:4">
      <c r="A26" t="s">
        <v>817</v>
      </c>
    </row>
    <row r="27" spans="1:4">
      <c r="A27" t="s">
        <v>818</v>
      </c>
    </row>
    <row r="30" spans="1:4">
      <c r="A30" s="330" t="s">
        <v>457</v>
      </c>
      <c r="B30" s="330" t="s">
        <v>458</v>
      </c>
      <c r="C30" s="330" t="s">
        <v>459</v>
      </c>
      <c r="D30" s="330" t="s">
        <v>460</v>
      </c>
    </row>
    <row r="32" spans="1:4">
      <c r="A32" t="s">
        <v>461</v>
      </c>
      <c r="B32" t="s">
        <v>462</v>
      </c>
      <c r="C32" t="s">
        <v>463</v>
      </c>
      <c r="D32" t="s">
        <v>464</v>
      </c>
    </row>
    <row r="33" spans="1:4">
      <c r="A33" t="s">
        <v>465</v>
      </c>
      <c r="B33" t="s">
        <v>466</v>
      </c>
      <c r="C33" t="s">
        <v>467</v>
      </c>
      <c r="D33" t="s">
        <v>462</v>
      </c>
    </row>
    <row r="34" spans="1:4">
      <c r="A34" t="s">
        <v>468</v>
      </c>
      <c r="B34" t="s">
        <v>469</v>
      </c>
      <c r="C34" t="s">
        <v>470</v>
      </c>
      <c r="D34" t="s">
        <v>464</v>
      </c>
    </row>
    <row r="35" spans="1:4">
      <c r="A35" t="s">
        <v>471</v>
      </c>
      <c r="B35" t="s">
        <v>462</v>
      </c>
      <c r="C35" t="s">
        <v>467</v>
      </c>
      <c r="D35" t="s">
        <v>472</v>
      </c>
    </row>
    <row r="36" spans="1:4">
      <c r="A36" t="s">
        <v>303</v>
      </c>
      <c r="B36" t="s">
        <v>462</v>
      </c>
      <c r="C36" t="s">
        <v>463</v>
      </c>
      <c r="D36" t="s">
        <v>472</v>
      </c>
    </row>
    <row r="37" spans="1:4">
      <c r="A37" t="s">
        <v>473</v>
      </c>
      <c r="B37" t="s">
        <v>464</v>
      </c>
      <c r="C37" t="s">
        <v>470</v>
      </c>
      <c r="D37" t="s">
        <v>469</v>
      </c>
    </row>
    <row r="38" spans="1:4">
      <c r="A38" t="s">
        <v>474</v>
      </c>
      <c r="B38" t="s">
        <v>462</v>
      </c>
      <c r="C38" t="s">
        <v>470</v>
      </c>
      <c r="D38" t="s">
        <v>462</v>
      </c>
    </row>
    <row r="39" spans="1:4">
      <c r="A39" t="s">
        <v>475</v>
      </c>
      <c r="B39" t="s">
        <v>464</v>
      </c>
      <c r="C39" t="s">
        <v>463</v>
      </c>
      <c r="D39" t="s">
        <v>462</v>
      </c>
    </row>
    <row r="40" spans="1:4">
      <c r="A40" t="s">
        <v>476</v>
      </c>
      <c r="B40" t="s">
        <v>464</v>
      </c>
      <c r="C40" t="s">
        <v>463</v>
      </c>
      <c r="D40" t="s">
        <v>469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46" sqref="N46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878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688</v>
      </c>
      <c r="B55" t="s">
        <v>689</v>
      </c>
    </row>
    <row r="56" spans="1:3">
      <c r="A56" t="s">
        <v>816</v>
      </c>
      <c r="B56" t="s">
        <v>166</v>
      </c>
    </row>
    <row r="58" spans="1:3">
      <c r="A58" t="s">
        <v>769</v>
      </c>
      <c r="B58" t="s">
        <v>770</v>
      </c>
    </row>
    <row r="59" spans="1:3">
      <c r="A59" t="s">
        <v>851</v>
      </c>
      <c r="B59" t="s">
        <v>853</v>
      </c>
      <c r="C59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156" workbookViewId="0">
      <selection activeCell="H163" sqref="H16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24">
        <f>6296.48-M5</f>
        <v>5153.62</v>
      </c>
      <c r="L5" s="425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33579</v>
      </c>
      <c r="L19" s="433"/>
      <c r="M19" s="1"/>
      <c r="N19" s="1"/>
      <c r="R19" s="3"/>
    </row>
    <row r="20" spans="1:18" ht="16.5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309</v>
      </c>
      <c r="K30" s="40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734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546.1099999999999</v>
      </c>
      <c r="B40" s="135">
        <f>SUM(B26:B39)</f>
        <v>1164</v>
      </c>
      <c r="C40" s="17" t="s">
        <v>51</v>
      </c>
      <c r="D40" s="135">
        <f>SUM(D26:D39)</f>
        <v>918.62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303</v>
      </c>
      <c r="K40" s="40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831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850</v>
      </c>
      <c r="K45" s="408"/>
      <c r="L45" s="231">
        <v>1142.8599999999999</v>
      </c>
      <c r="M45" s="112" t="s">
        <v>861</v>
      </c>
      <c r="N45" s="113">
        <f>L45-B187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859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870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873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874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875</v>
      </c>
      <c r="H50" s="112"/>
      <c r="I50" s="404" t="str">
        <f>AÑO!A13</f>
        <v>Gubernamental</v>
      </c>
      <c r="J50" s="407" t="s">
        <v>779</v>
      </c>
      <c r="K50" s="408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4" t="str">
        <f>AÑO!A14</f>
        <v>Mutualite/DKV</v>
      </c>
      <c r="J55" s="407" t="s">
        <v>871</v>
      </c>
      <c r="K55" s="408"/>
      <c r="L55" s="231">
        <v>146.94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5"/>
      <c r="J56" s="409" t="s">
        <v>345</v>
      </c>
      <c r="K56" s="410"/>
      <c r="L56" s="229">
        <f>21.94</f>
        <v>21.94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191.82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 t="s">
        <v>867</v>
      </c>
      <c r="K65" s="40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856</v>
      </c>
      <c r="H66" s="112"/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858</v>
      </c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/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/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42</v>
      </c>
      <c r="M72" s="1" t="s">
        <v>843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846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845</v>
      </c>
      <c r="K74">
        <f ca="1">DAY(TODAY())</f>
        <v>15</v>
      </c>
      <c r="L74">
        <f ca="1">K74*L73</f>
        <v>48.387096774193544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6.3870967741935445</v>
      </c>
      <c r="M75" s="1" t="s">
        <v>844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59.75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>
        <v>4.9000000000000004</v>
      </c>
      <c r="F86" s="138"/>
      <c r="G86" s="16" t="s">
        <v>865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865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872</v>
      </c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47.02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838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1.2899999999999991</v>
      </c>
      <c r="B109" s="134">
        <v>40</v>
      </c>
      <c r="C109" s="18" t="s">
        <v>839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182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840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5237.4515974244987</v>
      </c>
      <c r="B120" s="135">
        <f>SUM(B106:B119)</f>
        <v>853.47</v>
      </c>
      <c r="C120" s="17" t="s">
        <v>51</v>
      </c>
      <c r="D120" s="135">
        <f>SUM(D106:D119)</f>
        <v>367.54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746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841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85.59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842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881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>
        <v>64.95</v>
      </c>
      <c r="E186" s="138"/>
      <c r="F186" s="138"/>
      <c r="G186" s="16" t="s">
        <v>857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860</v>
      </c>
      <c r="D187" s="137">
        <v>25.99</v>
      </c>
      <c r="E187" s="138"/>
      <c r="F187" s="138"/>
      <c r="G187" s="16" t="s">
        <v>863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864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879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281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814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75">
      <c r="A286" s="112">
        <f>H286+(SUM(B286:B298)-SUM(D286:F298))</f>
        <v>80.579999999999771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866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867</v>
      </c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815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130.57999999999976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854</v>
      </c>
      <c r="H306" s="112"/>
    </row>
    <row r="307" spans="2:8" ht="15.75">
      <c r="B307" s="134">
        <f>L55</f>
        <v>146.94</v>
      </c>
      <c r="C307" s="27" t="s">
        <v>871</v>
      </c>
      <c r="D307" s="137">
        <v>32.369999999999997</v>
      </c>
      <c r="E307" s="138"/>
      <c r="F307" s="138"/>
      <c r="G307" s="16" t="s">
        <v>862</v>
      </c>
      <c r="H307" s="112"/>
    </row>
    <row r="308" spans="2:8" ht="15.75">
      <c r="B308" s="134">
        <f>L56</f>
        <v>21.94</v>
      </c>
      <c r="C308" s="27" t="s">
        <v>345</v>
      </c>
      <c r="D308" s="137"/>
      <c r="E308" s="138"/>
      <c r="F308" s="138">
        <v>80</v>
      </c>
      <c r="G308" s="16" t="s">
        <v>868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869</v>
      </c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298.88</v>
      </c>
      <c r="C320" s="17" t="s">
        <v>51</v>
      </c>
      <c r="D320" s="135">
        <f>SUM(D306:D319)</f>
        <v>277.62</v>
      </c>
      <c r="E320" s="135">
        <f>SUM(E306:E319)</f>
        <v>0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880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829</v>
      </c>
      <c r="H406" s="112"/>
    </row>
    <row r="407" spans="2:8" ht="15.75">
      <c r="B407" s="134">
        <v>0.63</v>
      </c>
      <c r="C407" s="16" t="s">
        <v>832</v>
      </c>
      <c r="D407" s="137">
        <v>4.45</v>
      </c>
      <c r="E407" s="138"/>
      <c r="F407" s="138"/>
      <c r="G407" s="16" t="s">
        <v>833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113">
        <f>AÑO!C17</f>
        <v>1745.7699999999998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-3956.5299999999988</v>
      </c>
      <c r="C426" s="19" t="s">
        <v>222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21.94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146.94</v>
      </c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-3956.5299999999988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830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808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zoomScaleNormal="100" workbookViewId="0">
      <selection activeCell="D506" sqref="D506:G5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6296.48-M5</f>
        <v>6296.48</v>
      </c>
      <c r="L5" s="425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34721.86</v>
      </c>
      <c r="L19" s="433"/>
      <c r="M19" s="1"/>
      <c r="N19" s="1"/>
      <c r="R19" s="3"/>
    </row>
    <row r="20" spans="1:18" ht="16.5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434.08999999999992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734</v>
      </c>
      <c r="D31" s="137"/>
      <c r="E31" s="138"/>
      <c r="F31" s="138"/>
      <c r="G31" s="16"/>
      <c r="H31" s="1"/>
      <c r="I31" s="405"/>
      <c r="J31" s="409" t="s">
        <v>231</v>
      </c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1710.11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779</v>
      </c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230</v>
      </c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834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838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41.29</v>
      </c>
      <c r="B109" s="134">
        <v>40</v>
      </c>
      <c r="C109" s="18" t="s">
        <v>839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'01'!A110+(B110-SUM(D110:F117))</f>
        <v>488.53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840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5762.0915974244999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D127+D128+'01'!I127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841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130.6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813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104.13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'01'!A257+(B257-SUM(D257:F257))</f>
        <v>402.77000000000004</v>
      </c>
      <c r="B257" s="134">
        <f>0</f>
        <v>0</v>
      </c>
      <c r="C257" s="16" t="s">
        <v>876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576.90000000000009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31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31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140.57999999999976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100</v>
      </c>
      <c r="B299" s="135">
        <v>50</v>
      </c>
      <c r="C299" s="17" t="s">
        <v>815</v>
      </c>
      <c r="D299" s="135"/>
      <c r="E299" s="139"/>
      <c r="F299" s="139"/>
      <c r="G299" s="17"/>
    </row>
    <row r="300" spans="1:8" ht="16.5" thickBot="1">
      <c r="A300" s="112">
        <f>SUM(A286:A299)</f>
        <v>240.57999999999976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877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75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-7801.4099999999962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434.08999999999992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19.870000000000005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224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1287.8800000000001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260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05"/>
      <c r="J46" s="409" t="s">
        <v>157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04" t="str">
        <f>AÑO!A13</f>
        <v>Gubernamental</v>
      </c>
      <c r="J50" s="407" t="s">
        <v>225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05"/>
      <c r="J51" s="409" t="s">
        <v>296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04" t="str">
        <f>AÑO!A14</f>
        <v>Mutualite/DKV</v>
      </c>
      <c r="J55" s="439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247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746</v>
      </c>
      <c r="I127" s="113">
        <f>D127+D128+'02'!I127</f>
        <v>15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75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75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438.09999999999991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19.920000000000005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1331.94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323</v>
      </c>
      <c r="K41" s="410"/>
      <c r="L41" s="229">
        <v>352.82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340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312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0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327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75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75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D127+D128+'03'!I127</f>
        <v>35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19.970000000000006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243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1208.18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351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04" t="str">
        <f>AÑO!A13</f>
        <v>Gubernamental</v>
      </c>
      <c r="J50" s="407" t="s">
        <v>361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480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481</v>
      </c>
      <c r="H55" s="1"/>
      <c r="I55" s="404" t="str">
        <f>AÑO!A14</f>
        <v>Mutualite/DKV</v>
      </c>
      <c r="J55" s="407" t="s">
        <v>355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482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483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-507.77000000000021</v>
      </c>
      <c r="B109" s="134">
        <f>67.53+120</f>
        <v>187.53</v>
      </c>
      <c r="C109" s="18" t="s">
        <v>487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D127+D128+'04'!I127</f>
        <v>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441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441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485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486</v>
      </c>
      <c r="D287" s="137">
        <v>54.8</v>
      </c>
      <c r="E287" s="138"/>
      <c r="F287" s="138"/>
      <c r="G287" s="16" t="s">
        <v>488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506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479</v>
      </c>
    </row>
    <row r="309" spans="2:7">
      <c r="B309" s="134">
        <v>170</v>
      </c>
      <c r="C309" s="16" t="s">
        <v>441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507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75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484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20.020000000000007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499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1252.2399999999998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491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503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27.2</v>
      </c>
      <c r="E48" s="138"/>
      <c r="F48" s="138"/>
      <c r="G48" s="16" t="s">
        <v>516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517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521</v>
      </c>
      <c r="H50" s="1"/>
      <c r="I50" s="404" t="str">
        <f>AÑO!A13</f>
        <v>Gubernamental</v>
      </c>
      <c r="J50" s="407" t="s">
        <v>512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528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530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536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541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545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500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513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501</v>
      </c>
      <c r="D67" s="137">
        <v>36.049999999999997</v>
      </c>
      <c r="E67" s="138"/>
      <c r="F67" s="138"/>
      <c r="G67" s="31" t="s">
        <v>524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525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527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531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532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539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495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497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514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515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535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537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538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543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D127+D128+'05'!I127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544</v>
      </c>
      <c r="H146" s="1"/>
      <c r="M146" s="1"/>
      <c r="R146" s="3"/>
    </row>
    <row r="147" spans="1:22" ht="15.75">
      <c r="A147" s="1"/>
      <c r="B147" s="134">
        <v>-60</v>
      </c>
      <c r="C147" s="16" t="s">
        <v>493</v>
      </c>
      <c r="D147" s="137"/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522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526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528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529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546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520</v>
      </c>
    </row>
    <row r="247" spans="1:7" ht="15" customHeight="1">
      <c r="A247" s="112"/>
      <c r="B247" s="134">
        <f>-10</f>
        <v>-10</v>
      </c>
      <c r="C247" s="16" t="s">
        <v>548</v>
      </c>
      <c r="D247" s="137">
        <v>12.99</v>
      </c>
      <c r="E247" s="138"/>
      <c r="F247" s="138"/>
      <c r="G247" s="16" t="s">
        <v>528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541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505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534</v>
      </c>
      <c r="H267" s="89" t="s">
        <v>533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540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508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519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489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498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510</v>
      </c>
    </row>
    <row r="308" spans="2:7">
      <c r="B308" s="134"/>
      <c r="C308" s="27"/>
      <c r="D308" s="137"/>
      <c r="E308" s="138"/>
      <c r="F308" s="138">
        <v>50</v>
      </c>
      <c r="G308" s="16" t="s">
        <v>511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490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502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523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541</v>
      </c>
    </row>
    <row r="369" spans="2:7">
      <c r="B369" s="134"/>
      <c r="C369" s="16"/>
      <c r="D369" s="137">
        <v>11</v>
      </c>
      <c r="E369" s="138"/>
      <c r="F369" s="138"/>
      <c r="G369" s="16" t="s">
        <v>542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504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496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20.070000000000007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499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560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1296.3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547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552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558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492</v>
      </c>
      <c r="D48" s="137">
        <v>8.1</v>
      </c>
      <c r="E48" s="138"/>
      <c r="F48" s="138"/>
      <c r="G48" s="16" t="s">
        <v>577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555</v>
      </c>
      <c r="D49" s="137">
        <v>2.5499999999999998</v>
      </c>
      <c r="E49" s="138"/>
      <c r="F49" s="138"/>
      <c r="G49" s="16" t="s">
        <v>586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582</v>
      </c>
      <c r="D50" s="137">
        <v>69.97</v>
      </c>
      <c r="E50" s="138"/>
      <c r="F50" s="138"/>
      <c r="G50" s="16" t="s">
        <v>597</v>
      </c>
      <c r="H50" s="1"/>
      <c r="I50" s="404" t="str">
        <f>AÑO!A13</f>
        <v>Gubernamental</v>
      </c>
      <c r="J50" s="407" t="s">
        <v>512</v>
      </c>
      <c r="K50" s="408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600</v>
      </c>
      <c r="D51" s="137">
        <v>5.29</v>
      </c>
      <c r="E51" s="138"/>
      <c r="F51" s="138"/>
      <c r="G51" s="16" t="s">
        <v>599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561</v>
      </c>
      <c r="K55" s="408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561</v>
      </c>
      <c r="K56" s="410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561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576</v>
      </c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562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584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583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596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585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591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602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605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D127+D128+'06'!I127</f>
        <v>65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557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565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571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573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574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587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598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552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570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595</v>
      </c>
    </row>
    <row r="247" spans="1:7" ht="15" customHeight="1">
      <c r="A247" s="112"/>
      <c r="B247" s="134">
        <v>-5</v>
      </c>
      <c r="C247" s="16" t="s">
        <v>582</v>
      </c>
      <c r="D247" s="137">
        <v>20</v>
      </c>
      <c r="E247" s="138"/>
      <c r="F247" s="138"/>
      <c r="G247" s="16" t="s">
        <v>597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580</v>
      </c>
      <c r="D257" s="137"/>
      <c r="E257" s="138">
        <v>100.67</v>
      </c>
      <c r="F257" s="138"/>
      <c r="G257" s="16" t="s">
        <v>606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589</v>
      </c>
      <c r="D258" s="137">
        <v>349</v>
      </c>
      <c r="E258" s="138"/>
      <c r="F258" s="138"/>
      <c r="G258" s="16" t="s">
        <v>556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558</v>
      </c>
    </row>
    <row r="287" spans="2:8">
      <c r="B287" s="134"/>
      <c r="C287" s="16"/>
      <c r="D287" s="137"/>
      <c r="E287" s="138"/>
      <c r="F287" s="138">
        <v>50</v>
      </c>
      <c r="G287" s="16" t="s">
        <v>567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568</v>
      </c>
    </row>
    <row r="289" spans="2:8">
      <c r="B289" s="134"/>
      <c r="C289" s="16"/>
      <c r="D289" s="137">
        <v>26.31</v>
      </c>
      <c r="E289" s="138"/>
      <c r="F289" s="138"/>
      <c r="G289" s="16" t="s">
        <v>570</v>
      </c>
    </row>
    <row r="290" spans="2:8">
      <c r="B290" s="134"/>
      <c r="C290" s="16"/>
      <c r="D290" s="137"/>
      <c r="E290" s="138">
        <v>31.95</v>
      </c>
      <c r="F290" s="138"/>
      <c r="G290" s="16" t="s">
        <v>588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549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551</v>
      </c>
    </row>
    <row r="308" spans="2:7">
      <c r="B308" s="134">
        <f>37.49+14.27+14.27</f>
        <v>66.03</v>
      </c>
      <c r="C308" s="27" t="s">
        <v>561</v>
      </c>
      <c r="D308" s="137">
        <f>37.5+37.5</f>
        <v>75</v>
      </c>
      <c r="E308" s="138"/>
      <c r="F308" s="138"/>
      <c r="G308" s="16" t="s">
        <v>578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575</v>
      </c>
    </row>
    <row r="327" spans="2:7">
      <c r="B327" s="134">
        <v>100</v>
      </c>
      <c r="C327" s="16" t="s">
        <v>566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592</v>
      </c>
      <c r="D358" s="137">
        <v>64.3</v>
      </c>
      <c r="E358" s="138"/>
      <c r="F358" s="138"/>
      <c r="G358" s="16" t="s">
        <v>590</v>
      </c>
    </row>
    <row r="359" spans="1:7" ht="16.5" thickBot="1">
      <c r="A359" s="112"/>
      <c r="B359" s="135">
        <f>12.64+6.66</f>
        <v>19.3</v>
      </c>
      <c r="C359" s="17" t="s">
        <v>600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554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601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550</v>
      </c>
    </row>
    <row r="407" spans="2:7">
      <c r="B407" s="134">
        <v>1</v>
      </c>
      <c r="C407" s="16" t="s">
        <v>547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601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608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20.120000000000008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276</v>
      </c>
      <c r="K35" s="408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1236.17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647</v>
      </c>
      <c r="K45" s="408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615</v>
      </c>
      <c r="H46" s="1"/>
      <c r="I46" s="405"/>
      <c r="J46" s="409" t="s">
        <v>648</v>
      </c>
      <c r="K46" s="410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612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593</v>
      </c>
      <c r="D48" s="137">
        <v>22.34</v>
      </c>
      <c r="E48" s="138"/>
      <c r="F48" s="138"/>
      <c r="G48" s="16" t="s">
        <v>616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75">
      <c r="A49" s="1"/>
      <c r="B49" s="134">
        <v>23.87</v>
      </c>
      <c r="C49" s="16" t="s">
        <v>600</v>
      </c>
      <c r="D49" s="137">
        <v>49.31</v>
      </c>
      <c r="E49" s="138"/>
      <c r="F49" s="138"/>
      <c r="G49" s="16" t="s">
        <v>622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629</v>
      </c>
      <c r="H50" s="1"/>
      <c r="I50" s="404" t="str">
        <f>AÑO!A13</f>
        <v>Gubernamental</v>
      </c>
      <c r="J50" s="407" t="s">
        <v>512</v>
      </c>
      <c r="K50" s="408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630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621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620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 t="s">
        <v>600</v>
      </c>
      <c r="D68" s="137">
        <v>19.5</v>
      </c>
      <c r="E68" s="138"/>
      <c r="F68" s="138">
        <v>5.5</v>
      </c>
      <c r="G68" s="16" t="s">
        <v>626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627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639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649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618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619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632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614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D127+D128+'07'!I127</f>
        <v>85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564</v>
      </c>
    </row>
    <row r="207" spans="2:12">
      <c r="B207" s="134"/>
      <c r="C207" s="16"/>
      <c r="D207" s="137">
        <v>23</v>
      </c>
      <c r="E207" s="138"/>
      <c r="F207" s="138"/>
      <c r="G207" s="16" t="s">
        <v>633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613</v>
      </c>
    </row>
    <row r="247" spans="1:7" ht="15" customHeight="1">
      <c r="A247" s="112"/>
      <c r="B247" s="134">
        <v>12.12</v>
      </c>
      <c r="C247" s="16" t="s">
        <v>600</v>
      </c>
      <c r="D247" s="137">
        <v>16.52</v>
      </c>
      <c r="E247" s="138"/>
      <c r="F247" s="138"/>
      <c r="G247" s="16" t="s">
        <v>628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634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581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609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203.38999999999973</v>
      </c>
      <c r="B286" s="133">
        <v>70</v>
      </c>
      <c r="C286" s="19" t="s">
        <v>31</v>
      </c>
      <c r="D286" s="137"/>
      <c r="E286" s="138"/>
      <c r="F286" s="138"/>
      <c r="G286" s="16" t="s">
        <v>563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640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637</v>
      </c>
      <c r="D299" s="135"/>
      <c r="E299" s="139"/>
      <c r="F299" s="139"/>
      <c r="G299" s="17"/>
    </row>
    <row r="300" spans="1:8" ht="16.5" thickBot="1">
      <c r="A300" s="112">
        <f>SUM(A286:A299)</f>
        <v>223.38999999999973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v>35.96</v>
      </c>
      <c r="E306" s="138"/>
      <c r="F306" s="138"/>
      <c r="G306" s="16" t="s">
        <v>623</v>
      </c>
    </row>
    <row r="307" spans="2:7">
      <c r="B307" s="134">
        <v>13.15</v>
      </c>
      <c r="C307" s="27" t="s">
        <v>631</v>
      </c>
      <c r="D307" s="137"/>
      <c r="E307" s="138"/>
      <c r="F307" s="138">
        <v>70</v>
      </c>
      <c r="G307" s="16" t="s">
        <v>625</v>
      </c>
    </row>
    <row r="308" spans="2:7">
      <c r="B308" s="134">
        <v>14.27</v>
      </c>
      <c r="C308" s="27" t="s">
        <v>643</v>
      </c>
      <c r="D308" s="137">
        <v>8.68</v>
      </c>
      <c r="E308" s="138"/>
      <c r="F308" s="138"/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611</v>
      </c>
    </row>
    <row r="327" spans="2:7">
      <c r="B327" s="134">
        <v>192.98</v>
      </c>
      <c r="C327" s="16" t="s">
        <v>650</v>
      </c>
      <c r="D327" s="137">
        <v>10</v>
      </c>
      <c r="E327" s="138"/>
      <c r="F327" s="138"/>
      <c r="G327" s="16" t="s">
        <v>613</v>
      </c>
    </row>
    <row r="328" spans="2:7">
      <c r="B328" s="134"/>
      <c r="C328" s="16"/>
      <c r="D328" s="137">
        <v>187.13</v>
      </c>
      <c r="E328" s="138"/>
      <c r="F328" s="138"/>
      <c r="G328" s="16" t="s">
        <v>617</v>
      </c>
    </row>
    <row r="329" spans="2:7">
      <c r="B329" s="134"/>
      <c r="C329" s="16"/>
      <c r="D329" s="137">
        <v>32.14</v>
      </c>
      <c r="E329" s="138"/>
      <c r="F329" s="138"/>
      <c r="G329" s="16" t="s">
        <v>641</v>
      </c>
    </row>
    <row r="330" spans="2:7">
      <c r="B330" s="134"/>
      <c r="C330" s="16"/>
      <c r="D330" s="137">
        <v>7.49</v>
      </c>
      <c r="E330" s="138"/>
      <c r="F330" s="138"/>
      <c r="G330" s="16" t="s">
        <v>642</v>
      </c>
    </row>
    <row r="331" spans="2:7">
      <c r="B331" s="134"/>
      <c r="C331" s="16"/>
      <c r="D331" s="137"/>
      <c r="E331" s="138">
        <v>192.98</v>
      </c>
      <c r="F331" s="138"/>
      <c r="G331" s="16" t="s">
        <v>645</v>
      </c>
    </row>
    <row r="332" spans="2:7">
      <c r="B332" s="134"/>
      <c r="C332" s="16"/>
      <c r="D332" s="137"/>
      <c r="E332" s="138">
        <v>96.65</v>
      </c>
      <c r="F332" s="138"/>
      <c r="G332" s="16" t="s">
        <v>646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610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601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600</v>
      </c>
      <c r="D506" s="137">
        <v>23.43</v>
      </c>
      <c r="E506" s="138"/>
      <c r="F506" s="138"/>
      <c r="G506" s="16" t="s">
        <v>624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2020-01-15T16:18:55Z</dcterms:modified>
</cp:coreProperties>
</file>