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A8192D4-504F-4FA0-B115-FB920B454AD9}" xr6:coauthVersionLast="41" xr6:coauthVersionMax="41" xr10:uidLastSave="{00000000-0000-0000-0000-000000000000}"/>
  <bookViews>
    <workbookView xWindow="-108" yWindow="12852" windowWidth="2216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7" l="1"/>
  <c r="G62" i="17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F366" i="11"/>
  <c r="I271" i="11" l="1"/>
  <c r="H257" i="12" l="1"/>
  <c r="P32" i="18"/>
  <c r="A359" i="12" l="1"/>
  <c r="A358" i="12"/>
  <c r="A346" i="12"/>
  <c r="A299" i="12"/>
  <c r="A300" i="12" s="1"/>
  <c r="A286" i="12"/>
  <c r="A257" i="12"/>
  <c r="A256" i="12"/>
  <c r="A129" i="12"/>
  <c r="A126" i="12"/>
  <c r="A79" i="12"/>
  <c r="A66" i="12"/>
  <c r="A360" i="12" l="1"/>
  <c r="A80" i="12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467" i="11"/>
  <c r="A466" i="1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A286" i="11"/>
  <c r="A300" i="11" s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80" i="11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<sst xmlns="http://schemas.openxmlformats.org/spreadsheetml/2006/main" count="5706" uniqueCount="841">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</sst>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AH1" activePane="topRight" state="frozen"/>
      <selection pane="topRight" activeCell="AI36" sqref="AI3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17864.099999999999</v>
      </c>
      <c r="AR5" s="387"/>
      <c r="AS5" s="387"/>
      <c r="AT5" s="388"/>
      <c r="AU5" s="386">
        <f>'12'!K19</f>
        <v>15101.890000000001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230</v>
      </c>
      <c r="D7" s="384"/>
      <c r="E7" s="384"/>
      <c r="F7" s="385"/>
      <c r="G7" s="383" t="s">
        <v>230</v>
      </c>
      <c r="H7" s="384"/>
      <c r="I7" s="384"/>
      <c r="J7" s="385"/>
      <c r="K7" s="383" t="s">
        <v>230</v>
      </c>
      <c r="L7" s="384"/>
      <c r="M7" s="384"/>
      <c r="N7" s="385"/>
      <c r="O7" s="383" t="s">
        <v>230</v>
      </c>
      <c r="P7" s="384"/>
      <c r="Q7" s="384"/>
      <c r="R7" s="385"/>
      <c r="S7" s="383" t="s">
        <v>230</v>
      </c>
      <c r="T7" s="384"/>
      <c r="U7" s="384"/>
      <c r="V7" s="385"/>
      <c r="W7" s="383" t="s">
        <v>230</v>
      </c>
      <c r="X7" s="384"/>
      <c r="Y7" s="384"/>
      <c r="Z7" s="385"/>
      <c r="AA7" s="383" t="s">
        <v>230</v>
      </c>
      <c r="AB7" s="384"/>
      <c r="AC7" s="384"/>
      <c r="AD7" s="385"/>
      <c r="AE7" s="383" t="s">
        <v>230</v>
      </c>
      <c r="AF7" s="384"/>
      <c r="AG7" s="384"/>
      <c r="AH7" s="385"/>
      <c r="AI7" s="383" t="s">
        <v>230</v>
      </c>
      <c r="AJ7" s="384"/>
      <c r="AK7" s="384"/>
      <c r="AL7" s="385"/>
      <c r="AM7" s="383" t="s">
        <v>230</v>
      </c>
      <c r="AN7" s="384"/>
      <c r="AO7" s="384"/>
      <c r="AP7" s="385"/>
      <c r="AQ7" s="383" t="s">
        <v>230</v>
      </c>
      <c r="AR7" s="384"/>
      <c r="AS7" s="384"/>
      <c r="AT7" s="385"/>
      <c r="AU7" s="383" t="s">
        <v>230</v>
      </c>
      <c r="AV7" s="384"/>
      <c r="AW7" s="384"/>
      <c r="AX7" s="385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0</v>
      </c>
      <c r="AN8" s="391"/>
      <c r="AO8" s="391"/>
      <c r="AP8" s="392"/>
      <c r="AQ8" s="390">
        <f>SUM('11'!L25:'11'!L29)</f>
        <v>0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374.86</v>
      </c>
      <c r="AN9" s="378"/>
      <c r="AO9" s="378"/>
      <c r="AP9" s="379"/>
      <c r="AQ9" s="377">
        <f>SUM('11'!L30:'11'!L34)</f>
        <v>0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5737.2500000000009</v>
      </c>
      <c r="BA9" s="112">
        <f t="shared" ca="1" si="0"/>
        <v>573.72500000000014</v>
      </c>
      <c r="BB9" s="1"/>
      <c r="BC9" s="1"/>
    </row>
    <row r="10" spans="1:55" ht="15.75">
      <c r="A10" s="190" t="s">
        <v>218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0.89</v>
      </c>
      <c r="AN11" s="378"/>
      <c r="AO11" s="378"/>
      <c r="AP11" s="379"/>
      <c r="AQ11" s="377">
        <f>SUM('11'!L40:'11'!L44)</f>
        <v>0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408.22999999999996</v>
      </c>
      <c r="BA11" s="112">
        <f t="shared" ca="1" si="0"/>
        <v>40.822999999999993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0</v>
      </c>
      <c r="AN13" s="378"/>
      <c r="AO13" s="378"/>
      <c r="AP13" s="379"/>
      <c r="AQ13" s="377">
        <f>SUM('11'!L50:'11'!L54)</f>
        <v>0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6281.9000000000005</v>
      </c>
      <c r="BA13" s="112">
        <f t="shared" ca="1" si="0"/>
        <v>628.19000000000005</v>
      </c>
      <c r="BB13" s="1"/>
      <c r="BC13" s="1"/>
    </row>
    <row r="14" spans="1:55" ht="15.75">
      <c r="A14" s="190" t="s">
        <v>216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0</v>
      </c>
      <c r="AN14" s="394"/>
      <c r="AO14" s="394"/>
      <c r="AP14" s="395"/>
      <c r="AQ14" s="393">
        <f>SUM('11'!L55:'11'!L59)</f>
        <v>0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0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925.75</v>
      </c>
      <c r="AN17" s="374"/>
      <c r="AO17" s="374"/>
      <c r="AP17" s="375"/>
      <c r="AQ17" s="373">
        <f>SUM(AQ8:AQ16)</f>
        <v>0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46103.659999999996</v>
      </c>
      <c r="BA17" s="112">
        <f ca="1">AZ17/BC$17</f>
        <v>4610.366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55324.392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0</v>
      </c>
      <c r="AP20" s="145">
        <f t="shared" ref="AP20:AP45" si="11">AL20+AN20-AO20</f>
        <v>1122.5999999999999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1627.78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2171.7799999999997</v>
      </c>
      <c r="AZ20" s="123">
        <f t="shared" ref="AZ20:AZ27" si="14">E20+I20+M20+Q20+U20+Y20+AC20+AG20+AK20+AO20+AS20+AW20</f>
        <v>5152.6400000000003</v>
      </c>
      <c r="BA20" s="21">
        <f t="shared" ref="BA20:BA45" si="15">AZ20/AZ$46</f>
        <v>0.12306501788305259</v>
      </c>
      <c r="BB20" s="22">
        <f>_xlfn.RANK.EQ(BA20,$BA$20:$BA$45,)</f>
        <v>2</v>
      </c>
      <c r="BC20" s="22">
        <f t="shared" ref="BC20:BC45" ca="1" si="16">AZ20/BC$17</f>
        <v>515.26400000000001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0.12637738522277836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673.82000000000028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2660.079999999999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3788.079999999999</v>
      </c>
      <c r="AZ21" s="152">
        <f t="shared" si="14"/>
        <v>10645.78</v>
      </c>
      <c r="BA21" s="21">
        <f t="shared" si="15"/>
        <v>0.25426249574568444</v>
      </c>
      <c r="BB21" s="22">
        <f t="shared" ref="BB21:BB45" si="20">_xlfn.RANK.EQ(BA21,$BA$20:$BA$45,)</f>
        <v>1</v>
      </c>
      <c r="BC21" s="22">
        <f t="shared" ca="1" si="16"/>
        <v>1064.578</v>
      </c>
      <c r="BE21" s="224">
        <f t="shared" ca="1" si="17"/>
        <v>11505</v>
      </c>
      <c r="BF21" s="21">
        <f t="shared" ca="1" si="18"/>
        <v>0.24954634838101777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859.21999999999957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30.310000000000006</v>
      </c>
      <c r="AP22" s="156">
        <f t="shared" si="11"/>
        <v>774.67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1074.67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1564.67</v>
      </c>
      <c r="AZ22" s="157">
        <f t="shared" si="14"/>
        <v>2657.6299999999997</v>
      </c>
      <c r="BA22" s="21">
        <f t="shared" si="15"/>
        <v>6.3474506947222578E-2</v>
      </c>
      <c r="BB22" s="22">
        <f t="shared" si="20"/>
        <v>6</v>
      </c>
      <c r="BC22" s="22">
        <f t="shared" ca="1" si="16"/>
        <v>265.76299999999998</v>
      </c>
      <c r="BE22" s="225">
        <f t="shared" ca="1" si="17"/>
        <v>3186.23</v>
      </c>
      <c r="BF22" s="21">
        <f t="shared" ca="1" si="18"/>
        <v>6.9110131386531964E-2</v>
      </c>
      <c r="BG22" s="22">
        <f t="shared" ca="1" si="21"/>
        <v>7</v>
      </c>
      <c r="BH22" s="22">
        <f t="shared" ca="1" si="19"/>
        <v>318.62299999999999</v>
      </c>
      <c r="BJ22" s="225">
        <f t="shared" ca="1" si="22"/>
        <v>528.5999999999998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0</v>
      </c>
      <c r="AP23" s="151">
        <f t="shared" si="11"/>
        <v>314.93000000000006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499.93000000000006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649.93000000000006</v>
      </c>
      <c r="AZ23" s="152">
        <f t="shared" si="14"/>
        <v>1637.1999999999998</v>
      </c>
      <c r="BA23" s="21">
        <f t="shared" si="15"/>
        <v>3.910268275643819E-2</v>
      </c>
      <c r="BB23" s="22">
        <f t="shared" si="20"/>
        <v>8</v>
      </c>
      <c r="BC23" s="22">
        <f t="shared" ca="1" si="16"/>
        <v>163.71999999999997</v>
      </c>
      <c r="BE23" s="224">
        <f t="shared" ca="1" si="17"/>
        <v>1910</v>
      </c>
      <c r="BF23" s="21">
        <f t="shared" ca="1" si="18"/>
        <v>4.1428381174075962E-2</v>
      </c>
      <c r="BG23" s="22">
        <f t="shared" ca="1" si="21"/>
        <v>9</v>
      </c>
      <c r="BH23" s="22">
        <f t="shared" ca="1" si="19"/>
        <v>191</v>
      </c>
      <c r="BJ23" s="224">
        <f t="shared" ca="1" si="22"/>
        <v>272.80000000000007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</v>
      </c>
      <c r="AP24" s="156">
        <f t="shared" si="11"/>
        <v>355.42999999999995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505.42999999999995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665.43</v>
      </c>
      <c r="AZ24" s="157">
        <f t="shared" si="14"/>
        <v>1254.5700000000002</v>
      </c>
      <c r="BA24" s="21">
        <f t="shared" si="15"/>
        <v>2.9963995056037543E-2</v>
      </c>
      <c r="BB24" s="22">
        <f t="shared" si="20"/>
        <v>11</v>
      </c>
      <c r="BC24" s="22">
        <f t="shared" ca="1" si="16"/>
        <v>125.45700000000002</v>
      </c>
      <c r="BE24" s="225">
        <f t="shared" ca="1" si="17"/>
        <v>1610</v>
      </c>
      <c r="BF24" s="21">
        <f t="shared" ca="1" si="18"/>
        <v>3.4921305596995966E-2</v>
      </c>
      <c r="BG24" s="22">
        <f t="shared" ca="1" si="21"/>
        <v>11</v>
      </c>
      <c r="BH24" s="22">
        <f t="shared" ca="1" si="19"/>
        <v>161</v>
      </c>
      <c r="BJ24" s="225">
        <f t="shared" ca="1" si="22"/>
        <v>355.42999999999995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457.47</v>
      </c>
      <c r="AO25" s="150">
        <f>SUM('10'!D120:F120)</f>
        <v>258.47000000000003</v>
      </c>
      <c r="AP25" s="151">
        <f t="shared" si="11"/>
        <v>4274.4799999999977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4731.949999999998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5136.949999999998</v>
      </c>
      <c r="AZ25" s="152">
        <f t="shared" si="14"/>
        <v>3268.8900000000003</v>
      </c>
      <c r="BA25" s="21">
        <f t="shared" si="15"/>
        <v>7.8073765352854416E-2</v>
      </c>
      <c r="BB25" s="22">
        <f t="shared" si="20"/>
        <v>5</v>
      </c>
      <c r="BC25" s="22">
        <f t="shared" ca="1" si="16"/>
        <v>326.88900000000001</v>
      </c>
      <c r="BE25" s="224">
        <f t="shared" ca="1" si="17"/>
        <v>4380.82</v>
      </c>
      <c r="BF25" s="21">
        <f t="shared" ca="1" si="18"/>
        <v>9.502108943194526E-2</v>
      </c>
      <c r="BG25" s="22">
        <f t="shared" ca="1" si="21"/>
        <v>4</v>
      </c>
      <c r="BH25" s="22">
        <f t="shared" ca="1" si="19"/>
        <v>438.08199999999999</v>
      </c>
      <c r="BJ25" s="224">
        <f t="shared" ca="1" si="22"/>
        <v>1111.9299999999994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10</v>
      </c>
      <c r="AP26" s="156">
        <f t="shared" si="11"/>
        <v>75.559999999999974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128.55999999999997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176.55999999999997</v>
      </c>
      <c r="AZ26" s="157">
        <f t="shared" si="14"/>
        <v>469.43000000000006</v>
      </c>
      <c r="BA26" s="21">
        <f t="shared" si="15"/>
        <v>1.1211808188587089E-2</v>
      </c>
      <c r="BB26" s="22">
        <f t="shared" si="20"/>
        <v>16</v>
      </c>
      <c r="BC26" s="22">
        <f t="shared" ca="1" si="16"/>
        <v>46.943000000000005</v>
      </c>
      <c r="BE26" s="225">
        <f t="shared" ca="1" si="17"/>
        <v>525.45000000000005</v>
      </c>
      <c r="BF26" s="21">
        <f t="shared" ca="1" si="18"/>
        <v>1.1397142873255611E-2</v>
      </c>
      <c r="BG26" s="22">
        <f t="shared" ca="1" si="21"/>
        <v>16</v>
      </c>
      <c r="BH26" s="22">
        <f t="shared" ca="1" si="19"/>
        <v>52.545000000000002</v>
      </c>
      <c r="BJ26" s="225">
        <f t="shared" ca="1" si="22"/>
        <v>56.020000000000024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9.5167694668521624E-3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9.5437108463839911E-3</v>
      </c>
      <c r="BG27" s="22">
        <f t="shared" ca="1" si="21"/>
        <v>18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8.1207329961726082E-2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7.9820994688924868E-2</v>
      </c>
      <c r="BG28" s="22">
        <f t="shared" ca="1" si="21"/>
        <v>6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140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210</v>
      </c>
      <c r="AZ29" s="152">
        <f t="shared" si="23"/>
        <v>823.99</v>
      </c>
      <c r="BA29" s="21">
        <f t="shared" si="15"/>
        <v>1.9680075473050028E-2</v>
      </c>
      <c r="BB29" s="22">
        <f t="shared" si="20"/>
        <v>13</v>
      </c>
      <c r="BC29" s="22">
        <f t="shared" ca="1" si="16"/>
        <v>82.399000000000001</v>
      </c>
      <c r="BE29" s="224">
        <f t="shared" ca="1" si="17"/>
        <v>940.66000000000008</v>
      </c>
      <c r="BF29" s="21">
        <f t="shared" ca="1" si="18"/>
        <v>2.0403152374453559E-2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116.66999999999993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5.7978110427103413E-3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8.4591982502039923E-3</v>
      </c>
      <c r="BG30" s="22">
        <f t="shared" ca="1" si="21"/>
        <v>19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4.7605342823193618E-3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4.3380503847199959E-3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16.580000000000002</v>
      </c>
      <c r="AP32" s="161">
        <f t="shared" si="11"/>
        <v>553.1999999999997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648.1999999999997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698.1999999999997</v>
      </c>
      <c r="AZ32" s="157">
        <f t="shared" si="23"/>
        <v>1669.88</v>
      </c>
      <c r="BA32" s="21">
        <f t="shared" si="15"/>
        <v>3.9883207843465066E-2</v>
      </c>
      <c r="BB32" s="22">
        <f t="shared" si="20"/>
        <v>7</v>
      </c>
      <c r="BC32" s="22">
        <f t="shared" ca="1" si="16"/>
        <v>166.988</v>
      </c>
      <c r="BE32" s="225">
        <f t="shared" ca="1" si="17"/>
        <v>2237.33</v>
      </c>
      <c r="BF32" s="21">
        <f t="shared" ca="1" si="18"/>
        <v>4.8528251336227943E-2</v>
      </c>
      <c r="BG32" s="22">
        <f t="shared" ca="1" si="21"/>
        <v>8</v>
      </c>
      <c r="BH32" s="22">
        <f t="shared" ca="1" si="19"/>
        <v>223.733</v>
      </c>
      <c r="BJ32" s="225">
        <f t="shared" ca="1" si="22"/>
        <v>567.4499999999997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0.10709172005708245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9.9166530379583701E-2</v>
      </c>
      <c r="BG33" s="22">
        <f t="shared" ca="1" si="21"/>
        <v>3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174.35999999999981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264.35999999999979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354.35999999999979</v>
      </c>
      <c r="AZ34" s="152">
        <f t="shared" si="23"/>
        <v>1251.6500000000001</v>
      </c>
      <c r="BA34" s="21">
        <f t="shared" si="15"/>
        <v>2.9894254136388874E-2</v>
      </c>
      <c r="BB34" s="22">
        <f t="shared" si="20"/>
        <v>12</v>
      </c>
      <c r="BC34" s="22">
        <f t="shared" ca="1" si="16"/>
        <v>125.16500000000001</v>
      </c>
      <c r="BE34" s="225">
        <f t="shared" ca="1" si="17"/>
        <v>1324.4099999999999</v>
      </c>
      <c r="BF34" s="21">
        <f t="shared" ca="1" si="18"/>
        <v>2.8726786550135046E-2</v>
      </c>
      <c r="BG34" s="22">
        <f t="shared" ca="1" si="21"/>
        <v>13</v>
      </c>
      <c r="BH34" s="22">
        <f t="shared" ca="1" si="19"/>
        <v>132.44099999999997</v>
      </c>
      <c r="BJ34" s="225">
        <f t="shared" ca="1" si="22"/>
        <v>72.759999999999906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1880.2800000000004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2010.2800000000004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2125.2800000000007</v>
      </c>
      <c r="AZ35" s="188">
        <f t="shared" si="23"/>
        <v>1278.75</v>
      </c>
      <c r="BA35" s="21">
        <f t="shared" si="15"/>
        <v>3.0541507192032333E-2</v>
      </c>
      <c r="BB35" s="22">
        <f t="shared" si="20"/>
        <v>9</v>
      </c>
      <c r="BC35" s="22">
        <f t="shared" ca="1" si="16"/>
        <v>127.875</v>
      </c>
      <c r="BE35" s="224">
        <f t="shared" ca="1" si="17"/>
        <v>1669.43</v>
      </c>
      <c r="BF35" s="21">
        <f t="shared" ca="1" si="18"/>
        <v>3.6210357268815517E-2</v>
      </c>
      <c r="BG35" s="22">
        <f t="shared" ca="1" si="21"/>
        <v>10</v>
      </c>
      <c r="BH35" s="22">
        <f t="shared" ca="1" si="19"/>
        <v>166.94300000000001</v>
      </c>
      <c r="BJ35" s="224">
        <f t="shared" ca="1" si="22"/>
        <v>390.68000000000006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3.0081026051338382E-2</v>
      </c>
      <c r="BB36" s="22">
        <f t="shared" si="20"/>
        <v>10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3.381445204133466E-2</v>
      </c>
      <c r="BG36" s="22">
        <f t="shared" ca="1" si="21"/>
        <v>12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1.0316640493918566E-2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1.1372199083543469E-2</v>
      </c>
      <c r="BG37" s="22">
        <f t="shared" ca="1" si="21"/>
        <v>17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4</v>
      </c>
      <c r="AP38" s="156">
        <f t="shared" si="11"/>
        <v>179.73000000000008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244.73000000000008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314.73000000000008</v>
      </c>
      <c r="AZ38" s="157">
        <f t="shared" si="23"/>
        <v>579.47</v>
      </c>
      <c r="BA38" s="21">
        <f t="shared" si="15"/>
        <v>1.3839989968771829E-2</v>
      </c>
      <c r="BB38" s="22">
        <f t="shared" si="20"/>
        <v>14</v>
      </c>
      <c r="BC38" s="22">
        <f t="shared" ca="1" si="16"/>
        <v>57.947000000000003</v>
      </c>
      <c r="BE38" s="225">
        <f t="shared" ca="1" si="17"/>
        <v>720</v>
      </c>
      <c r="BF38" s="21">
        <f t="shared" ca="1" si="18"/>
        <v>1.5616981384991985E-2</v>
      </c>
      <c r="BG38" s="22">
        <f t="shared" ca="1" si="21"/>
        <v>15</v>
      </c>
      <c r="BH38" s="22">
        <f t="shared" ca="1" si="19"/>
        <v>72</v>
      </c>
      <c r="BJ38" s="225">
        <f t="shared" ca="1" si="22"/>
        <v>140.53000000000003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56.259999999999991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76.259999999999991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-1138.74</v>
      </c>
      <c r="BF39" s="21">
        <f t="shared" ca="1" si="18"/>
        <v>-2.4699557475480242E-2</v>
      </c>
      <c r="BG39" s="22">
        <f t="shared" ca="1" si="21"/>
        <v>25</v>
      </c>
      <c r="BH39" s="22">
        <f t="shared" ca="1" si="19"/>
        <v>-113.874</v>
      </c>
      <c r="BJ39" s="224">
        <f t="shared" ca="1" si="22"/>
        <v>-1138.74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50.89</v>
      </c>
      <c r="AO40" s="166">
        <f>SUM('10'!D420:F420)</f>
        <v>3.15</v>
      </c>
      <c r="AP40" s="156">
        <f t="shared" si="11"/>
        <v>122.4800000000006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172.48000000000059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192.48000000000059</v>
      </c>
      <c r="AZ40" s="157">
        <f t="shared" si="23"/>
        <v>170.47000000000003</v>
      </c>
      <c r="BA40" s="21">
        <f t="shared" si="15"/>
        <v>4.071484442639885E-3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-511.56000000000006</v>
      </c>
      <c r="BF40" s="21">
        <f t="shared" ca="1" si="18"/>
        <v>-1.1095865274036807E-2</v>
      </c>
      <c r="BG40" s="22">
        <f t="shared" ca="1" si="21"/>
        <v>24</v>
      </c>
      <c r="BH40" s="22">
        <f t="shared" ca="1" si="19"/>
        <v>-51.156000000000006</v>
      </c>
      <c r="BJ40" s="225">
        <f t="shared" ca="1" si="22"/>
        <v>-682.02999999999986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-2975.14</v>
      </c>
      <c r="AO41" s="165">
        <f>SUM('10'!D440:F440)</f>
        <v>0</v>
      </c>
      <c r="AP41" s="151">
        <f t="shared" si="11"/>
        <v>5189.7000000000025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1289.7000000000025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-2610.2999999999975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-3360.2999999999965</v>
      </c>
      <c r="BF41" s="21">
        <f t="shared" ca="1" si="18"/>
        <v>-7.2885753538872944E-2</v>
      </c>
      <c r="BG41" s="22">
        <f t="shared" ca="1" si="21"/>
        <v>26</v>
      </c>
      <c r="BH41" s="22">
        <f t="shared" ca="1" si="19"/>
        <v>-336.02999999999963</v>
      </c>
      <c r="BJ41" s="224">
        <f t="shared" ca="1" si="22"/>
        <v>-3360.2999999999956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8.7763964943347192E-2</v>
      </c>
      <c r="BG42" s="22">
        <f t="shared" ca="1" si="21"/>
        <v>5</v>
      </c>
      <c r="BH42" s="22">
        <f t="shared" ca="1" si="19"/>
        <v>404.62400000000002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86.35</v>
      </c>
      <c r="AO43" s="149">
        <f>SUM('10'!D480:F480)</f>
        <v>0</v>
      </c>
      <c r="AP43" s="151">
        <f t="shared" si="11"/>
        <v>309.98000000000013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396.33000000000015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446.33000000000015</v>
      </c>
      <c r="AZ43" s="152">
        <f t="shared" si="23"/>
        <v>500</v>
      </c>
      <c r="BA43" s="21">
        <f t="shared" si="15"/>
        <v>1.1941938296004822E-2</v>
      </c>
      <c r="BB43" s="22">
        <f t="shared" si="20"/>
        <v>15</v>
      </c>
      <c r="BC43" s="22">
        <f t="shared" ca="1" si="16"/>
        <v>50</v>
      </c>
      <c r="BE43" s="224">
        <f t="shared" ca="1" si="17"/>
        <v>-153.01999999999995</v>
      </c>
      <c r="BF43" s="21">
        <f t="shared" ca="1" si="18"/>
        <v>-3.3190423493492677E-3</v>
      </c>
      <c r="BG43" s="22">
        <f t="shared" ca="1" si="21"/>
        <v>23</v>
      </c>
      <c r="BH43" s="22">
        <f t="shared" ca="1" si="19"/>
        <v>-15.301999999999996</v>
      </c>
      <c r="BJ43" s="224">
        <f t="shared" ca="1" si="22"/>
        <v>-653.01999999999987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2.2214393618228169E-3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4.3380503847199962E-4</v>
      </c>
      <c r="BG45" s="22">
        <f t="shared" ca="1" si="21"/>
        <v>21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925.75000000000057</v>
      </c>
      <c r="AO46" s="219">
        <f>SUM(AO20:AO45)</f>
        <v>397.27</v>
      </c>
      <c r="AP46" s="220">
        <f>SUM(AP20:AP45)</f>
        <v>30617.949999999997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30617.95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30617.95</v>
      </c>
      <c r="AZ46" s="227">
        <f>SUM(AZ20:AZ45)</f>
        <v>41869.250000000007</v>
      </c>
      <c r="BA46" s="1"/>
      <c r="BB46" s="1"/>
      <c r="BC46" s="124">
        <f ca="1">SUM(BC20:BC45)</f>
        <v>4186.9250000000002</v>
      </c>
      <c r="BE46" s="227">
        <f ca="1">SUM(BE20:BE45)</f>
        <v>46103.660000000025</v>
      </c>
      <c r="BF46" s="1"/>
      <c r="BG46" s="1"/>
      <c r="BH46" s="124">
        <f ca="1">SUM(BH20:BH45)</f>
        <v>4610.3660000000009</v>
      </c>
      <c r="BJ46" s="227">
        <f ca="1">SUM(BJ20:BJ45)</f>
        <v>4234.4100000000062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0</v>
      </c>
      <c r="AO47" s="125">
        <f>AM17-AO46</f>
        <v>528.48</v>
      </c>
      <c r="AP47" s="125"/>
      <c r="AQ47" s="125">
        <f>AQ5-AP46</f>
        <v>-12753.849999999999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-15516.06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50243.100000000006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30.310000000000006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68" t="s">
        <v>257</v>
      </c>
      <c r="M54" s="369"/>
      <c r="N54" s="100">
        <v>70</v>
      </c>
      <c r="O54" s="95"/>
      <c r="P54" s="358"/>
      <c r="Q54" s="359"/>
      <c r="R54" s="102"/>
      <c r="S54" s="95">
        <v>43594</v>
      </c>
      <c r="T54" s="368" t="s">
        <v>243</v>
      </c>
      <c r="U54" s="369"/>
      <c r="V54" s="103"/>
      <c r="W54" s="95">
        <v>43624</v>
      </c>
      <c r="X54" s="368" t="s">
        <v>153</v>
      </c>
      <c r="Y54" s="369"/>
      <c r="Z54" s="104">
        <v>10</v>
      </c>
      <c r="AA54" s="95"/>
      <c r="AB54" s="362" t="s">
        <v>476</v>
      </c>
      <c r="AC54" s="363"/>
      <c r="AD54" s="239">
        <v>15</v>
      </c>
      <c r="AE54" s="95"/>
      <c r="AF54" s="362" t="s">
        <v>476</v>
      </c>
      <c r="AG54" s="363"/>
      <c r="AH54" s="239">
        <v>14</v>
      </c>
      <c r="AI54" s="95"/>
      <c r="AJ54" s="362" t="s">
        <v>476</v>
      </c>
      <c r="AK54" s="363"/>
      <c r="AL54" s="239">
        <v>15</v>
      </c>
      <c r="AM54" s="95"/>
      <c r="AN54" s="362" t="s">
        <v>476</v>
      </c>
      <c r="AO54" s="363"/>
      <c r="AP54" s="239">
        <v>14</v>
      </c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>
        <v>43740</v>
      </c>
      <c r="AN55" s="364" t="s">
        <v>153</v>
      </c>
      <c r="AO55" s="365"/>
      <c r="AP55" s="100">
        <v>10</v>
      </c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2" t="s">
        <v>235</v>
      </c>
      <c r="Q56" s="363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0" t="s">
        <v>389</v>
      </c>
      <c r="Q57" s="371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>
        <v>43733</v>
      </c>
      <c r="AJ57" s="364" t="s">
        <v>151</v>
      </c>
      <c r="AK57" s="365"/>
      <c r="AL57" s="100">
        <v>10</v>
      </c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0" t="s">
        <v>389</v>
      </c>
      <c r="M60" s="371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2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6" t="s">
        <v>566</v>
      </c>
      <c r="U71" s="367"/>
      <c r="V71" s="101">
        <v>1872.17</v>
      </c>
      <c r="W71" s="97"/>
      <c r="X71" s="366" t="s">
        <v>564</v>
      </c>
      <c r="Y71" s="367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</v>
      </c>
      <c r="D75">
        <f>C75*D74</f>
        <v>3.225806451612903</v>
      </c>
      <c r="Z75" s="111"/>
    </row>
    <row r="76" spans="1:50">
      <c r="D76">
        <f>D75-D73</f>
        <v>0.22580645161290303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22" workbookViewId="0">
      <selection activeCell="G332" sqref="G33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800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790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2"/>
      <c r="J46" s="406" t="s">
        <v>832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1" t="str">
        <f>AÑO!A13</f>
        <v>Gubernamental</v>
      </c>
      <c r="J50" s="404" t="s">
        <v>798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799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315" workbookViewId="0">
      <selection activeCell="F327" sqref="F3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1134.5999999999999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30.310000000000006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202.88000000000005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294.93000000000006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704.3</v>
      </c>
      <c r="B120" s="135">
        <f>SUM(B106:B119)</f>
        <v>457.47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33.42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563.20000000000005</v>
      </c>
      <c r="B260" s="135">
        <f>SUM(B246:B259)</f>
        <v>95</v>
      </c>
      <c r="C260" s="17" t="s">
        <v>53</v>
      </c>
      <c r="D260" s="135">
        <f>SUM(D246:D259)</f>
        <v>16.580000000000002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74.359999999999815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174.35999999999981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</f>
        <v>4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50.89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925.75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-2975.14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-2975.14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96.580000000000013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309.98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36" workbookViewId="0">
      <selection activeCell="H258" sqref="H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/>
      <c r="L9" s="425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60.47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17864.099999999999</v>
      </c>
      <c r="L19" s="440"/>
      <c r="M19" s="1"/>
      <c r="N19" s="1"/>
      <c r="R19" s="3"/>
    </row>
    <row r="20" spans="1:18" ht="16.5" thickBot="1">
      <c r="A20" s="112">
        <f>SUM(A6:A15)</f>
        <v>1639.78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2660.08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377.88000000000005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479.93000000000006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140.20000000000005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1081.77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16.059999999999999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83.42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658.2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124.35999999999981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264.35999999999979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167.93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396.33000000000004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550</v>
      </c>
      <c r="L6" s="42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659.77</v>
      </c>
      <c r="L9" s="425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90.7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15101.890000000001</v>
      </c>
      <c r="L19" s="431"/>
      <c r="M19" s="1"/>
      <c r="N19" s="1"/>
      <c r="R19" s="3"/>
    </row>
    <row r="20" spans="1:18" ht="16.5" thickBot="1">
      <c r="A20" s="112">
        <f>SUM(A6:A15)</f>
        <v>2183.7800000000002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3788.08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211.20000000000005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1461.24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187.93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446.33000000000004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6" workbookViewId="0">
      <selection activeCell="K56" sqref="K56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3360+300+F62</f>
        <v>6620</v>
      </c>
      <c r="H62">
        <f>D62-G62</f>
        <v>2866.9199999999819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F19" sqref="F1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1533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43742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137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43742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43770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588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43742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>
        <v>43770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3.7170263788968823E-2</v>
      </c>
      <c r="X13" s="119">
        <f ca="1">W13*E13</f>
        <v>149.39728711031174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3.2973621103117509E-2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8.3932853717026377E-3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0.52098321342925658</v>
      </c>
      <c r="X19" s="119">
        <f t="shared" ca="1" si="2"/>
        <v>2304.517104604317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0.37889688249400477</v>
      </c>
      <c r="X20" s="119">
        <f t="shared" ca="1" si="2"/>
        <v>227.56546762589929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0.17266187050359713</v>
      </c>
      <c r="X25" s="119">
        <f t="shared" ca="1" si="2"/>
        <v>104.97206779856116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588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43742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4">
        <f ca="1">P28/E28</f>
        <v>7.3126326345533968E-2</v>
      </c>
      <c r="R28" s="275" t="s">
        <v>517</v>
      </c>
      <c r="S28" s="59">
        <f ca="1">Q28+Q29+Q30+Q34</f>
        <v>9.75314804343623E-2</v>
      </c>
      <c r="T28" s="59">
        <f>(L28/L5)-1</f>
        <v>-5.0000000000000044E-2</v>
      </c>
      <c r="W28" s="39">
        <f t="shared" ca="1" si="0"/>
        <v>0.35251798561151076</v>
      </c>
      <c r="X28" s="119">
        <f t="shared" ca="1" si="2"/>
        <v>1814.7953317985612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1.3189448441247002E-2</v>
      </c>
      <c r="X33" s="119">
        <f t="shared" ca="1" si="2"/>
        <v>54.46089712230215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137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43742</v>
      </c>
      <c r="L35" s="302">
        <v>65.5</v>
      </c>
      <c r="M35" s="264">
        <f>(H35*L35)</f>
        <v>4061</v>
      </c>
      <c r="N35" s="264">
        <f>-(IF((M35*0.0075)&lt;30,30,(M35*0.0075)) + (M35*0.0035))</f>
        <v>-44.670999999999999</v>
      </c>
      <c r="O35" s="272">
        <f>J35+N35</f>
        <v>-89.157859999999999</v>
      </c>
      <c r="P35" s="273">
        <f ca="1">IF(K35=0,0,M35-E35+N35)</f>
        <v>-72.417860000000189</v>
      </c>
      <c r="Q35" s="274">
        <f ca="1">P35/E35</f>
        <v>-1.7711504888810892E-2</v>
      </c>
      <c r="R35" s="275" t="s">
        <v>412</v>
      </c>
      <c r="T35" s="59">
        <f>(L35/L4)-1</f>
        <v>-3.0060713756848823E-2</v>
      </c>
      <c r="W35" s="39">
        <f t="shared" ca="1" si="0"/>
        <v>8.2134292565947245E-2</v>
      </c>
      <c r="X35" s="119">
        <f t="shared" ca="1" si="2"/>
        <v>335.82633082733815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2667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-376.69825900000001</v>
      </c>
      <c r="O42" s="315">
        <f>SUM(O13:O41)</f>
        <v>-562.89639699999998</v>
      </c>
      <c r="P42" s="315">
        <f ca="1">SUM(P13:P41)</f>
        <v>3949.5119830000003</v>
      </c>
      <c r="Q42" s="326">
        <f ca="1">SUM(Q13:Q41)</f>
        <v>3.978780527617793</v>
      </c>
      <c r="R42" s="317"/>
      <c r="W42" s="327">
        <f ca="1">SUM(W13:W41)</f>
        <v>1.5989208633093523</v>
      </c>
      <c r="X42" s="328">
        <f ca="1">SUM(X13:X41)</f>
        <v>4991.5344868872908</v>
      </c>
      <c r="Y42" s="329">
        <f ca="1">P42/X42</f>
        <v>0.7912420505909209</v>
      </c>
      <c r="Z42" s="329">
        <f ca="1">Y42/(D$43/365)</f>
        <v>0.17314349428398448</v>
      </c>
    </row>
    <row r="43" spans="1:26">
      <c r="C43" s="119" t="s">
        <v>568</v>
      </c>
      <c r="D43" s="46">
        <f ca="1">_xlfn.DAYS(TODAY(),F13)</f>
        <v>1668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-22.280131960754311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-25.068864019622936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-19.696964586846594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-5.3718994327763436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-72.417860000000189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291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1" t="str">
        <f>AÑO!A9</f>
        <v>Rocío Salario</v>
      </c>
      <c r="J30" s="404" t="s">
        <v>238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256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267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218</v>
      </c>
      <c r="J35" s="404" t="s">
        <v>306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239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240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269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299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1" t="str">
        <f>AÑO!A13</f>
        <v>Gubernamental</v>
      </c>
      <c r="J50" s="404" t="s">
        <v>259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296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314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319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314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315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238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379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2"/>
      <c r="J51" s="406" t="s">
        <v>417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366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444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362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472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1" t="str">
        <f>AÑO!A13</f>
        <v>Gubernamental</v>
      </c>
      <c r="J50" s="404" t="s">
        <v>483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1" t="str">
        <f>AÑO!A14</f>
        <v>Mutualite/DKV</v>
      </c>
      <c r="J55" s="404" t="s">
        <v>477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626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627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675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689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689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689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704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397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776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2"/>
      <c r="J46" s="406" t="s">
        <v>777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1" t="str">
        <f>AÑO!A13</f>
        <v>Gubernamental</v>
      </c>
      <c r="J50" s="404" t="s">
        <v>639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2019-10-04T14:01:22Z</dcterms:modified>
</cp:coreProperties>
</file>