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479D9ADC-8AC2-41A4-82B2-4FAAC70CC026}" xr6:coauthVersionLast="41" xr6:coauthVersionMax="41" xr10:uidLastSave="{00000000-0000-0000-0000-000000000000}"/>
  <bookViews>
    <workbookView xWindow="12" yWindow="12972" windowWidth="21984" windowHeight="12936" firstSheet="1" activeTab="8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8" i="9" l="1"/>
  <c r="A286" i="10" l="1"/>
  <c r="A299" i="10"/>
  <c r="A286" i="9"/>
  <c r="A300" i="9" s="1"/>
  <c r="A299" i="9"/>
  <c r="F366" i="9"/>
  <c r="A300" i="10" l="1"/>
  <c r="A427" i="9"/>
  <c r="D67" i="9" l="1"/>
  <c r="H25" i="15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26" i="15"/>
  <c r="O27" i="15"/>
  <c r="O28" i="15"/>
  <c r="O29" i="15"/>
  <c r="O26" i="15"/>
  <c r="B5" i="19"/>
  <c r="B6" i="19"/>
  <c r="A109" i="9"/>
  <c r="A108" i="9"/>
  <c r="A467" i="9"/>
  <c r="D246" i="9" l="1"/>
  <c r="P32" i="18" l="1"/>
  <c r="D366" i="8"/>
  <c r="A359" i="10"/>
  <c r="A358" i="10"/>
  <c r="A346" i="10"/>
  <c r="H257" i="10"/>
  <c r="A257" i="10"/>
  <c r="A256" i="10"/>
  <c r="A79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H48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1" i="10"/>
  <c r="K19" i="10" s="1"/>
  <c r="L20" i="10" s="1"/>
  <c r="B2" i="10"/>
  <c r="B4" i="19"/>
  <c r="A359" i="9"/>
  <c r="A358" i="9"/>
  <c r="A346" i="9"/>
  <c r="B359" i="8"/>
  <c r="K11" i="9"/>
  <c r="B3" i="1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A246" i="9" s="1"/>
  <c r="A246" i="10" s="1"/>
  <c r="A260" i="10" s="1"/>
  <c r="H257" i="9"/>
  <c r="H257" i="8"/>
  <c r="A256" i="9"/>
  <c r="A129" i="9"/>
  <c r="A129" i="10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Z79" i="1"/>
  <c r="Z80" i="1"/>
  <c r="Z81" i="1"/>
  <c r="Z78" i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G20" i="17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A140" i="10" s="1"/>
  <c r="B308" i="4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25" i="15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A66" i="9" l="1"/>
  <c r="A66" i="10" s="1"/>
  <c r="A80" i="10" s="1"/>
  <c r="B467" i="2"/>
  <c r="A79" i="2" l="1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1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09" i="5" l="1"/>
  <c r="A109" i="6" s="1"/>
  <c r="A109" i="7" s="1"/>
  <c r="A109" i="8" s="1"/>
  <c r="A109" i="10" s="1"/>
  <c r="A109" i="11" s="1"/>
  <c r="A109" i="12" s="1"/>
  <c r="A109" i="13" s="1"/>
  <c r="A108" i="5"/>
  <c r="A108" i="6" s="1"/>
  <c r="A108" i="7" s="1"/>
  <c r="A108" i="8" s="1"/>
  <c r="A108" i="10" s="1"/>
  <c r="A108" i="11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1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66" i="11" l="1"/>
  <c r="A480" i="10"/>
  <c r="A106" i="8"/>
  <c r="A120" i="7"/>
  <c r="A6" i="11"/>
  <c r="A20" i="10"/>
  <c r="A466" i="12" l="1"/>
  <c r="A480" i="11"/>
  <c r="A106" i="9"/>
  <c r="A120" i="8"/>
  <c r="A6" i="12"/>
  <c r="A20" i="11"/>
  <c r="O5" i="11"/>
  <c r="A466" i="13" l="1"/>
  <c r="A480" i="13" s="1"/>
  <c r="A480" i="12"/>
  <c r="A106" i="10"/>
  <c r="A120" i="9"/>
  <c r="A6" i="13"/>
  <c r="A20" i="13" s="1"/>
  <c r="A20" i="12"/>
  <c r="A106" i="11" l="1"/>
  <c r="A120" i="10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C25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N10" i="14" s="1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N11" i="14" l="1"/>
  <c r="AX20" i="1"/>
  <c r="BJ20" i="1"/>
  <c r="AX40" i="1"/>
  <c r="BJ40" i="1"/>
  <c r="M13" i="14"/>
  <c r="N13" i="14" s="1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6" i="7" l="1"/>
  <c r="A260" i="6"/>
  <c r="A258" i="7"/>
  <c r="A258" i="8" s="1"/>
  <c r="A260" i="9" s="1"/>
  <c r="A260" i="5"/>
  <c r="A40" i="9"/>
  <c r="A26" i="10"/>
  <c r="A26" i="11" s="1"/>
  <c r="A26" i="12" l="1"/>
  <c r="A40" i="12" s="1"/>
  <c r="A40" i="11"/>
  <c r="A40" i="10"/>
  <c r="A256" i="8"/>
  <c r="A260" i="8" s="1"/>
  <c r="A260" i="7"/>
  <c r="A26" i="13"/>
  <c r="A40" i="13" s="1"/>
</calcChain>
</file>

<file path=xl/sharedStrings.xml><?xml version="1.0" encoding="utf-8"?>
<sst xmlns="http://schemas.openxmlformats.org/spreadsheetml/2006/main" count="5584" uniqueCount="772">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</sst>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9" zoomScaleNormal="100" workbookViewId="0">
      <pane xSplit="1" topLeftCell="AA1" activePane="topRight" state="frozen"/>
      <selection pane="topRight" activeCell="AJ25" sqref="AJ25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4" t="s">
        <v>0</v>
      </c>
      <c r="D4" s="355"/>
      <c r="E4" s="355"/>
      <c r="F4" s="356"/>
      <c r="G4" s="354" t="s">
        <v>1</v>
      </c>
      <c r="H4" s="355"/>
      <c r="I4" s="355"/>
      <c r="J4" s="356"/>
      <c r="K4" s="354" t="s">
        <v>2</v>
      </c>
      <c r="L4" s="355"/>
      <c r="M4" s="355"/>
      <c r="N4" s="356"/>
      <c r="O4" s="354" t="s">
        <v>3</v>
      </c>
      <c r="P4" s="355"/>
      <c r="Q4" s="355"/>
      <c r="R4" s="356"/>
      <c r="S4" s="354" t="s">
        <v>71</v>
      </c>
      <c r="T4" s="355"/>
      <c r="U4" s="355"/>
      <c r="V4" s="356"/>
      <c r="W4" s="354" t="s">
        <v>70</v>
      </c>
      <c r="X4" s="355"/>
      <c r="Y4" s="355"/>
      <c r="Z4" s="356"/>
      <c r="AA4" s="354" t="s">
        <v>72</v>
      </c>
      <c r="AB4" s="355"/>
      <c r="AC4" s="355"/>
      <c r="AD4" s="356"/>
      <c r="AE4" s="354" t="s">
        <v>73</v>
      </c>
      <c r="AF4" s="355"/>
      <c r="AG4" s="355"/>
      <c r="AH4" s="356"/>
      <c r="AI4" s="354" t="s">
        <v>75</v>
      </c>
      <c r="AJ4" s="355"/>
      <c r="AK4" s="355"/>
      <c r="AL4" s="356"/>
      <c r="AM4" s="354" t="s">
        <v>77</v>
      </c>
      <c r="AN4" s="355"/>
      <c r="AO4" s="355"/>
      <c r="AP4" s="356"/>
      <c r="AQ4" s="354" t="s">
        <v>79</v>
      </c>
      <c r="AR4" s="355"/>
      <c r="AS4" s="355"/>
      <c r="AT4" s="356"/>
      <c r="AU4" s="354" t="s">
        <v>84</v>
      </c>
      <c r="AV4" s="355"/>
      <c r="AW4" s="355"/>
      <c r="AX4" s="356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7">
        <f>'01'!K19</f>
        <v>26383.54</v>
      </c>
      <c r="D5" s="358"/>
      <c r="E5" s="358"/>
      <c r="F5" s="359"/>
      <c r="G5" s="357">
        <f>'02'!K19</f>
        <v>25229.379999999997</v>
      </c>
      <c r="H5" s="358"/>
      <c r="I5" s="358"/>
      <c r="J5" s="359"/>
      <c r="K5" s="364">
        <f>'03'!K19</f>
        <v>25574.760000000002</v>
      </c>
      <c r="L5" s="358"/>
      <c r="M5" s="358"/>
      <c r="N5" s="359"/>
      <c r="O5" s="364">
        <f>'04'!K19</f>
        <v>26443.759999999998</v>
      </c>
      <c r="P5" s="358"/>
      <c r="Q5" s="358"/>
      <c r="R5" s="359"/>
      <c r="S5" s="364">
        <f>'05'!K19</f>
        <v>27163.090000000004</v>
      </c>
      <c r="T5" s="358"/>
      <c r="U5" s="358"/>
      <c r="V5" s="359"/>
      <c r="W5" s="364">
        <f>'06'!K19</f>
        <v>29014.079999999998</v>
      </c>
      <c r="X5" s="358"/>
      <c r="Y5" s="358"/>
      <c r="Z5" s="359"/>
      <c r="AA5" s="364">
        <f>'07'!K19</f>
        <v>29282.959999999999</v>
      </c>
      <c r="AB5" s="358"/>
      <c r="AC5" s="358"/>
      <c r="AD5" s="359"/>
      <c r="AE5" s="364">
        <f>'08'!K19</f>
        <v>29166.850000000002</v>
      </c>
      <c r="AF5" s="358"/>
      <c r="AG5" s="358"/>
      <c r="AH5" s="359"/>
      <c r="AI5" s="364">
        <f>'09'!K19</f>
        <v>29171.350000000002</v>
      </c>
      <c r="AJ5" s="358"/>
      <c r="AK5" s="358"/>
      <c r="AL5" s="359"/>
      <c r="AM5" s="364">
        <f>'10'!K19</f>
        <v>15101.890000000001</v>
      </c>
      <c r="AN5" s="358"/>
      <c r="AO5" s="358"/>
      <c r="AP5" s="359"/>
      <c r="AQ5" s="364">
        <f>'11'!K19</f>
        <v>15101.890000000001</v>
      </c>
      <c r="AR5" s="358"/>
      <c r="AS5" s="358"/>
      <c r="AT5" s="359"/>
      <c r="AU5" s="364">
        <f>'12'!K19</f>
        <v>15101.890000000001</v>
      </c>
      <c r="AV5" s="358"/>
      <c r="AW5" s="358"/>
      <c r="AX5" s="359"/>
      <c r="AZ5" s="6"/>
      <c r="BA5" s="7"/>
      <c r="BB5" s="1"/>
      <c r="BC5" s="1"/>
    </row>
    <row r="6" spans="1:55" ht="17.25" thickTop="1" thickBot="1">
      <c r="A6" s="205"/>
      <c r="B6" s="8"/>
      <c r="C6" s="363"/>
      <c r="D6" s="363"/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  <c r="W6" s="363"/>
      <c r="X6" s="363"/>
      <c r="Y6" s="363"/>
      <c r="Z6" s="363"/>
      <c r="AA6" s="363"/>
      <c r="AB6" s="363"/>
      <c r="AC6" s="363"/>
      <c r="AD6" s="363"/>
      <c r="AE6" s="363"/>
      <c r="AF6" s="363"/>
      <c r="AG6" s="363"/>
      <c r="AH6" s="363"/>
      <c r="AI6" s="363"/>
      <c r="AJ6" s="363"/>
      <c r="AK6" s="363"/>
      <c r="AL6" s="363"/>
      <c r="AM6" s="363"/>
      <c r="AN6" s="363"/>
      <c r="AO6" s="363"/>
      <c r="AP6" s="363"/>
      <c r="AQ6" s="363"/>
      <c r="AR6" s="363"/>
      <c r="AS6" s="363"/>
      <c r="AT6" s="363"/>
      <c r="AU6" s="363"/>
      <c r="AV6" s="363"/>
      <c r="AW6" s="363"/>
      <c r="AX6" s="363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60" t="s">
        <v>230</v>
      </c>
      <c r="D7" s="361"/>
      <c r="E7" s="361"/>
      <c r="F7" s="362"/>
      <c r="G7" s="360" t="s">
        <v>230</v>
      </c>
      <c r="H7" s="361"/>
      <c r="I7" s="361"/>
      <c r="J7" s="362"/>
      <c r="K7" s="360" t="s">
        <v>230</v>
      </c>
      <c r="L7" s="361"/>
      <c r="M7" s="361"/>
      <c r="N7" s="362"/>
      <c r="O7" s="360" t="s">
        <v>230</v>
      </c>
      <c r="P7" s="361"/>
      <c r="Q7" s="361"/>
      <c r="R7" s="362"/>
      <c r="S7" s="360" t="s">
        <v>230</v>
      </c>
      <c r="T7" s="361"/>
      <c r="U7" s="361"/>
      <c r="V7" s="362"/>
      <c r="W7" s="360" t="s">
        <v>230</v>
      </c>
      <c r="X7" s="361"/>
      <c r="Y7" s="361"/>
      <c r="Z7" s="362"/>
      <c r="AA7" s="360" t="s">
        <v>230</v>
      </c>
      <c r="AB7" s="361"/>
      <c r="AC7" s="361"/>
      <c r="AD7" s="362"/>
      <c r="AE7" s="360" t="s">
        <v>230</v>
      </c>
      <c r="AF7" s="361"/>
      <c r="AG7" s="361"/>
      <c r="AH7" s="362"/>
      <c r="AI7" s="360" t="s">
        <v>230</v>
      </c>
      <c r="AJ7" s="361"/>
      <c r="AK7" s="361"/>
      <c r="AL7" s="362"/>
      <c r="AM7" s="360" t="s">
        <v>230</v>
      </c>
      <c r="AN7" s="361"/>
      <c r="AO7" s="361"/>
      <c r="AP7" s="362"/>
      <c r="AQ7" s="360" t="s">
        <v>230</v>
      </c>
      <c r="AR7" s="361"/>
      <c r="AS7" s="361"/>
      <c r="AT7" s="362"/>
      <c r="AU7" s="360" t="s">
        <v>230</v>
      </c>
      <c r="AV7" s="361"/>
      <c r="AW7" s="361"/>
      <c r="AX7" s="362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42">
        <f>SUM('01'!L25:'01'!L29)</f>
        <v>2593.46</v>
      </c>
      <c r="D8" s="343"/>
      <c r="E8" s="343"/>
      <c r="F8" s="344"/>
      <c r="G8" s="342">
        <f>SUM('02'!L25:'02'!L29)</f>
        <v>2592.42</v>
      </c>
      <c r="H8" s="343"/>
      <c r="I8" s="343"/>
      <c r="J8" s="344"/>
      <c r="K8" s="342">
        <f>SUM('03'!L25:'03'!L29)</f>
        <v>2526.87</v>
      </c>
      <c r="L8" s="343"/>
      <c r="M8" s="343"/>
      <c r="N8" s="344"/>
      <c r="O8" s="342">
        <f>SUM('04'!L25:'04'!L29)</f>
        <v>2570.56</v>
      </c>
      <c r="P8" s="343"/>
      <c r="Q8" s="343"/>
      <c r="R8" s="344"/>
      <c r="S8" s="342">
        <f>SUM('05'!L25:'05'!L29)</f>
        <v>4448.8500000000004</v>
      </c>
      <c r="T8" s="343"/>
      <c r="U8" s="343"/>
      <c r="V8" s="344"/>
      <c r="W8" s="342">
        <f>SUM('06'!L25:'06'!L29)</f>
        <v>2574.61</v>
      </c>
      <c r="X8" s="343"/>
      <c r="Y8" s="343"/>
      <c r="Z8" s="344"/>
      <c r="AA8" s="342">
        <f>SUM('07'!L25:'07'!L29)</f>
        <v>2568.54</v>
      </c>
      <c r="AB8" s="343"/>
      <c r="AC8" s="343"/>
      <c r="AD8" s="344"/>
      <c r="AE8" s="342">
        <f>SUM('08'!L25:'08'!L29)</f>
        <v>0</v>
      </c>
      <c r="AF8" s="343"/>
      <c r="AG8" s="343"/>
      <c r="AH8" s="344"/>
      <c r="AI8" s="342">
        <f>SUM('09'!L25:'09'!L29)</f>
        <v>0</v>
      </c>
      <c r="AJ8" s="343"/>
      <c r="AK8" s="343"/>
      <c r="AL8" s="344"/>
      <c r="AM8" s="342">
        <f>SUM('10'!L25:'10'!L29)</f>
        <v>0</v>
      </c>
      <c r="AN8" s="343"/>
      <c r="AO8" s="343"/>
      <c r="AP8" s="344"/>
      <c r="AQ8" s="342">
        <f>SUM('11'!L25:'11'!L29)</f>
        <v>0</v>
      </c>
      <c r="AR8" s="343"/>
      <c r="AS8" s="343"/>
      <c r="AT8" s="344"/>
      <c r="AU8" s="342">
        <f>SUM('12'!L25:'12'!L29)</f>
        <v>0</v>
      </c>
      <c r="AV8" s="343"/>
      <c r="AW8" s="343"/>
      <c r="AX8" s="344"/>
      <c r="AZ8" s="209">
        <f>SUM(C8:AU8)</f>
        <v>19875.310000000001</v>
      </c>
      <c r="BA8" s="112">
        <f t="shared" ref="BA8:BA16" ca="1" si="0">AZ8/BC$17</f>
        <v>2484.4137500000002</v>
      </c>
      <c r="BB8" s="1"/>
      <c r="BC8" s="1"/>
    </row>
    <row r="9" spans="1:55" ht="15.75">
      <c r="A9" s="189" t="s">
        <v>213</v>
      </c>
      <c r="B9" s="193">
        <v>5835.74</v>
      </c>
      <c r="C9" s="345">
        <f>SUM('01'!L30:'01'!L34)</f>
        <v>655.59</v>
      </c>
      <c r="D9" s="346"/>
      <c r="E9" s="346"/>
      <c r="F9" s="347"/>
      <c r="G9" s="345">
        <f>SUM('02'!L30:'02'!L34)</f>
        <v>760.26</v>
      </c>
      <c r="H9" s="346"/>
      <c r="I9" s="346"/>
      <c r="J9" s="347"/>
      <c r="K9" s="345">
        <f>SUM('03'!L30:'03'!L34)</f>
        <v>516.44000000000005</v>
      </c>
      <c r="L9" s="346"/>
      <c r="M9" s="346"/>
      <c r="N9" s="347"/>
      <c r="O9" s="345">
        <f>SUM('04'!L30:'04'!L34)</f>
        <v>507.54</v>
      </c>
      <c r="P9" s="346"/>
      <c r="Q9" s="346"/>
      <c r="R9" s="347"/>
      <c r="S9" s="345">
        <f>SUM('05'!L30:'05'!L34)</f>
        <v>578.16999999999996</v>
      </c>
      <c r="T9" s="346"/>
      <c r="U9" s="346"/>
      <c r="V9" s="347"/>
      <c r="W9" s="345">
        <f>SUM('06'!L30:'06'!L34)</f>
        <v>613.67000000000007</v>
      </c>
      <c r="X9" s="346"/>
      <c r="Y9" s="346"/>
      <c r="Z9" s="347"/>
      <c r="AA9" s="345">
        <f>SUM('07'!L30:'07'!L34)</f>
        <v>1147.52</v>
      </c>
      <c r="AB9" s="346"/>
      <c r="AC9" s="346"/>
      <c r="AD9" s="347"/>
      <c r="AE9" s="345">
        <f>SUM('08'!L30:'08'!L34)</f>
        <v>291.60000000000002</v>
      </c>
      <c r="AF9" s="346"/>
      <c r="AG9" s="346"/>
      <c r="AH9" s="347"/>
      <c r="AI9" s="345">
        <f>SUM('09'!L30:'09'!L34)</f>
        <v>0</v>
      </c>
      <c r="AJ9" s="346"/>
      <c r="AK9" s="346"/>
      <c r="AL9" s="347"/>
      <c r="AM9" s="345">
        <f>SUM('10'!L30:'10'!L34)</f>
        <v>0</v>
      </c>
      <c r="AN9" s="346"/>
      <c r="AO9" s="346"/>
      <c r="AP9" s="347"/>
      <c r="AQ9" s="345">
        <f>SUM('11'!L30:'11'!L34)</f>
        <v>0</v>
      </c>
      <c r="AR9" s="346"/>
      <c r="AS9" s="346"/>
      <c r="AT9" s="347"/>
      <c r="AU9" s="345">
        <f>SUM('12'!L30:'12'!L34)</f>
        <v>0</v>
      </c>
      <c r="AV9" s="346"/>
      <c r="AW9" s="346"/>
      <c r="AX9" s="347"/>
      <c r="AZ9" s="210">
        <f t="shared" ref="AZ9:AZ16" si="1">SUM(C9:AW9)</f>
        <v>5070.7900000000009</v>
      </c>
      <c r="BA9" s="112">
        <f t="shared" ca="1" si="0"/>
        <v>633.84875000000011</v>
      </c>
      <c r="BB9" s="1"/>
      <c r="BC9" s="1"/>
    </row>
    <row r="10" spans="1:55" ht="15.75">
      <c r="A10" s="190" t="s">
        <v>218</v>
      </c>
      <c r="B10" s="194">
        <v>2731.18</v>
      </c>
      <c r="C10" s="345">
        <f>SUM('01'!L35:'01'!L39)</f>
        <v>120.85</v>
      </c>
      <c r="D10" s="346"/>
      <c r="E10" s="346"/>
      <c r="F10" s="347"/>
      <c r="G10" s="345">
        <f>SUM('02'!L35:'02'!L39)</f>
        <v>107.38</v>
      </c>
      <c r="H10" s="346"/>
      <c r="I10" s="346"/>
      <c r="J10" s="347"/>
      <c r="K10" s="345">
        <f>SUM('03'!L35:'03'!L39)</f>
        <v>91.73</v>
      </c>
      <c r="L10" s="346"/>
      <c r="M10" s="346"/>
      <c r="N10" s="347"/>
      <c r="O10" s="345">
        <f>SUM('04'!L35:'04'!L39)</f>
        <v>204.23</v>
      </c>
      <c r="P10" s="346"/>
      <c r="Q10" s="346"/>
      <c r="R10" s="347"/>
      <c r="S10" s="345">
        <f>SUM('05'!L35:'05'!L39)</f>
        <v>119.85</v>
      </c>
      <c r="T10" s="346"/>
      <c r="U10" s="346"/>
      <c r="V10" s="347"/>
      <c r="W10" s="348">
        <f>SUM('06'!L35:'06'!L39)</f>
        <v>55.09</v>
      </c>
      <c r="X10" s="349"/>
      <c r="Y10" s="349"/>
      <c r="Z10" s="350"/>
      <c r="AA10" s="348">
        <f>SUM('07'!L35:'07'!L39)</f>
        <v>124.52</v>
      </c>
      <c r="AB10" s="349"/>
      <c r="AC10" s="349"/>
      <c r="AD10" s="350"/>
      <c r="AE10" s="348">
        <f>SUM('08'!L35:'08'!L39)</f>
        <v>0</v>
      </c>
      <c r="AF10" s="349"/>
      <c r="AG10" s="349"/>
      <c r="AH10" s="350"/>
      <c r="AI10" s="348">
        <f>SUM('09'!L35:'09'!L39)</f>
        <v>0</v>
      </c>
      <c r="AJ10" s="349"/>
      <c r="AK10" s="349"/>
      <c r="AL10" s="350"/>
      <c r="AM10" s="348">
        <f>SUM('10'!L35:'10'!L39)</f>
        <v>0</v>
      </c>
      <c r="AN10" s="349"/>
      <c r="AO10" s="349"/>
      <c r="AP10" s="350"/>
      <c r="AQ10" s="348">
        <f>SUM('11'!L35:'11'!L39)</f>
        <v>0</v>
      </c>
      <c r="AR10" s="349"/>
      <c r="AS10" s="349"/>
      <c r="AT10" s="350"/>
      <c r="AU10" s="348">
        <f>SUM('12'!L35:'12'!L39)</f>
        <v>0</v>
      </c>
      <c r="AV10" s="349"/>
      <c r="AW10" s="349"/>
      <c r="AX10" s="350"/>
      <c r="AZ10" s="211">
        <f t="shared" si="1"/>
        <v>823.65</v>
      </c>
      <c r="BA10" s="112">
        <f t="shared" ca="1" si="0"/>
        <v>102.95625</v>
      </c>
      <c r="BB10" s="1"/>
      <c r="BC10" s="1"/>
    </row>
    <row r="11" spans="1:55" ht="15.75">
      <c r="A11" s="189" t="s">
        <v>214</v>
      </c>
      <c r="B11" s="193">
        <v>2906.88</v>
      </c>
      <c r="C11" s="345">
        <f>SUM('01'!L40:'01'!L44)</f>
        <v>3.87</v>
      </c>
      <c r="D11" s="346"/>
      <c r="E11" s="346"/>
      <c r="F11" s="347"/>
      <c r="G11" s="345">
        <f>SUM('02'!L40:'02'!L44)</f>
        <v>0</v>
      </c>
      <c r="H11" s="346"/>
      <c r="I11" s="346"/>
      <c r="J11" s="347"/>
      <c r="K11" s="345">
        <f>SUM('03'!L40:'03'!L44)</f>
        <v>0</v>
      </c>
      <c r="L11" s="346"/>
      <c r="M11" s="346"/>
      <c r="N11" s="347"/>
      <c r="O11" s="345">
        <f>SUM('04'!L40:'04'!L44)</f>
        <v>356.59</v>
      </c>
      <c r="P11" s="346"/>
      <c r="Q11" s="346"/>
      <c r="R11" s="347"/>
      <c r="S11" s="345">
        <f>SUM('05'!L40:'05'!L44)</f>
        <v>45.86</v>
      </c>
      <c r="T11" s="346"/>
      <c r="U11" s="346"/>
      <c r="V11" s="347"/>
      <c r="W11" s="345">
        <f>SUM('06'!L40:'06'!L44)</f>
        <v>0</v>
      </c>
      <c r="X11" s="346"/>
      <c r="Y11" s="346"/>
      <c r="Z11" s="347"/>
      <c r="AA11" s="345">
        <f>SUM('07'!L40:'07'!L44)</f>
        <v>1.02</v>
      </c>
      <c r="AB11" s="346"/>
      <c r="AC11" s="346"/>
      <c r="AD11" s="347"/>
      <c r="AE11" s="345">
        <f>SUM('08'!L40:'08'!L44)</f>
        <v>0</v>
      </c>
      <c r="AF11" s="346"/>
      <c r="AG11" s="346"/>
      <c r="AH11" s="347"/>
      <c r="AI11" s="345">
        <f>SUM('09'!L40:'09'!L44)</f>
        <v>0</v>
      </c>
      <c r="AJ11" s="346"/>
      <c r="AK11" s="346"/>
      <c r="AL11" s="347"/>
      <c r="AM11" s="345">
        <f>SUM('10'!L40:'10'!L44)</f>
        <v>0</v>
      </c>
      <c r="AN11" s="346"/>
      <c r="AO11" s="346"/>
      <c r="AP11" s="347"/>
      <c r="AQ11" s="345">
        <f>SUM('11'!L40:'11'!L44)</f>
        <v>0</v>
      </c>
      <c r="AR11" s="346"/>
      <c r="AS11" s="346"/>
      <c r="AT11" s="347"/>
      <c r="AU11" s="345">
        <f>SUM('12'!L40:'12'!L44)</f>
        <v>0</v>
      </c>
      <c r="AV11" s="346"/>
      <c r="AW11" s="346"/>
      <c r="AX11" s="347"/>
      <c r="AZ11" s="210">
        <f t="shared" si="1"/>
        <v>407.34</v>
      </c>
      <c r="BA11" s="112">
        <f t="shared" ca="1" si="0"/>
        <v>50.917499999999997</v>
      </c>
      <c r="BB11" s="1"/>
      <c r="BC11" s="1"/>
    </row>
    <row r="12" spans="1:55" ht="15.75">
      <c r="A12" s="190" t="s">
        <v>23</v>
      </c>
      <c r="B12" s="194">
        <v>3325.31</v>
      </c>
      <c r="C12" s="345">
        <f>SUM('01'!L45:'01'!L49)</f>
        <v>137</v>
      </c>
      <c r="D12" s="346"/>
      <c r="E12" s="346"/>
      <c r="F12" s="347"/>
      <c r="G12" s="345">
        <f>SUM('02'!L45:'02'!L49)</f>
        <v>600.04</v>
      </c>
      <c r="H12" s="346"/>
      <c r="I12" s="346"/>
      <c r="J12" s="347"/>
      <c r="K12" s="345">
        <f>SUM('03'!L45:'03'!L49)</f>
        <v>380</v>
      </c>
      <c r="L12" s="346"/>
      <c r="M12" s="346"/>
      <c r="N12" s="347"/>
      <c r="O12" s="345">
        <f>SUM('04'!L45:'04'!L49)</f>
        <v>0</v>
      </c>
      <c r="P12" s="346"/>
      <c r="Q12" s="346"/>
      <c r="R12" s="347"/>
      <c r="S12" s="345">
        <f>SUM('05'!L45:'05'!L49)</f>
        <v>0</v>
      </c>
      <c r="T12" s="346"/>
      <c r="U12" s="346"/>
      <c r="V12" s="347"/>
      <c r="W12" s="348">
        <f>SUM('06'!L45:'06'!L49)</f>
        <v>242.41</v>
      </c>
      <c r="X12" s="349"/>
      <c r="Y12" s="349"/>
      <c r="Z12" s="350"/>
      <c r="AA12" s="348">
        <f>SUM('07'!L45:'07'!L49)</f>
        <v>0</v>
      </c>
      <c r="AB12" s="349"/>
      <c r="AC12" s="349"/>
      <c r="AD12" s="350"/>
      <c r="AE12" s="348">
        <f>SUM('08'!L45:'08'!L49)</f>
        <v>0</v>
      </c>
      <c r="AF12" s="349"/>
      <c r="AG12" s="349"/>
      <c r="AH12" s="350"/>
      <c r="AI12" s="348">
        <f>SUM('09'!L45:'09'!L49)</f>
        <v>0</v>
      </c>
      <c r="AJ12" s="349"/>
      <c r="AK12" s="349"/>
      <c r="AL12" s="350"/>
      <c r="AM12" s="348">
        <f>SUM('10'!L45:'10'!L49)</f>
        <v>0</v>
      </c>
      <c r="AN12" s="349"/>
      <c r="AO12" s="349"/>
      <c r="AP12" s="350"/>
      <c r="AQ12" s="348">
        <f>SUM('11'!L45:'11'!L49)</f>
        <v>0</v>
      </c>
      <c r="AR12" s="349"/>
      <c r="AS12" s="349"/>
      <c r="AT12" s="350"/>
      <c r="AU12" s="348">
        <f>SUM('12'!L45:'12'!L49)</f>
        <v>0</v>
      </c>
      <c r="AV12" s="349"/>
      <c r="AW12" s="349"/>
      <c r="AX12" s="350"/>
      <c r="AZ12" s="211">
        <f t="shared" si="1"/>
        <v>1359.45</v>
      </c>
      <c r="BA12" s="112">
        <f t="shared" ca="1" si="0"/>
        <v>169.93125000000001</v>
      </c>
      <c r="BB12" s="1"/>
      <c r="BC12" s="1"/>
    </row>
    <row r="13" spans="1:55" ht="15.75">
      <c r="A13" s="189" t="s">
        <v>215</v>
      </c>
      <c r="B13" s="195">
        <v>3443.8099999999995</v>
      </c>
      <c r="C13" s="345">
        <f>SUM('01'!L50:'01'!L54)</f>
        <v>95.8</v>
      </c>
      <c r="D13" s="346"/>
      <c r="E13" s="346"/>
      <c r="F13" s="347"/>
      <c r="G13" s="345">
        <f>SUM('02'!L50:'02'!L54)</f>
        <v>95.8</v>
      </c>
      <c r="H13" s="346"/>
      <c r="I13" s="346"/>
      <c r="J13" s="347"/>
      <c r="K13" s="345">
        <f>SUM('03'!L50:'03'!L54)</f>
        <v>4517.74</v>
      </c>
      <c r="L13" s="346"/>
      <c r="M13" s="346"/>
      <c r="N13" s="347"/>
      <c r="O13" s="345">
        <f>SUM('04'!L50:'04'!L54)</f>
        <v>95.8</v>
      </c>
      <c r="P13" s="346"/>
      <c r="Q13" s="346"/>
      <c r="R13" s="347"/>
      <c r="S13" s="345">
        <f>SUM('05'!L50:'05'!L54)</f>
        <v>95.8</v>
      </c>
      <c r="T13" s="346"/>
      <c r="U13" s="346"/>
      <c r="V13" s="347"/>
      <c r="W13" s="345">
        <f>SUM('06'!L50:'06'!L54)</f>
        <v>95.8</v>
      </c>
      <c r="X13" s="346"/>
      <c r="Y13" s="346"/>
      <c r="Z13" s="347"/>
      <c r="AA13" s="345">
        <f>SUM('07'!L50:'07'!L54)</f>
        <v>95.8</v>
      </c>
      <c r="AB13" s="346"/>
      <c r="AC13" s="346"/>
      <c r="AD13" s="347"/>
      <c r="AE13" s="345">
        <f>SUM('08'!L50:'08'!L54)</f>
        <v>117.03</v>
      </c>
      <c r="AF13" s="346"/>
      <c r="AG13" s="346"/>
      <c r="AH13" s="347"/>
      <c r="AI13" s="345">
        <f>SUM('09'!L50:'09'!L54)</f>
        <v>0</v>
      </c>
      <c r="AJ13" s="346"/>
      <c r="AK13" s="346"/>
      <c r="AL13" s="347"/>
      <c r="AM13" s="345">
        <f>SUM('10'!L50:'10'!L54)</f>
        <v>0</v>
      </c>
      <c r="AN13" s="346"/>
      <c r="AO13" s="346"/>
      <c r="AP13" s="347"/>
      <c r="AQ13" s="345">
        <f>SUM('11'!L50:'11'!L54)</f>
        <v>0</v>
      </c>
      <c r="AR13" s="346"/>
      <c r="AS13" s="346"/>
      <c r="AT13" s="347"/>
      <c r="AU13" s="345">
        <f>SUM('12'!L50:'12'!L54)</f>
        <v>0</v>
      </c>
      <c r="AV13" s="346"/>
      <c r="AW13" s="346"/>
      <c r="AX13" s="347"/>
      <c r="AZ13" s="212">
        <f t="shared" si="1"/>
        <v>5209.5700000000006</v>
      </c>
      <c r="BA13" s="112">
        <f t="shared" ca="1" si="0"/>
        <v>651.19625000000008</v>
      </c>
      <c r="BB13" s="1"/>
      <c r="BC13" s="1"/>
    </row>
    <row r="14" spans="1:55" ht="15.75">
      <c r="A14" s="190" t="s">
        <v>216</v>
      </c>
      <c r="B14" s="194">
        <v>364.62</v>
      </c>
      <c r="C14" s="345">
        <f>SUM('01'!L55:'01'!L59)</f>
        <v>0</v>
      </c>
      <c r="D14" s="346"/>
      <c r="E14" s="346"/>
      <c r="F14" s="347"/>
      <c r="G14" s="345">
        <f>SUM('02'!L55:'02'!L59)</f>
        <v>0</v>
      </c>
      <c r="H14" s="346"/>
      <c r="I14" s="346"/>
      <c r="J14" s="347"/>
      <c r="K14" s="345">
        <f>SUM('03'!L55:'03'!L59)</f>
        <v>9.44</v>
      </c>
      <c r="L14" s="346"/>
      <c r="M14" s="346"/>
      <c r="N14" s="347"/>
      <c r="O14" s="345">
        <f>SUM('04'!L55:'04'!L59)</f>
        <v>37.980000000000004</v>
      </c>
      <c r="P14" s="346"/>
      <c r="Q14" s="346"/>
      <c r="R14" s="347"/>
      <c r="S14" s="345">
        <f>SUM('05'!L55:'05'!L59)</f>
        <v>17.350000000000001</v>
      </c>
      <c r="T14" s="346"/>
      <c r="U14" s="346"/>
      <c r="V14" s="347"/>
      <c r="W14" s="348">
        <f>SUM('06'!L55:'06'!L59)</f>
        <v>0</v>
      </c>
      <c r="X14" s="349"/>
      <c r="Y14" s="349"/>
      <c r="Z14" s="350"/>
      <c r="AA14" s="348">
        <f>SUM('07'!L55:'07'!L59)</f>
        <v>51.759999999999991</v>
      </c>
      <c r="AB14" s="349"/>
      <c r="AC14" s="349"/>
      <c r="AD14" s="350"/>
      <c r="AE14" s="348">
        <f>SUM('08'!L55:'08'!L59)</f>
        <v>13.15</v>
      </c>
      <c r="AF14" s="349"/>
      <c r="AG14" s="349"/>
      <c r="AH14" s="350"/>
      <c r="AI14" s="348">
        <f>SUM('09'!L55:'09'!L59)</f>
        <v>0</v>
      </c>
      <c r="AJ14" s="349"/>
      <c r="AK14" s="349"/>
      <c r="AL14" s="350"/>
      <c r="AM14" s="348">
        <f>SUM('10'!L55:'10'!L59)</f>
        <v>0</v>
      </c>
      <c r="AN14" s="349"/>
      <c r="AO14" s="349"/>
      <c r="AP14" s="350"/>
      <c r="AQ14" s="348">
        <f>SUM('11'!L55:'11'!L59)</f>
        <v>0</v>
      </c>
      <c r="AR14" s="349"/>
      <c r="AS14" s="349"/>
      <c r="AT14" s="350"/>
      <c r="AU14" s="348">
        <f>SUM('12'!L55:'12'!L59)</f>
        <v>0</v>
      </c>
      <c r="AV14" s="349"/>
      <c r="AW14" s="349"/>
      <c r="AX14" s="350"/>
      <c r="AZ14" s="211">
        <f t="shared" si="1"/>
        <v>129.68</v>
      </c>
      <c r="BA14" s="112">
        <f t="shared" ca="1" si="0"/>
        <v>16.21</v>
      </c>
      <c r="BB14" s="3"/>
      <c r="BC14" s="3"/>
    </row>
    <row r="15" spans="1:55" ht="15.75">
      <c r="A15" s="189" t="s">
        <v>217</v>
      </c>
      <c r="B15" s="193">
        <v>7756.04</v>
      </c>
      <c r="C15" s="345">
        <f>SUM('01'!L60:'01'!L64)</f>
        <v>0</v>
      </c>
      <c r="D15" s="346"/>
      <c r="E15" s="346"/>
      <c r="F15" s="347"/>
      <c r="G15" s="345">
        <f>SUM('02'!L60:'02'!L64)</f>
        <v>665.77</v>
      </c>
      <c r="H15" s="346"/>
      <c r="I15" s="346"/>
      <c r="J15" s="347"/>
      <c r="K15" s="345">
        <f>SUM('03'!L60:'03'!L64)</f>
        <v>682.39</v>
      </c>
      <c r="L15" s="346"/>
      <c r="M15" s="346"/>
      <c r="N15" s="347"/>
      <c r="O15" s="345">
        <f>SUM('04'!L60:'04'!L64)</f>
        <v>550</v>
      </c>
      <c r="P15" s="346"/>
      <c r="Q15" s="346"/>
      <c r="R15" s="347"/>
      <c r="S15" s="345">
        <f>SUM('05'!L60:'05'!L64)</f>
        <v>652.44000000000005</v>
      </c>
      <c r="T15" s="346"/>
      <c r="U15" s="346"/>
      <c r="V15" s="347"/>
      <c r="W15" s="345">
        <f>SUM('06'!L60:'06'!L64)</f>
        <v>511.74</v>
      </c>
      <c r="X15" s="346"/>
      <c r="Y15" s="346"/>
      <c r="Z15" s="347"/>
      <c r="AA15" s="345">
        <f>SUM('07'!L60:'07'!L64)</f>
        <v>649.1</v>
      </c>
      <c r="AB15" s="346"/>
      <c r="AC15" s="346"/>
      <c r="AD15" s="347"/>
      <c r="AE15" s="345">
        <f>SUM('08'!L60:'08'!L64)</f>
        <v>550</v>
      </c>
      <c r="AF15" s="346"/>
      <c r="AG15" s="346"/>
      <c r="AH15" s="347"/>
      <c r="AI15" s="345">
        <f>SUM('09'!L60:'09'!L64)</f>
        <v>0</v>
      </c>
      <c r="AJ15" s="346"/>
      <c r="AK15" s="346"/>
      <c r="AL15" s="347"/>
      <c r="AM15" s="345">
        <f>SUM('10'!L60:'10'!L64)</f>
        <v>0</v>
      </c>
      <c r="AN15" s="346"/>
      <c r="AO15" s="346"/>
      <c r="AP15" s="347"/>
      <c r="AQ15" s="345">
        <f>SUM('11'!L60:'11'!L64)</f>
        <v>0</v>
      </c>
      <c r="AR15" s="346"/>
      <c r="AS15" s="346"/>
      <c r="AT15" s="347"/>
      <c r="AU15" s="345">
        <f>SUM('12'!L60:'12'!L64)</f>
        <v>0</v>
      </c>
      <c r="AV15" s="346"/>
      <c r="AW15" s="346"/>
      <c r="AX15" s="347"/>
      <c r="AZ15" s="210">
        <f t="shared" si="1"/>
        <v>4261.4400000000005</v>
      </c>
      <c r="BA15" s="112">
        <f t="shared" ca="1" si="0"/>
        <v>532.68000000000006</v>
      </c>
      <c r="BB15" s="1"/>
      <c r="BC15" s="1"/>
    </row>
    <row r="16" spans="1:55" ht="16.5" thickBot="1">
      <c r="A16" s="191" t="s">
        <v>42</v>
      </c>
      <c r="B16" s="196">
        <v>2018.96</v>
      </c>
      <c r="C16" s="345">
        <f>SUM('01'!L65:'01'!L69)</f>
        <v>85</v>
      </c>
      <c r="D16" s="346"/>
      <c r="E16" s="346"/>
      <c r="F16" s="347"/>
      <c r="G16" s="345">
        <f>SUM('02'!L65:'02'!L69)</f>
        <v>0</v>
      </c>
      <c r="H16" s="346"/>
      <c r="I16" s="346"/>
      <c r="J16" s="347"/>
      <c r="K16" s="345">
        <f>SUM('03'!L65:'03'!L69)</f>
        <v>0</v>
      </c>
      <c r="L16" s="346"/>
      <c r="M16" s="346"/>
      <c r="N16" s="347"/>
      <c r="O16" s="345">
        <f>SUM('04'!L65:'04'!L69)</f>
        <v>0</v>
      </c>
      <c r="P16" s="346"/>
      <c r="Q16" s="346"/>
      <c r="R16" s="347"/>
      <c r="S16" s="345">
        <f>SUM('05'!L65:'05'!L69)</f>
        <v>0</v>
      </c>
      <c r="T16" s="346"/>
      <c r="U16" s="346"/>
      <c r="V16" s="347"/>
      <c r="W16" s="351">
        <f>SUM('06'!L65:'06'!L69)</f>
        <v>0</v>
      </c>
      <c r="X16" s="352"/>
      <c r="Y16" s="352"/>
      <c r="Z16" s="353"/>
      <c r="AA16" s="351">
        <f>SUM('07'!L65:'07'!L69)</f>
        <v>0</v>
      </c>
      <c r="AB16" s="352"/>
      <c r="AC16" s="352"/>
      <c r="AD16" s="353"/>
      <c r="AE16" s="351">
        <f>SUM('08'!L65:'08'!L69)</f>
        <v>0</v>
      </c>
      <c r="AF16" s="352"/>
      <c r="AG16" s="352"/>
      <c r="AH16" s="353"/>
      <c r="AI16" s="351">
        <f>SUM('09'!L65:'09'!L69)</f>
        <v>0</v>
      </c>
      <c r="AJ16" s="352"/>
      <c r="AK16" s="352"/>
      <c r="AL16" s="353"/>
      <c r="AM16" s="351">
        <f>SUM('10'!L65:'10'!L69)</f>
        <v>0</v>
      </c>
      <c r="AN16" s="352"/>
      <c r="AO16" s="352"/>
      <c r="AP16" s="353"/>
      <c r="AQ16" s="351">
        <f>SUM('11'!L65:'11'!L69)</f>
        <v>0</v>
      </c>
      <c r="AR16" s="352"/>
      <c r="AS16" s="352"/>
      <c r="AT16" s="353"/>
      <c r="AU16" s="351">
        <f>SUM('12'!L65:'12'!L69)</f>
        <v>0</v>
      </c>
      <c r="AV16" s="352"/>
      <c r="AW16" s="352"/>
      <c r="AX16" s="353"/>
      <c r="AZ16" s="213">
        <f t="shared" si="1"/>
        <v>85</v>
      </c>
      <c r="BA16" s="112">
        <f t="shared" ca="1" si="0"/>
        <v>10.625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5">
        <f>SUM(C8:C16)</f>
        <v>3691.57</v>
      </c>
      <c r="D17" s="366"/>
      <c r="E17" s="366"/>
      <c r="F17" s="367"/>
      <c r="G17" s="365">
        <f>SUM(G8:G16)</f>
        <v>4821.67</v>
      </c>
      <c r="H17" s="366"/>
      <c r="I17" s="366"/>
      <c r="J17" s="367"/>
      <c r="K17" s="365">
        <f>SUM(K8:K16)</f>
        <v>8724.6099999999988</v>
      </c>
      <c r="L17" s="366"/>
      <c r="M17" s="366"/>
      <c r="N17" s="367"/>
      <c r="O17" s="365">
        <f>SUM(O8:O16)</f>
        <v>4322.7000000000007</v>
      </c>
      <c r="P17" s="366"/>
      <c r="Q17" s="366"/>
      <c r="R17" s="367"/>
      <c r="S17" s="365">
        <f>SUM(S8:S16)</f>
        <v>5958.3200000000015</v>
      </c>
      <c r="T17" s="366"/>
      <c r="U17" s="366"/>
      <c r="V17" s="367"/>
      <c r="W17" s="365">
        <f>SUM(W8:W16)</f>
        <v>4093.3200000000006</v>
      </c>
      <c r="X17" s="366"/>
      <c r="Y17" s="366"/>
      <c r="Z17" s="367"/>
      <c r="AA17" s="365">
        <f>SUM(AA8:AA16)</f>
        <v>4638.26</v>
      </c>
      <c r="AB17" s="366"/>
      <c r="AC17" s="366"/>
      <c r="AD17" s="367"/>
      <c r="AE17" s="365">
        <f>SUM(AE8:AE16)</f>
        <v>971.78</v>
      </c>
      <c r="AF17" s="366"/>
      <c r="AG17" s="366"/>
      <c r="AH17" s="367"/>
      <c r="AI17" s="365">
        <f>SUM(AI8:AI16)</f>
        <v>0</v>
      </c>
      <c r="AJ17" s="366"/>
      <c r="AK17" s="366"/>
      <c r="AL17" s="367"/>
      <c r="AM17" s="365">
        <f>SUM(AM8:AM16)</f>
        <v>0</v>
      </c>
      <c r="AN17" s="366"/>
      <c r="AO17" s="366"/>
      <c r="AP17" s="367"/>
      <c r="AQ17" s="365">
        <f>SUM(AQ8:AQ16)</f>
        <v>0</v>
      </c>
      <c r="AR17" s="366"/>
      <c r="AS17" s="366"/>
      <c r="AT17" s="367"/>
      <c r="AU17" s="365">
        <f>SUM(AU8:AU16)</f>
        <v>0</v>
      </c>
      <c r="AV17" s="366"/>
      <c r="AW17" s="366"/>
      <c r="AX17" s="367"/>
      <c r="AZ17" s="227">
        <f>SUM(AZ8:AZ16)</f>
        <v>37222.230000000003</v>
      </c>
      <c r="BA17" s="112">
        <f ca="1">AZ17/BC$17</f>
        <v>4652.7787500000004</v>
      </c>
      <c r="BB17" s="1" t="s">
        <v>83</v>
      </c>
      <c r="BC17" s="1">
        <f ca="1">MONTH(TODAY())</f>
        <v>8</v>
      </c>
      <c r="BD17" s="39"/>
    </row>
    <row r="18" spans="1:62" ht="32.25" customHeight="1" thickTop="1" thickBot="1">
      <c r="A18" s="10"/>
      <c r="B18" s="10"/>
      <c r="C18" s="368"/>
      <c r="D18" s="368"/>
      <c r="E18" s="368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368"/>
      <c r="Q18" s="368"/>
      <c r="R18" s="368"/>
      <c r="S18" s="368"/>
      <c r="T18" s="368"/>
      <c r="U18" s="368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  <c r="AJ18" s="368"/>
      <c r="AK18" s="368"/>
      <c r="AL18" s="368"/>
      <c r="AM18" s="368"/>
      <c r="AN18" s="368"/>
      <c r="AO18" s="368"/>
      <c r="AP18" s="368"/>
      <c r="AQ18" s="368"/>
      <c r="AR18" s="368"/>
      <c r="AS18" s="368"/>
      <c r="AT18" s="368"/>
      <c r="AU18" s="368" t="s">
        <v>173</v>
      </c>
      <c r="AV18" s="368"/>
      <c r="AW18" s="368"/>
      <c r="AX18" s="368"/>
      <c r="AZ18" s="131">
        <f>(2500*13)+(600*12)+(550*12)+(95*12)</f>
        <v>47440</v>
      </c>
      <c r="BA18" s="131">
        <f ca="1">12*BA17</f>
        <v>55833.345000000001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146</v>
      </c>
      <c r="AH20" s="145">
        <f t="shared" ref="AH20:AH45" si="9">AD20+AF20-AG20</f>
        <v>818.13999999999987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1362.1399999999999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1906.1399999999999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2450.14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2994.14</v>
      </c>
      <c r="AZ20" s="123">
        <f t="shared" ref="AZ20:AZ27" si="14">E20+I20+M20+Q20+U20+Y20+AC20+AG20+AK20+AO20+AS20+AW20</f>
        <v>4281.6600000000008</v>
      </c>
      <c r="BA20" s="21">
        <f t="shared" ref="BA20:BA45" si="15">AZ20/AZ$46</f>
        <v>0.1176506794302969</v>
      </c>
      <c r="BB20" s="22">
        <f>_xlfn.RANK.EQ(BA20,$BA$20:$BA$45,)</f>
        <v>3</v>
      </c>
      <c r="BC20" s="22">
        <f t="shared" ref="BC20:BC45" ca="1" si="16">AZ20/BC$17</f>
        <v>535.2075000000001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4651.0200000000004</v>
      </c>
      <c r="BF20" s="21">
        <f t="shared" ref="BF20:BF45" ca="1" si="18">BE20/BE$46</f>
        <v>0.12495275000987313</v>
      </c>
      <c r="BG20" s="22">
        <f ca="1">_xlfn.RANK.EQ(BF20,$BF$20:$BF$45,)</f>
        <v>2</v>
      </c>
      <c r="BH20" s="22">
        <f t="shared" ref="BH20:BH45" ca="1" si="19">BE20/BC$17</f>
        <v>581.37750000000005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369.36000000000024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0</v>
      </c>
      <c r="AL21" s="151">
        <f t="shared" si="10"/>
        <v>1468.0199999999993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2596.0199999999995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3724.0199999999995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4852.0199999999995</v>
      </c>
      <c r="AZ21" s="152">
        <f t="shared" si="14"/>
        <v>9541.84</v>
      </c>
      <c r="BA21" s="21">
        <f t="shared" si="15"/>
        <v>0.26218895452118668</v>
      </c>
      <c r="BB21" s="22">
        <f t="shared" ref="BB21:BB45" si="20">_xlfn.RANK.EQ(BA21,$BA$20:$BA$45,)</f>
        <v>1</v>
      </c>
      <c r="BC21" s="22">
        <f t="shared" ca="1" si="16"/>
        <v>1192.73</v>
      </c>
      <c r="BE21" s="224">
        <f t="shared" ca="1" si="17"/>
        <v>9209</v>
      </c>
      <c r="BF21" s="21">
        <f t="shared" ca="1" si="18"/>
        <v>0.24740591845249463</v>
      </c>
      <c r="BG21" s="22">
        <f t="shared" ref="BG21:BG45" ca="1" si="21">_xlfn.RANK.EQ(BF21,$BF$20:$BF$45,)</f>
        <v>1</v>
      </c>
      <c r="BH21" s="22">
        <f t="shared" ca="1" si="19"/>
        <v>1151.125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-332.84000000000037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300</v>
      </c>
      <c r="AG22" s="155">
        <f>SUM('08'!D60:F60)</f>
        <v>323.87000000000006</v>
      </c>
      <c r="AH22" s="156">
        <f t="shared" si="9"/>
        <v>465.81000000000012</v>
      </c>
      <c r="AI22" s="143" t="s">
        <v>76</v>
      </c>
      <c r="AJ22" s="155">
        <f>'09'!B60</f>
        <v>300</v>
      </c>
      <c r="AK22" s="155">
        <f>SUM('09'!D60:F60)</f>
        <v>0</v>
      </c>
      <c r="AL22" s="156">
        <f t="shared" si="10"/>
        <v>765.81000000000017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1255.8100000000002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1745.8100000000002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2235.8100000000004</v>
      </c>
      <c r="AZ22" s="157">
        <f t="shared" si="14"/>
        <v>2342.62</v>
      </c>
      <c r="BA22" s="21">
        <f t="shared" si="15"/>
        <v>6.4370088855024002E-2</v>
      </c>
      <c r="BB22" s="22">
        <f t="shared" si="20"/>
        <v>6</v>
      </c>
      <c r="BC22" s="22">
        <f t="shared" ca="1" si="16"/>
        <v>292.82749999999999</v>
      </c>
      <c r="BE22" s="225">
        <f t="shared" ca="1" si="17"/>
        <v>2562.36</v>
      </c>
      <c r="BF22" s="21">
        <f t="shared" ca="1" si="18"/>
        <v>6.8839508003684893E-2</v>
      </c>
      <c r="BG22" s="22">
        <f t="shared" ca="1" si="21"/>
        <v>7</v>
      </c>
      <c r="BH22" s="22">
        <f t="shared" ca="1" si="19"/>
        <v>320.29500000000002</v>
      </c>
      <c r="BJ22" s="225">
        <f t="shared" ca="1" si="22"/>
        <v>219.73999999999995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170</v>
      </c>
      <c r="AG23" s="150">
        <f>SUM('08'!D80:F80)</f>
        <v>162.94999999999999</v>
      </c>
      <c r="AH23" s="151">
        <f t="shared" si="9"/>
        <v>136.53000000000009</v>
      </c>
      <c r="AI23" s="148" t="s">
        <v>76</v>
      </c>
      <c r="AJ23" s="149">
        <f>'09'!B80</f>
        <v>170</v>
      </c>
      <c r="AK23" s="150">
        <f>SUM('09'!D80:F80)</f>
        <v>0</v>
      </c>
      <c r="AL23" s="151">
        <f t="shared" si="10"/>
        <v>306.53000000000009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456.53000000000009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606.53000000000009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756.53000000000009</v>
      </c>
      <c r="AZ23" s="152">
        <f t="shared" si="14"/>
        <v>1310.5999999999999</v>
      </c>
      <c r="BA23" s="21">
        <f t="shared" si="15"/>
        <v>3.6012429866301175E-2</v>
      </c>
      <c r="BB23" s="22">
        <f t="shared" si="20"/>
        <v>7</v>
      </c>
      <c r="BC23" s="22">
        <f t="shared" ca="1" si="16"/>
        <v>163.82499999999999</v>
      </c>
      <c r="BE23" s="224">
        <f t="shared" ca="1" si="17"/>
        <v>1405</v>
      </c>
      <c r="BF23" s="21">
        <f t="shared" ca="1" si="18"/>
        <v>3.7746260769438045E-2</v>
      </c>
      <c r="BG23" s="22">
        <f t="shared" ca="1" si="21"/>
        <v>9</v>
      </c>
      <c r="BH23" s="22">
        <f t="shared" ca="1" si="19"/>
        <v>175.625</v>
      </c>
      <c r="BJ23" s="224">
        <f t="shared" ca="1" si="22"/>
        <v>94.400000000000063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95.69</v>
      </c>
      <c r="AH24" s="156">
        <f t="shared" si="9"/>
        <v>259.21999999999997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419.21999999999997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579.22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739.22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899.22</v>
      </c>
      <c r="AZ24" s="157">
        <f t="shared" si="14"/>
        <v>1050.78</v>
      </c>
      <c r="BA24" s="21">
        <f t="shared" si="15"/>
        <v>2.887314287724092E-2</v>
      </c>
      <c r="BB24" s="22">
        <f t="shared" si="20"/>
        <v>11</v>
      </c>
      <c r="BC24" s="22">
        <f t="shared" ca="1" si="16"/>
        <v>131.3475</v>
      </c>
      <c r="BE24" s="225">
        <f t="shared" ca="1" si="17"/>
        <v>1310</v>
      </c>
      <c r="BF24" s="21">
        <f t="shared" ca="1" si="18"/>
        <v>3.5194022496771414E-2</v>
      </c>
      <c r="BG24" s="22">
        <f t="shared" ca="1" si="21"/>
        <v>11</v>
      </c>
      <c r="BH24" s="22">
        <f t="shared" ca="1" si="19"/>
        <v>163.75</v>
      </c>
      <c r="BJ24" s="225">
        <f t="shared" ca="1" si="22"/>
        <v>259.21999999999997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0</v>
      </c>
      <c r="AL25" s="151">
        <f t="shared" si="10"/>
        <v>4402.8599999999979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4807.8599999999979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5212.8599999999979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5617.8599999999979</v>
      </c>
      <c r="AZ25" s="152">
        <f t="shared" si="14"/>
        <v>2683.0400000000004</v>
      </c>
      <c r="BA25" s="21">
        <f t="shared" si="15"/>
        <v>7.3724088073005289E-2</v>
      </c>
      <c r="BB25" s="22">
        <f t="shared" si="20"/>
        <v>5</v>
      </c>
      <c r="BC25" s="22">
        <f t="shared" ca="1" si="16"/>
        <v>335.38000000000005</v>
      </c>
      <c r="BE25" s="224">
        <f t="shared" ca="1" si="17"/>
        <v>3478.35</v>
      </c>
      <c r="BF25" s="21">
        <f t="shared" ca="1" si="18"/>
        <v>9.3448189428736533E-2</v>
      </c>
      <c r="BG25" s="22">
        <f t="shared" ca="1" si="21"/>
        <v>5</v>
      </c>
      <c r="BH25" s="22">
        <f t="shared" ca="1" si="19"/>
        <v>434.79374999999999</v>
      </c>
      <c r="BJ25" s="224">
        <f t="shared" ca="1" si="22"/>
        <v>795.30999999999949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45.49</v>
      </c>
      <c r="AH26" s="156">
        <f t="shared" si="9"/>
        <v>35.04999999999999</v>
      </c>
      <c r="AI26" s="143" t="s">
        <v>76</v>
      </c>
      <c r="AJ26" s="155">
        <f>'09'!B140</f>
        <v>53</v>
      </c>
      <c r="AK26" s="155">
        <f>SUM('09'!D140:F140)</f>
        <v>0</v>
      </c>
      <c r="AL26" s="156">
        <f t="shared" si="10"/>
        <v>88.049999999999983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136.04999999999998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184.04999999999998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232.04999999999998</v>
      </c>
      <c r="AZ26" s="157">
        <f t="shared" si="14"/>
        <v>403.94000000000005</v>
      </c>
      <c r="BA26" s="21">
        <f t="shared" si="15"/>
        <v>1.1099390294669388E-2</v>
      </c>
      <c r="BB26" s="22">
        <f t="shared" si="20"/>
        <v>17</v>
      </c>
      <c r="BC26" s="22">
        <f t="shared" ca="1" si="16"/>
        <v>50.492500000000007</v>
      </c>
      <c r="BE26" s="225">
        <f t="shared" ca="1" si="17"/>
        <v>419.45</v>
      </c>
      <c r="BF26" s="21">
        <f t="shared" ca="1" si="18"/>
        <v>1.1268803615473871E-2</v>
      </c>
      <c r="BG26" s="22">
        <f t="shared" ca="1" si="21"/>
        <v>17</v>
      </c>
      <c r="BH26" s="22">
        <f t="shared" ca="1" si="19"/>
        <v>52.431249999999999</v>
      </c>
      <c r="BJ26" s="225">
        <f t="shared" ca="1" si="22"/>
        <v>15.510000000000041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329.54000000000008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379.54000000000008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429.54000000000008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479.54000000000008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529.54000000000008</v>
      </c>
      <c r="AZ27" s="188">
        <f t="shared" si="14"/>
        <v>314.40999999999997</v>
      </c>
      <c r="BA27" s="21">
        <f t="shared" si="15"/>
        <v>8.6393011401371522E-3</v>
      </c>
      <c r="BB27" s="22">
        <f t="shared" si="20"/>
        <v>18</v>
      </c>
      <c r="BC27" s="22">
        <f t="shared" ca="1" si="16"/>
        <v>39.301249999999996</v>
      </c>
      <c r="BE27" s="224">
        <f t="shared" ca="1" si="17"/>
        <v>340</v>
      </c>
      <c r="BF27" s="21">
        <f t="shared" ca="1" si="18"/>
        <v>9.1343264495437268E-3</v>
      </c>
      <c r="BG27" s="22">
        <f t="shared" ca="1" si="21"/>
        <v>18</v>
      </c>
      <c r="BH27" s="22">
        <f t="shared" ca="1" si="19"/>
        <v>42.5</v>
      </c>
      <c r="BJ27" s="224">
        <f t="shared" ca="1" si="22"/>
        <v>25.590000000000032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733.00000000000023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933.00000000000023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1133.0000000000002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1333.0000000000002</v>
      </c>
      <c r="AZ28" s="182">
        <f t="shared" ref="AZ28:AZ45" si="23">E28+I28+M28+Q28+U28+Y28+AC28+AG28+AK28+AO28+AS28+AW28</f>
        <v>3356.09</v>
      </c>
      <c r="BA28" s="21">
        <f t="shared" si="15"/>
        <v>9.2218034297264398E-2</v>
      </c>
      <c r="BB28" s="22">
        <f t="shared" si="20"/>
        <v>4</v>
      </c>
      <c r="BC28" s="22">
        <f t="shared" ca="1" si="16"/>
        <v>419.51125000000002</v>
      </c>
      <c r="BE28" s="223">
        <f t="shared" ca="1" si="17"/>
        <v>3280.04</v>
      </c>
      <c r="BF28" s="21">
        <f t="shared" ca="1" si="18"/>
        <v>8.8120459198710005E-2</v>
      </c>
      <c r="BG28" s="22">
        <f t="shared" ca="1" si="21"/>
        <v>6</v>
      </c>
      <c r="BH28" s="22">
        <f t="shared" ca="1" si="19"/>
        <v>410.005</v>
      </c>
      <c r="BJ28" s="223">
        <f t="shared" ca="1" si="22"/>
        <v>-76.049999999999841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103.78000000000007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173.78000000000009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243.78000000000009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313.78000000000009</v>
      </c>
      <c r="AZ29" s="152">
        <f t="shared" si="23"/>
        <v>463.55</v>
      </c>
      <c r="BA29" s="21">
        <f t="shared" si="15"/>
        <v>1.2737343098217542E-2</v>
      </c>
      <c r="BB29" s="22">
        <f t="shared" si="20"/>
        <v>15</v>
      </c>
      <c r="BC29" s="22">
        <f t="shared" ca="1" si="16"/>
        <v>57.943750000000001</v>
      </c>
      <c r="BE29" s="224">
        <f t="shared" ca="1" si="17"/>
        <v>544</v>
      </c>
      <c r="BF29" s="21">
        <f t="shared" ca="1" si="18"/>
        <v>1.4614922319269962E-2</v>
      </c>
      <c r="BG29" s="22">
        <f t="shared" ca="1" si="21"/>
        <v>15</v>
      </c>
      <c r="BH29" s="22">
        <f t="shared" ca="1" si="19"/>
        <v>68</v>
      </c>
      <c r="BJ29" s="224">
        <f t="shared" ca="1" si="22"/>
        <v>80.45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97.919999999999973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132.91999999999996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167.91999999999996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202.91999999999996</v>
      </c>
      <c r="AZ30" s="157">
        <f t="shared" si="23"/>
        <v>230.25</v>
      </c>
      <c r="BA30" s="21">
        <f t="shared" si="15"/>
        <v>6.3267678748022632E-3</v>
      </c>
      <c r="BB30" s="22">
        <f t="shared" si="20"/>
        <v>19</v>
      </c>
      <c r="BC30" s="22">
        <f t="shared" ca="1" si="16"/>
        <v>28.78125</v>
      </c>
      <c r="BE30" s="225">
        <f t="shared" ca="1" si="17"/>
        <v>320</v>
      </c>
      <c r="BF30" s="21">
        <f t="shared" ca="1" si="18"/>
        <v>8.5970131289823306E-3</v>
      </c>
      <c r="BG30" s="22">
        <f t="shared" ca="1" si="21"/>
        <v>19</v>
      </c>
      <c r="BH30" s="22">
        <f t="shared" ca="1" si="19"/>
        <v>40</v>
      </c>
      <c r="BJ30" s="225">
        <f t="shared" ca="1" si="22"/>
        <v>89.75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78.679999999999978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98.679999999999978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118.67999999999998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138.67999999999998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158.67999999999998</v>
      </c>
      <c r="AZ31" s="152">
        <f t="shared" si="23"/>
        <v>157.35999999999999</v>
      </c>
      <c r="BA31" s="21">
        <f t="shared" si="15"/>
        <v>4.3239096320472703E-3</v>
      </c>
      <c r="BB31" s="22">
        <f t="shared" si="20"/>
        <v>21</v>
      </c>
      <c r="BC31" s="22">
        <f t="shared" ca="1" si="16"/>
        <v>19.669999999999998</v>
      </c>
      <c r="BE31" s="224">
        <f t="shared" ca="1" si="17"/>
        <v>160</v>
      </c>
      <c r="BF31" s="21">
        <f t="shared" ca="1" si="18"/>
        <v>4.2985065644911653E-3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2.6399999999999721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90</v>
      </c>
      <c r="AG32" s="155">
        <f>SUM('08'!D260:F260)</f>
        <v>69.89</v>
      </c>
      <c r="AH32" s="161">
        <f t="shared" si="9"/>
        <v>608.99999999999989</v>
      </c>
      <c r="AI32" s="143" t="s">
        <v>76</v>
      </c>
      <c r="AJ32" s="155">
        <f>'09'!B260</f>
        <v>90</v>
      </c>
      <c r="AK32" s="155">
        <f>SUM('09'!D260:F260)</f>
        <v>0</v>
      </c>
      <c r="AL32" s="161">
        <f t="shared" si="10"/>
        <v>698.99999999999989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748.99999999999989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798.99999999999989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848.99999999999989</v>
      </c>
      <c r="AZ32" s="157">
        <f t="shared" si="23"/>
        <v>1058.8800000000001</v>
      </c>
      <c r="BA32" s="21">
        <f t="shared" si="15"/>
        <v>2.9095713212901719E-2</v>
      </c>
      <c r="BB32" s="22">
        <f t="shared" si="20"/>
        <v>10</v>
      </c>
      <c r="BC32" s="22">
        <f t="shared" ca="1" si="16"/>
        <v>132.36000000000001</v>
      </c>
      <c r="BE32" s="225">
        <f t="shared" ca="1" si="17"/>
        <v>1682.13</v>
      </c>
      <c r="BF32" s="21">
        <f t="shared" ca="1" si="18"/>
        <v>4.5191542795797027E-2</v>
      </c>
      <c r="BG32" s="22">
        <f t="shared" ca="1" si="21"/>
        <v>8</v>
      </c>
      <c r="BH32" s="22">
        <f t="shared" ca="1" si="19"/>
        <v>210.26625000000001</v>
      </c>
      <c r="BJ32" s="225">
        <f t="shared" ca="1" si="22"/>
        <v>623.24999999999989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60</v>
      </c>
      <c r="AG33" s="150">
        <f>SUM('08'!D280:F280)</f>
        <v>11</v>
      </c>
      <c r="AH33" s="160">
        <f t="shared" si="9"/>
        <v>445.09000000000026</v>
      </c>
      <c r="AI33" s="148" t="s">
        <v>76</v>
      </c>
      <c r="AJ33" s="149">
        <f>'09'!B280</f>
        <v>60</v>
      </c>
      <c r="AK33" s="150">
        <f>SUM('09'!D280:F280)</f>
        <v>0</v>
      </c>
      <c r="AL33" s="160">
        <f t="shared" si="10"/>
        <v>505.09000000000026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555.09000000000026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605.09000000000026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655.09000000000026</v>
      </c>
      <c r="AZ33" s="152">
        <f t="shared" si="23"/>
        <v>4406.8500000000004</v>
      </c>
      <c r="BA33" s="21">
        <f t="shared" si="15"/>
        <v>0.12109062761812098</v>
      </c>
      <c r="BB33" s="22">
        <f t="shared" si="20"/>
        <v>2</v>
      </c>
      <c r="BC33" s="22">
        <f t="shared" ca="1" si="16"/>
        <v>550.85625000000005</v>
      </c>
      <c r="BE33" s="224">
        <f t="shared" ca="1" si="17"/>
        <v>4431.9400000000005</v>
      </c>
      <c r="BF33" s="21">
        <f t="shared" ca="1" si="18"/>
        <v>0.11906701989644361</v>
      </c>
      <c r="BG33" s="22">
        <f t="shared" ca="1" si="21"/>
        <v>3</v>
      </c>
      <c r="BH33" s="22">
        <f t="shared" ca="1" si="19"/>
        <v>553.99250000000006</v>
      </c>
      <c r="BJ33" s="224">
        <f t="shared" ca="1" si="22"/>
        <v>25.090000000000259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79.649999999999807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169.64999999999981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259.64999999999981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349.64999999999981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439.64999999999981</v>
      </c>
      <c r="AZ34" s="152">
        <f t="shared" si="23"/>
        <v>1166.3600000000001</v>
      </c>
      <c r="BA34" s="21">
        <f t="shared" si="15"/>
        <v>3.2049029222385964E-2</v>
      </c>
      <c r="BB34" s="22">
        <f t="shared" si="20"/>
        <v>8</v>
      </c>
      <c r="BC34" s="22">
        <f t="shared" ca="1" si="16"/>
        <v>145.79500000000002</v>
      </c>
      <c r="BE34" s="225">
        <f t="shared" ca="1" si="17"/>
        <v>1144.4099999999999</v>
      </c>
      <c r="BF34" s="21">
        <f t="shared" ca="1" si="18"/>
        <v>3.0745336859183337E-2</v>
      </c>
      <c r="BG34" s="22">
        <f t="shared" ca="1" si="21"/>
        <v>12</v>
      </c>
      <c r="BH34" s="22">
        <f t="shared" ca="1" si="19"/>
        <v>143.05124999999998</v>
      </c>
      <c r="BJ34" s="225">
        <f t="shared" ca="1" si="22"/>
        <v>-21.950000000000102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143.15</v>
      </c>
      <c r="AG35" s="186">
        <f>SUM('08'!D320:F320)</f>
        <v>114.64</v>
      </c>
      <c r="AH35" s="187">
        <f t="shared" si="9"/>
        <v>1802.5200000000004</v>
      </c>
      <c r="AI35" s="185" t="s">
        <v>76</v>
      </c>
      <c r="AJ35" s="186">
        <f>'09'!B320</f>
        <v>130</v>
      </c>
      <c r="AK35" s="186">
        <f>SUM('09'!D320:F320)</f>
        <v>0</v>
      </c>
      <c r="AL35" s="187">
        <f t="shared" si="10"/>
        <v>1932.5200000000004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2047.5200000000004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2162.5200000000004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2277.5200000000004</v>
      </c>
      <c r="AZ35" s="188">
        <f t="shared" si="23"/>
        <v>1082.24</v>
      </c>
      <c r="BA35" s="21">
        <f t="shared" si="15"/>
        <v>2.9737595069819767E-2</v>
      </c>
      <c r="BB35" s="22">
        <f t="shared" si="20"/>
        <v>9</v>
      </c>
      <c r="BC35" s="22">
        <f t="shared" ca="1" si="16"/>
        <v>135.28</v>
      </c>
      <c r="BE35" s="224">
        <f t="shared" ca="1" si="17"/>
        <v>1395.16</v>
      </c>
      <c r="BF35" s="21">
        <f t="shared" ca="1" si="18"/>
        <v>3.7481902615721839E-2</v>
      </c>
      <c r="BG35" s="22">
        <f t="shared" ca="1" si="21"/>
        <v>10</v>
      </c>
      <c r="BH35" s="22">
        <f t="shared" ca="1" si="19"/>
        <v>174.39500000000001</v>
      </c>
      <c r="BJ35" s="224">
        <f t="shared" ca="1" si="22"/>
        <v>312.92000000000007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90</v>
      </c>
      <c r="AG36" s="164">
        <f>SUM('08'!D340:F340)</f>
        <v>291.27</v>
      </c>
      <c r="AH36" s="156">
        <f t="shared" si="9"/>
        <v>193.65000000000009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283.65000000000009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373.65000000000009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463.65000000000009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553.65000000000009</v>
      </c>
      <c r="AZ36" s="182">
        <f t="shared" si="23"/>
        <v>837.3599999999999</v>
      </c>
      <c r="BA36" s="21">
        <f t="shared" si="15"/>
        <v>2.3008826699867199E-2</v>
      </c>
      <c r="BB36" s="22">
        <f t="shared" si="20"/>
        <v>12</v>
      </c>
      <c r="BC36" s="22">
        <f t="shared" ca="1" si="16"/>
        <v>104.66999999999999</v>
      </c>
      <c r="BE36" s="223">
        <f t="shared" ca="1" si="17"/>
        <v>930.02</v>
      </c>
      <c r="BF36" s="21">
        <f t="shared" ca="1" si="18"/>
        <v>2.4985606719425461E-2</v>
      </c>
      <c r="BG36" s="22">
        <f t="shared" ca="1" si="21"/>
        <v>13</v>
      </c>
      <c r="BH36" s="22">
        <f t="shared" ca="1" si="19"/>
        <v>116.2525</v>
      </c>
      <c r="BJ36" s="223">
        <f t="shared" ca="1" si="22"/>
        <v>92.660000000000025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1.1869044010948262E-2</v>
      </c>
      <c r="BB37" s="22">
        <f t="shared" si="20"/>
        <v>16</v>
      </c>
      <c r="BC37" s="22">
        <f t="shared" ca="1" si="16"/>
        <v>53.993749999999999</v>
      </c>
      <c r="BE37" s="224">
        <f t="shared" ca="1" si="17"/>
        <v>434.3</v>
      </c>
      <c r="BF37" s="21">
        <f t="shared" ca="1" si="18"/>
        <v>1.1667758755990708E-2</v>
      </c>
      <c r="BG37" s="22">
        <f t="shared" ca="1" si="21"/>
        <v>16</v>
      </c>
      <c r="BH37" s="22">
        <f t="shared" ca="1" si="19"/>
        <v>54.287500000000001</v>
      </c>
      <c r="BJ37" s="224">
        <f t="shared" ca="1" si="22"/>
        <v>2.3500000000000227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29.8</v>
      </c>
      <c r="AH38" s="156">
        <f t="shared" si="9"/>
        <v>108.23000000000006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178.23000000000008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248.23000000000008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318.23000000000008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388.23000000000008</v>
      </c>
      <c r="AZ38" s="157">
        <f t="shared" si="23"/>
        <v>520.97</v>
      </c>
      <c r="BA38" s="21">
        <f t="shared" si="15"/>
        <v>1.4315119477679631E-2</v>
      </c>
      <c r="BB38" s="22">
        <f t="shared" si="20"/>
        <v>13</v>
      </c>
      <c r="BC38" s="22">
        <f t="shared" ca="1" si="16"/>
        <v>65.121250000000003</v>
      </c>
      <c r="BE38" s="225">
        <f t="shared" ca="1" si="17"/>
        <v>590</v>
      </c>
      <c r="BF38" s="21">
        <f t="shared" ca="1" si="18"/>
        <v>1.5850742956561172E-2</v>
      </c>
      <c r="BG38" s="22">
        <f t="shared" ca="1" si="21"/>
        <v>14</v>
      </c>
      <c r="BH38" s="22">
        <f t="shared" ca="1" si="19"/>
        <v>73.75</v>
      </c>
      <c r="BJ38" s="225">
        <f t="shared" ca="1" si="22"/>
        <v>69.03000000000003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46.259999999999991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66.259999999999991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86.259999999999991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-1168.74</v>
      </c>
      <c r="BF39" s="21">
        <f t="shared" ca="1" si="18"/>
        <v>-3.1398978513646279E-2</v>
      </c>
      <c r="BG39" s="22">
        <f t="shared" ca="1" si="21"/>
        <v>25</v>
      </c>
      <c r="BH39" s="22">
        <f t="shared" ca="1" si="19"/>
        <v>-146.0925</v>
      </c>
      <c r="BJ39" s="224">
        <f t="shared" ca="1" si="22"/>
        <v>-1168.74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0</v>
      </c>
      <c r="AL40" s="156">
        <f t="shared" si="10"/>
        <v>77.830000000000609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97.830000000000609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117.83000000000061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137.83000000000061</v>
      </c>
      <c r="AZ40" s="157">
        <f t="shared" si="23"/>
        <v>164.23000000000002</v>
      </c>
      <c r="BA40" s="21">
        <f t="shared" si="15"/>
        <v>4.5126822500706877E-3</v>
      </c>
      <c r="BB40" s="22">
        <f t="shared" si="20"/>
        <v>20</v>
      </c>
      <c r="BC40" s="22">
        <f t="shared" ca="1" si="16"/>
        <v>20.528750000000002</v>
      </c>
      <c r="BE40" s="225">
        <f t="shared" ca="1" si="17"/>
        <v>-612.45000000000005</v>
      </c>
      <c r="BF40" s="21">
        <f t="shared" ca="1" si="18"/>
        <v>-1.645387715889134E-2</v>
      </c>
      <c r="BG40" s="22">
        <f t="shared" ca="1" si="21"/>
        <v>24</v>
      </c>
      <c r="BH40" s="22">
        <f t="shared" ca="1" si="19"/>
        <v>-76.556250000000006</v>
      </c>
      <c r="BJ40" s="225">
        <f t="shared" ca="1" si="22"/>
        <v>-776.67999999999984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-2941.37</v>
      </c>
      <c r="AG41" s="165">
        <f>SUM('08'!D440:F440)</f>
        <v>0</v>
      </c>
      <c r="AH41" s="151">
        <f t="shared" si="9"/>
        <v>5524.3700000000017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1624.3700000000017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-2275.6299999999983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-6175.6299999999983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-10075.629999999997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-3025.6299999999974</v>
      </c>
      <c r="BF41" s="21">
        <f t="shared" ca="1" si="18"/>
        <v>-8.1285565104508711E-2</v>
      </c>
      <c r="BG41" s="22">
        <f t="shared" ca="1" si="21"/>
        <v>26</v>
      </c>
      <c r="BH41" s="22">
        <f t="shared" ca="1" si="19"/>
        <v>-378.20374999999967</v>
      </c>
      <c r="BJ41" s="224">
        <f t="shared" ca="1" si="22"/>
        <v>-3025.6299999999965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0.10870493250941708</v>
      </c>
      <c r="BG42" s="22">
        <f t="shared" ca="1" si="21"/>
        <v>4</v>
      </c>
      <c r="BH42" s="22">
        <f t="shared" ca="1" si="19"/>
        <v>505.78000000000003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273.63000000000011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323.63000000000011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373.63000000000011</v>
      </c>
      <c r="AZ43" s="152">
        <f t="shared" si="23"/>
        <v>500</v>
      </c>
      <c r="BA43" s="21">
        <f t="shared" si="15"/>
        <v>1.3738909608691126E-2</v>
      </c>
      <c r="BB43" s="22">
        <f t="shared" si="20"/>
        <v>14</v>
      </c>
      <c r="BC43" s="22">
        <f t="shared" ca="1" si="16"/>
        <v>62.5</v>
      </c>
      <c r="BE43" s="224">
        <f t="shared" ca="1" si="17"/>
        <v>-304.36999999999995</v>
      </c>
      <c r="BF43" s="21">
        <f t="shared" ca="1" si="18"/>
        <v>-8.177102768963598E-3</v>
      </c>
      <c r="BG43" s="22">
        <f t="shared" ca="1" si="21"/>
        <v>23</v>
      </c>
      <c r="BH43" s="22">
        <f t="shared" ca="1" si="19"/>
        <v>-38.046249999999993</v>
      </c>
      <c r="BJ43" s="224">
        <f t="shared" ca="1" si="22"/>
        <v>-804.36999999999989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21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23.43</v>
      </c>
      <c r="AH45" s="176">
        <f t="shared" si="9"/>
        <v>7.9100000000000286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7.9100000000000286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7.9100000000000286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7.9100000000000286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7.9100000000000286</v>
      </c>
      <c r="AZ45" s="177">
        <f t="shared" si="23"/>
        <v>88.009999999999991</v>
      </c>
      <c r="BA45" s="21">
        <f t="shared" si="15"/>
        <v>2.4183228693218117E-3</v>
      </c>
      <c r="BB45" s="22">
        <f t="shared" si="20"/>
        <v>22</v>
      </c>
      <c r="BC45" s="22">
        <f t="shared" ca="1" si="16"/>
        <v>11.001249999999999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21</v>
      </c>
      <c r="BH45" s="22">
        <f t="shared" ca="1" si="19"/>
        <v>0</v>
      </c>
      <c r="BJ45" s="226">
        <f t="shared" ca="1" si="22"/>
        <v>-88.01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971.77999999999975</v>
      </c>
      <c r="AG46" s="219">
        <f>SUM(AG20:AG45)</f>
        <v>2925.85</v>
      </c>
      <c r="AH46" s="220">
        <f>SUM(AH20:AH45)</f>
        <v>27212.78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27212.780000000002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27212.780000000002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27212.780000000002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27212.780000000002</v>
      </c>
      <c r="AZ46" s="227">
        <f>SUM(AZ20:AZ45)</f>
        <v>36392.99</v>
      </c>
      <c r="BA46" s="1"/>
      <c r="BB46" s="1"/>
      <c r="BC46" s="124">
        <f ca="1">SUM(BC20:BC45)</f>
        <v>4549.1237499999997</v>
      </c>
      <c r="BE46" s="227">
        <f ca="1">SUM(BE20:BE45)</f>
        <v>37222.230000000003</v>
      </c>
      <c r="BF46" s="1"/>
      <c r="BG46" s="1"/>
      <c r="BH46" s="124">
        <f ca="1">SUM(BH20:BH45)</f>
        <v>4652.7787500000004</v>
      </c>
      <c r="BJ46" s="227">
        <f ca="1">SUM(BJ20:BJ45)</f>
        <v>829.24000000000365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-1954.07</v>
      </c>
      <c r="AH47" s="125"/>
      <c r="AI47" s="125">
        <f>AI5-AH46</f>
        <v>1958.5700000000033</v>
      </c>
      <c r="AJ47" s="125">
        <f>AI17-AJ46</f>
        <v>0</v>
      </c>
      <c r="AK47" s="125">
        <f>AI17-AK46</f>
        <v>0</v>
      </c>
      <c r="AL47" s="125"/>
      <c r="AM47" s="125">
        <f>AM5-AL46</f>
        <v>-12110.890000000001</v>
      </c>
      <c r="AN47" s="125">
        <f>AM17-AN46</f>
        <v>0</v>
      </c>
      <c r="AO47" s="125">
        <f>AM17-AO46</f>
        <v>0</v>
      </c>
      <c r="AP47" s="125"/>
      <c r="AQ47" s="125">
        <f>AQ5-AP46</f>
        <v>-12110.890000000001</v>
      </c>
      <c r="AR47" s="125">
        <f>AQ17-AR46</f>
        <v>0</v>
      </c>
      <c r="AS47" s="125">
        <f>AQ17-AS46</f>
        <v>0</v>
      </c>
      <c r="AT47" s="140"/>
      <c r="AU47" s="125">
        <f>AU5-AT46</f>
        <v>-12110.890000000001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54589.485000000001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729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9" t="s">
        <v>149</v>
      </c>
      <c r="D52" s="370"/>
      <c r="E52" s="370"/>
      <c r="F52" s="371"/>
      <c r="G52" s="369" t="s">
        <v>149</v>
      </c>
      <c r="H52" s="370"/>
      <c r="I52" s="370"/>
      <c r="J52" s="371"/>
      <c r="K52" s="369" t="s">
        <v>149</v>
      </c>
      <c r="L52" s="370"/>
      <c r="M52" s="370"/>
      <c r="N52" s="371"/>
      <c r="O52" s="369" t="s">
        <v>149</v>
      </c>
      <c r="P52" s="370"/>
      <c r="Q52" s="370"/>
      <c r="R52" s="371"/>
      <c r="S52" s="369" t="s">
        <v>149</v>
      </c>
      <c r="T52" s="370"/>
      <c r="U52" s="370"/>
      <c r="V52" s="371"/>
      <c r="W52" s="369" t="s">
        <v>149</v>
      </c>
      <c r="X52" s="370"/>
      <c r="Y52" s="370"/>
      <c r="Z52" s="371"/>
      <c r="AA52" s="369" t="s">
        <v>149</v>
      </c>
      <c r="AB52" s="370"/>
      <c r="AC52" s="370"/>
      <c r="AD52" s="371"/>
      <c r="AE52" s="369" t="s">
        <v>149</v>
      </c>
      <c r="AF52" s="370"/>
      <c r="AG52" s="370"/>
      <c r="AH52" s="371"/>
      <c r="AI52" s="369" t="s">
        <v>149</v>
      </c>
      <c r="AJ52" s="370"/>
      <c r="AK52" s="370"/>
      <c r="AL52" s="371"/>
      <c r="AM52" s="369" t="s">
        <v>149</v>
      </c>
      <c r="AN52" s="370"/>
      <c r="AO52" s="370"/>
      <c r="AP52" s="371"/>
      <c r="AQ52" s="369" t="s">
        <v>149</v>
      </c>
      <c r="AR52" s="370"/>
      <c r="AS52" s="370"/>
      <c r="AT52" s="371"/>
      <c r="AU52" s="369" t="s">
        <v>149</v>
      </c>
      <c r="AV52" s="370"/>
      <c r="AW52" s="370"/>
      <c r="AX52" s="371"/>
    </row>
    <row r="53" spans="1:62" ht="15.75" thickBot="1">
      <c r="C53" s="93" t="s">
        <v>150</v>
      </c>
      <c r="D53" s="372" t="s">
        <v>31</v>
      </c>
      <c r="E53" s="373"/>
      <c r="F53" s="94" t="s">
        <v>88</v>
      </c>
      <c r="G53" s="93" t="s">
        <v>150</v>
      </c>
      <c r="H53" s="372" t="s">
        <v>31</v>
      </c>
      <c r="I53" s="373"/>
      <c r="J53" s="94" t="s">
        <v>88</v>
      </c>
      <c r="K53" s="93" t="s">
        <v>150</v>
      </c>
      <c r="L53" s="372" t="s">
        <v>31</v>
      </c>
      <c r="M53" s="373"/>
      <c r="N53" s="94" t="s">
        <v>88</v>
      </c>
      <c r="O53" s="93" t="s">
        <v>150</v>
      </c>
      <c r="P53" s="372" t="s">
        <v>31</v>
      </c>
      <c r="Q53" s="373"/>
      <c r="R53" s="94" t="s">
        <v>88</v>
      </c>
      <c r="S53" s="93" t="s">
        <v>150</v>
      </c>
      <c r="T53" s="372" t="s">
        <v>31</v>
      </c>
      <c r="U53" s="373"/>
      <c r="V53" s="94" t="s">
        <v>88</v>
      </c>
      <c r="W53" s="93" t="s">
        <v>150</v>
      </c>
      <c r="X53" s="372" t="s">
        <v>31</v>
      </c>
      <c r="Y53" s="373"/>
      <c r="Z53" s="94" t="s">
        <v>88</v>
      </c>
      <c r="AA53" s="93" t="s">
        <v>150</v>
      </c>
      <c r="AB53" s="372" t="s">
        <v>31</v>
      </c>
      <c r="AC53" s="373"/>
      <c r="AD53" s="94" t="s">
        <v>88</v>
      </c>
      <c r="AE53" s="93" t="s">
        <v>150</v>
      </c>
      <c r="AF53" s="372" t="s">
        <v>31</v>
      </c>
      <c r="AG53" s="373"/>
      <c r="AH53" s="94" t="s">
        <v>88</v>
      </c>
      <c r="AI53" s="93" t="s">
        <v>150</v>
      </c>
      <c r="AJ53" s="372" t="s">
        <v>31</v>
      </c>
      <c r="AK53" s="373"/>
      <c r="AL53" s="94" t="s">
        <v>88</v>
      </c>
      <c r="AM53" s="93" t="s">
        <v>150</v>
      </c>
      <c r="AN53" s="372" t="s">
        <v>31</v>
      </c>
      <c r="AO53" s="373"/>
      <c r="AP53" s="94" t="s">
        <v>88</v>
      </c>
      <c r="AQ53" s="93" t="s">
        <v>150</v>
      </c>
      <c r="AR53" s="372" t="s">
        <v>31</v>
      </c>
      <c r="AS53" s="373"/>
      <c r="AT53" s="94" t="s">
        <v>88</v>
      </c>
      <c r="AU53" s="93" t="s">
        <v>150</v>
      </c>
      <c r="AV53" s="372" t="s">
        <v>31</v>
      </c>
      <c r="AW53" s="373"/>
      <c r="AX53" s="94" t="s">
        <v>88</v>
      </c>
    </row>
    <row r="54" spans="1:62">
      <c r="C54" s="95">
        <v>43495</v>
      </c>
      <c r="D54" s="374" t="s">
        <v>235</v>
      </c>
      <c r="E54" s="375"/>
      <c r="F54" s="98"/>
      <c r="G54" s="95">
        <v>43497</v>
      </c>
      <c r="H54" s="374" t="s">
        <v>270</v>
      </c>
      <c r="I54" s="375"/>
      <c r="J54" s="100">
        <v>500</v>
      </c>
      <c r="K54" s="95">
        <v>43539</v>
      </c>
      <c r="L54" s="380" t="s">
        <v>257</v>
      </c>
      <c r="M54" s="381"/>
      <c r="N54" s="100">
        <v>70</v>
      </c>
      <c r="O54" s="95"/>
      <c r="P54" s="385"/>
      <c r="Q54" s="386"/>
      <c r="R54" s="102"/>
      <c r="S54" s="95">
        <v>43594</v>
      </c>
      <c r="T54" s="380" t="s">
        <v>243</v>
      </c>
      <c r="U54" s="381"/>
      <c r="V54" s="103"/>
      <c r="W54" s="95">
        <v>43624</v>
      </c>
      <c r="X54" s="380" t="s">
        <v>153</v>
      </c>
      <c r="Y54" s="381"/>
      <c r="Z54" s="104">
        <v>10</v>
      </c>
      <c r="AA54" s="95"/>
      <c r="AB54" s="387" t="s">
        <v>476</v>
      </c>
      <c r="AC54" s="388"/>
      <c r="AD54" s="239">
        <v>15</v>
      </c>
      <c r="AE54" s="95"/>
      <c r="AF54" s="387" t="s">
        <v>476</v>
      </c>
      <c r="AG54" s="388"/>
      <c r="AH54" s="239">
        <v>14</v>
      </c>
      <c r="AI54" s="95"/>
      <c r="AJ54" s="399"/>
      <c r="AK54" s="400"/>
      <c r="AL54" s="100"/>
      <c r="AM54" s="95"/>
      <c r="AN54" s="399"/>
      <c r="AO54" s="400"/>
      <c r="AP54" s="100"/>
      <c r="AQ54" s="95"/>
      <c r="AR54" s="385"/>
      <c r="AS54" s="386"/>
      <c r="AT54" s="100"/>
      <c r="AU54" s="95"/>
      <c r="AV54" s="374"/>
      <c r="AW54" s="375"/>
      <c r="AX54" s="100"/>
    </row>
    <row r="55" spans="1:62">
      <c r="C55" s="96"/>
      <c r="D55" s="378" t="s">
        <v>236</v>
      </c>
      <c r="E55" s="379"/>
      <c r="F55" s="98">
        <v>121.4</v>
      </c>
      <c r="G55" s="96">
        <v>43516</v>
      </c>
      <c r="H55" s="378" t="s">
        <v>311</v>
      </c>
      <c r="I55" s="379"/>
      <c r="J55" s="100"/>
      <c r="K55" s="96">
        <v>43553</v>
      </c>
      <c r="L55" s="378" t="s">
        <v>297</v>
      </c>
      <c r="M55" s="379"/>
      <c r="N55" s="100">
        <v>4421.9399999999996</v>
      </c>
      <c r="O55" s="96">
        <v>43565</v>
      </c>
      <c r="P55" s="378" t="s">
        <v>323</v>
      </c>
      <c r="Q55" s="379"/>
      <c r="R55" s="100">
        <v>10</v>
      </c>
      <c r="S55" s="96">
        <v>43607</v>
      </c>
      <c r="T55" s="378" t="s">
        <v>311</v>
      </c>
      <c r="U55" s="379"/>
      <c r="V55" s="100"/>
      <c r="W55" s="96">
        <v>43637</v>
      </c>
      <c r="X55" s="378" t="s">
        <v>151</v>
      </c>
      <c r="Y55" s="379"/>
      <c r="Z55" s="100">
        <v>10</v>
      </c>
      <c r="AA55" s="96">
        <v>43666</v>
      </c>
      <c r="AB55" s="378" t="s">
        <v>235</v>
      </c>
      <c r="AC55" s="379"/>
      <c r="AD55" s="100"/>
      <c r="AE55" s="96">
        <v>43682</v>
      </c>
      <c r="AF55" s="378" t="s">
        <v>323</v>
      </c>
      <c r="AG55" s="379"/>
      <c r="AH55" s="100">
        <v>10</v>
      </c>
      <c r="AI55" s="96"/>
      <c r="AJ55" s="395"/>
      <c r="AK55" s="396"/>
      <c r="AL55" s="100"/>
      <c r="AM55" s="96"/>
      <c r="AN55" s="395"/>
      <c r="AO55" s="396"/>
      <c r="AP55" s="100"/>
      <c r="AQ55" s="96"/>
      <c r="AR55" s="378"/>
      <c r="AS55" s="379"/>
      <c r="AT55" s="100"/>
      <c r="AU55" s="96"/>
      <c r="AV55" s="378"/>
      <c r="AW55" s="379"/>
      <c r="AX55" s="100"/>
    </row>
    <row r="56" spans="1:62">
      <c r="B56" s="119"/>
      <c r="C56" s="96">
        <v>43472</v>
      </c>
      <c r="D56" s="378" t="s">
        <v>151</v>
      </c>
      <c r="E56" s="379"/>
      <c r="F56" s="98">
        <v>15</v>
      </c>
      <c r="G56" s="96">
        <v>43507</v>
      </c>
      <c r="H56" s="378" t="s">
        <v>323</v>
      </c>
      <c r="I56" s="379"/>
      <c r="J56" s="100">
        <v>10</v>
      </c>
      <c r="K56" s="96">
        <v>43529</v>
      </c>
      <c r="L56" s="378" t="s">
        <v>325</v>
      </c>
      <c r="M56" s="379"/>
      <c r="N56" s="100">
        <v>3362.6</v>
      </c>
      <c r="O56" s="96">
        <v>43576</v>
      </c>
      <c r="P56" s="387" t="s">
        <v>235</v>
      </c>
      <c r="Q56" s="388"/>
      <c r="R56" s="102"/>
      <c r="S56" s="96">
        <v>43615</v>
      </c>
      <c r="T56" s="378" t="s">
        <v>235</v>
      </c>
      <c r="U56" s="379"/>
      <c r="V56" s="100"/>
      <c r="W56" s="96"/>
      <c r="X56" s="378"/>
      <c r="Y56" s="379"/>
      <c r="Z56" s="100"/>
      <c r="AA56" s="96"/>
      <c r="AB56" s="378"/>
      <c r="AC56" s="379"/>
      <c r="AD56" s="100"/>
      <c r="AE56" s="96">
        <v>43702</v>
      </c>
      <c r="AF56" s="378" t="s">
        <v>151</v>
      </c>
      <c r="AG56" s="379"/>
      <c r="AH56" s="100">
        <v>10</v>
      </c>
      <c r="AI56" s="96"/>
      <c r="AJ56" s="389"/>
      <c r="AK56" s="390"/>
      <c r="AL56" s="100"/>
      <c r="AM56" s="96"/>
      <c r="AN56" s="389"/>
      <c r="AO56" s="390"/>
      <c r="AP56" s="100"/>
      <c r="AQ56" s="96"/>
      <c r="AR56" s="395"/>
      <c r="AS56" s="396"/>
      <c r="AT56" s="100"/>
      <c r="AU56" s="96"/>
      <c r="AV56" s="378"/>
      <c r="AW56" s="379"/>
      <c r="AX56" s="100"/>
    </row>
    <row r="57" spans="1:62">
      <c r="C57" s="96">
        <v>43476</v>
      </c>
      <c r="D57" s="378" t="s">
        <v>153</v>
      </c>
      <c r="E57" s="379"/>
      <c r="F57" s="98">
        <v>10</v>
      </c>
      <c r="G57" s="96">
        <v>43516</v>
      </c>
      <c r="H57" s="378" t="s">
        <v>352</v>
      </c>
      <c r="I57" s="379"/>
      <c r="J57" s="100"/>
      <c r="K57" s="96">
        <v>43533</v>
      </c>
      <c r="L57" s="378" t="s">
        <v>235</v>
      </c>
      <c r="M57" s="379"/>
      <c r="N57" s="100"/>
      <c r="O57" s="96">
        <v>43578</v>
      </c>
      <c r="P57" s="382" t="s">
        <v>389</v>
      </c>
      <c r="Q57" s="383"/>
      <c r="R57" s="100">
        <v>10</v>
      </c>
      <c r="S57" s="96"/>
      <c r="T57" s="378"/>
      <c r="U57" s="379"/>
      <c r="V57" s="100"/>
      <c r="W57" s="96"/>
      <c r="X57" s="378"/>
      <c r="Y57" s="379"/>
      <c r="Z57" s="100"/>
      <c r="AA57" s="96"/>
      <c r="AB57" s="395"/>
      <c r="AC57" s="396"/>
      <c r="AD57" s="100"/>
      <c r="AE57" s="96"/>
      <c r="AF57" s="378"/>
      <c r="AG57" s="379"/>
      <c r="AH57" s="100"/>
      <c r="AI57" s="96"/>
      <c r="AJ57" s="391"/>
      <c r="AK57" s="392"/>
      <c r="AL57" s="100"/>
      <c r="AM57" s="96"/>
      <c r="AN57" s="389"/>
      <c r="AO57" s="390"/>
      <c r="AP57" s="100"/>
      <c r="AQ57" s="96"/>
      <c r="AR57" s="378"/>
      <c r="AS57" s="379"/>
      <c r="AT57" s="100"/>
      <c r="AU57" s="96"/>
      <c r="AV57" s="378"/>
      <c r="AW57" s="379"/>
      <c r="AX57" s="100"/>
    </row>
    <row r="58" spans="1:62">
      <c r="C58" s="96">
        <v>43478</v>
      </c>
      <c r="D58" s="378" t="s">
        <v>243</v>
      </c>
      <c r="E58" s="379"/>
      <c r="F58" s="98"/>
      <c r="G58" s="96"/>
      <c r="H58" s="378"/>
      <c r="I58" s="379"/>
      <c r="J58" s="100"/>
      <c r="K58" s="96">
        <v>43536</v>
      </c>
      <c r="L58" s="378" t="s">
        <v>243</v>
      </c>
      <c r="M58" s="379"/>
      <c r="N58" s="100"/>
      <c r="O58" s="96"/>
      <c r="P58" s="378"/>
      <c r="Q58" s="379"/>
      <c r="R58" s="100"/>
      <c r="S58" s="96"/>
      <c r="T58" s="378"/>
      <c r="U58" s="379"/>
      <c r="V58" s="100"/>
      <c r="W58" s="96"/>
      <c r="X58" s="378"/>
      <c r="Y58" s="379"/>
      <c r="Z58" s="100"/>
      <c r="AA58" s="96"/>
      <c r="AB58" s="395"/>
      <c r="AC58" s="396"/>
      <c r="AD58" s="100"/>
      <c r="AE58" s="96"/>
      <c r="AF58" s="378"/>
      <c r="AG58" s="379"/>
      <c r="AH58" s="100"/>
      <c r="AI58" s="96"/>
      <c r="AJ58" s="391"/>
      <c r="AK58" s="392"/>
      <c r="AL58" s="100"/>
      <c r="AM58" s="96"/>
      <c r="AN58" s="391"/>
      <c r="AO58" s="392"/>
      <c r="AP58" s="100"/>
      <c r="AQ58" s="96"/>
      <c r="AR58" s="378"/>
      <c r="AS58" s="379"/>
      <c r="AT58" s="100"/>
      <c r="AU58" s="96"/>
      <c r="AV58" s="378"/>
      <c r="AW58" s="379"/>
      <c r="AX58" s="100"/>
    </row>
    <row r="59" spans="1:62">
      <c r="C59" s="96">
        <v>43481</v>
      </c>
      <c r="D59" s="378" t="s">
        <v>271</v>
      </c>
      <c r="E59" s="379"/>
      <c r="F59" s="98">
        <v>50</v>
      </c>
      <c r="G59" s="96"/>
      <c r="H59" s="378"/>
      <c r="I59" s="379"/>
      <c r="J59" s="100"/>
      <c r="K59" s="96"/>
      <c r="L59" s="378" t="s">
        <v>385</v>
      </c>
      <c r="M59" s="379"/>
      <c r="N59" s="100">
        <f>3.1+10.5</f>
        <v>13.6</v>
      </c>
      <c r="O59" s="96"/>
      <c r="P59" s="378"/>
      <c r="Q59" s="379"/>
      <c r="R59" s="100"/>
      <c r="S59" s="96"/>
      <c r="T59" s="389"/>
      <c r="U59" s="390"/>
      <c r="V59" s="100"/>
      <c r="W59" s="96"/>
      <c r="X59" s="389"/>
      <c r="Y59" s="390"/>
      <c r="Z59" s="100"/>
      <c r="AA59" s="96"/>
      <c r="AB59" s="389"/>
      <c r="AC59" s="390"/>
      <c r="AD59" s="100"/>
      <c r="AE59" s="96"/>
      <c r="AF59" s="378"/>
      <c r="AG59" s="379"/>
      <c r="AH59" s="100"/>
      <c r="AI59" s="96"/>
      <c r="AJ59" s="391"/>
      <c r="AK59" s="392"/>
      <c r="AL59" s="100"/>
      <c r="AM59" s="96"/>
      <c r="AN59" s="391"/>
      <c r="AO59" s="392"/>
      <c r="AP59" s="100"/>
      <c r="AQ59" s="96"/>
      <c r="AR59" s="378"/>
      <c r="AS59" s="379"/>
      <c r="AT59" s="100"/>
      <c r="AU59" s="96"/>
      <c r="AV59" s="378"/>
      <c r="AW59" s="379"/>
      <c r="AX59" s="100"/>
    </row>
    <row r="60" spans="1:62">
      <c r="C60" s="96">
        <v>43488</v>
      </c>
      <c r="D60" s="378" t="s">
        <v>290</v>
      </c>
      <c r="E60" s="379"/>
      <c r="F60" s="98"/>
      <c r="G60" s="96"/>
      <c r="H60" s="378"/>
      <c r="I60" s="379"/>
      <c r="J60" s="100"/>
      <c r="K60" s="235">
        <v>43549</v>
      </c>
      <c r="L60" s="382" t="s">
        <v>389</v>
      </c>
      <c r="M60" s="383"/>
      <c r="N60" s="236">
        <v>15</v>
      </c>
      <c r="O60" s="96"/>
      <c r="P60" s="378"/>
      <c r="Q60" s="379"/>
      <c r="R60" s="100"/>
      <c r="S60" s="96"/>
      <c r="T60" s="389"/>
      <c r="U60" s="390"/>
      <c r="V60" s="100"/>
      <c r="W60" s="96"/>
      <c r="X60" s="391"/>
      <c r="Y60" s="392"/>
      <c r="Z60" s="100"/>
      <c r="AA60" s="96"/>
      <c r="AB60" s="391"/>
      <c r="AC60" s="392"/>
      <c r="AD60" s="100"/>
      <c r="AE60" s="96"/>
      <c r="AF60" s="389"/>
      <c r="AG60" s="390"/>
      <c r="AH60" s="100"/>
      <c r="AI60" s="96"/>
      <c r="AJ60" s="391"/>
      <c r="AK60" s="392"/>
      <c r="AL60" s="100"/>
      <c r="AM60" s="96"/>
      <c r="AN60" s="391"/>
      <c r="AO60" s="392"/>
      <c r="AP60" s="100"/>
      <c r="AQ60" s="96"/>
      <c r="AR60" s="378"/>
      <c r="AS60" s="379"/>
      <c r="AT60" s="100"/>
      <c r="AU60" s="96"/>
      <c r="AV60" s="378"/>
      <c r="AW60" s="379"/>
      <c r="AX60" s="100"/>
    </row>
    <row r="61" spans="1:62">
      <c r="C61" s="96">
        <v>43490</v>
      </c>
      <c r="D61" s="378" t="s">
        <v>292</v>
      </c>
      <c r="E61" s="379"/>
      <c r="F61" s="98">
        <v>40</v>
      </c>
      <c r="G61" s="96"/>
      <c r="H61" s="378"/>
      <c r="I61" s="379"/>
      <c r="J61" s="100"/>
      <c r="K61" s="96"/>
      <c r="L61" s="384"/>
      <c r="M61" s="379"/>
      <c r="N61" s="100"/>
      <c r="O61" s="96"/>
      <c r="P61" s="378"/>
      <c r="Q61" s="379"/>
      <c r="R61" s="100"/>
      <c r="S61" s="96"/>
      <c r="T61" s="389"/>
      <c r="U61" s="390"/>
      <c r="V61" s="100"/>
      <c r="W61" s="96"/>
      <c r="X61" s="391"/>
      <c r="Y61" s="392"/>
      <c r="Z61" s="100"/>
      <c r="AA61" s="96"/>
      <c r="AB61" s="391"/>
      <c r="AC61" s="392"/>
      <c r="AD61" s="100"/>
      <c r="AE61" s="96"/>
      <c r="AF61" s="391"/>
      <c r="AG61" s="392"/>
      <c r="AH61" s="100"/>
      <c r="AI61" s="96"/>
      <c r="AJ61" s="391"/>
      <c r="AK61" s="392"/>
      <c r="AL61" s="100"/>
      <c r="AM61" s="96"/>
      <c r="AN61" s="391"/>
      <c r="AO61" s="392"/>
      <c r="AP61" s="100"/>
      <c r="AQ61" s="96"/>
      <c r="AR61" s="378"/>
      <c r="AS61" s="379"/>
      <c r="AT61" s="100"/>
      <c r="AU61" s="96"/>
      <c r="AV61" s="378"/>
      <c r="AW61" s="379"/>
      <c r="AX61" s="100"/>
    </row>
    <row r="62" spans="1:62">
      <c r="C62" s="96"/>
      <c r="D62" s="378"/>
      <c r="E62" s="379"/>
      <c r="F62" s="98"/>
      <c r="G62" s="96"/>
      <c r="H62" s="378"/>
      <c r="I62" s="379"/>
      <c r="J62" s="100"/>
      <c r="K62" s="96"/>
      <c r="L62" s="378"/>
      <c r="M62" s="379"/>
      <c r="N62" s="100"/>
      <c r="O62" s="96"/>
      <c r="P62" s="378"/>
      <c r="Q62" s="379"/>
      <c r="R62" s="100"/>
      <c r="S62" s="96"/>
      <c r="T62" s="389"/>
      <c r="U62" s="390"/>
      <c r="V62" s="100"/>
      <c r="W62" s="96"/>
      <c r="X62" s="391"/>
      <c r="Y62" s="392"/>
      <c r="Z62" s="100"/>
      <c r="AA62" s="96"/>
      <c r="AB62" s="391"/>
      <c r="AC62" s="392"/>
      <c r="AD62" s="100"/>
      <c r="AE62" s="96"/>
      <c r="AF62" s="391"/>
      <c r="AG62" s="392"/>
      <c r="AH62" s="100"/>
      <c r="AI62" s="96"/>
      <c r="AJ62" s="391"/>
      <c r="AK62" s="392"/>
      <c r="AL62" s="100"/>
      <c r="AM62" s="96"/>
      <c r="AN62" s="391"/>
      <c r="AO62" s="392"/>
      <c r="AP62" s="100"/>
      <c r="AQ62" s="96"/>
      <c r="AR62" s="378"/>
      <c r="AS62" s="379"/>
      <c r="AT62" s="100"/>
      <c r="AU62" s="96"/>
      <c r="AV62" s="378"/>
      <c r="AW62" s="379"/>
      <c r="AX62" s="100"/>
    </row>
    <row r="63" spans="1:62">
      <c r="C63" s="96"/>
      <c r="D63" s="378"/>
      <c r="E63" s="379"/>
      <c r="F63" s="98"/>
      <c r="G63" s="96"/>
      <c r="H63" s="378"/>
      <c r="I63" s="379"/>
      <c r="J63" s="100"/>
      <c r="K63" s="96"/>
      <c r="L63" s="378"/>
      <c r="M63" s="379"/>
      <c r="N63" s="100"/>
      <c r="O63" s="96"/>
      <c r="P63" s="378"/>
      <c r="Q63" s="379"/>
      <c r="R63" s="100"/>
      <c r="S63" s="96"/>
      <c r="T63" s="389"/>
      <c r="U63" s="390"/>
      <c r="V63" s="100"/>
      <c r="W63" s="96"/>
      <c r="X63" s="391"/>
      <c r="Y63" s="392"/>
      <c r="Z63" s="100"/>
      <c r="AA63" s="96"/>
      <c r="AB63" s="391"/>
      <c r="AC63" s="392"/>
      <c r="AD63" s="100"/>
      <c r="AE63" s="96"/>
      <c r="AF63" s="391"/>
      <c r="AG63" s="392"/>
      <c r="AH63" s="100"/>
      <c r="AI63" s="96"/>
      <c r="AJ63" s="391"/>
      <c r="AK63" s="392"/>
      <c r="AL63" s="100"/>
      <c r="AM63" s="96"/>
      <c r="AN63" s="391"/>
      <c r="AO63" s="392"/>
      <c r="AP63" s="100"/>
      <c r="AQ63" s="96"/>
      <c r="AR63" s="378"/>
      <c r="AS63" s="379"/>
      <c r="AT63" s="100"/>
      <c r="AU63" s="96"/>
      <c r="AV63" s="378"/>
      <c r="AW63" s="379"/>
      <c r="AX63" s="100"/>
    </row>
    <row r="64" spans="1:62">
      <c r="C64" s="96"/>
      <c r="D64" s="378"/>
      <c r="E64" s="379"/>
      <c r="F64" s="98"/>
      <c r="G64" s="96"/>
      <c r="H64" s="378"/>
      <c r="I64" s="379"/>
      <c r="J64" s="100"/>
      <c r="K64" s="96"/>
      <c r="L64" s="378"/>
      <c r="M64" s="379"/>
      <c r="N64" s="100"/>
      <c r="O64" s="96"/>
      <c r="P64" s="378"/>
      <c r="Q64" s="379"/>
      <c r="R64" s="100"/>
      <c r="S64" s="96"/>
      <c r="T64" s="389"/>
      <c r="U64" s="390"/>
      <c r="V64" s="100"/>
      <c r="W64" s="96"/>
      <c r="X64" s="391"/>
      <c r="Y64" s="392"/>
      <c r="Z64" s="100"/>
      <c r="AA64" s="96"/>
      <c r="AB64" s="391"/>
      <c r="AC64" s="392"/>
      <c r="AD64" s="100"/>
      <c r="AE64" s="96"/>
      <c r="AF64" s="391"/>
      <c r="AG64" s="392"/>
      <c r="AH64" s="100"/>
      <c r="AI64" s="96"/>
      <c r="AJ64" s="391"/>
      <c r="AK64" s="392"/>
      <c r="AL64" s="100"/>
      <c r="AM64" s="96"/>
      <c r="AN64" s="391"/>
      <c r="AO64" s="392"/>
      <c r="AP64" s="100"/>
      <c r="AQ64" s="96"/>
      <c r="AR64" s="378"/>
      <c r="AS64" s="379"/>
      <c r="AT64" s="100"/>
      <c r="AU64" s="96"/>
      <c r="AV64" s="378"/>
      <c r="AW64" s="379"/>
      <c r="AX64" s="100"/>
    </row>
    <row r="65" spans="1:50">
      <c r="C65" s="96"/>
      <c r="D65" s="378"/>
      <c r="E65" s="379"/>
      <c r="F65" s="98"/>
      <c r="G65" s="96"/>
      <c r="H65" s="378"/>
      <c r="I65" s="379"/>
      <c r="J65" s="100"/>
      <c r="K65" s="96"/>
      <c r="L65" s="378"/>
      <c r="M65" s="379"/>
      <c r="N65" s="100"/>
      <c r="O65" s="96"/>
      <c r="P65" s="378"/>
      <c r="Q65" s="379"/>
      <c r="R65" s="100"/>
      <c r="S65" s="96"/>
      <c r="T65" s="389"/>
      <c r="U65" s="390"/>
      <c r="V65" s="100"/>
      <c r="W65" s="96"/>
      <c r="X65" s="391"/>
      <c r="Y65" s="392"/>
      <c r="Z65" s="100"/>
      <c r="AA65" s="96"/>
      <c r="AB65" s="391"/>
      <c r="AC65" s="392"/>
      <c r="AD65" s="100"/>
      <c r="AE65" s="96"/>
      <c r="AF65" s="391"/>
      <c r="AG65" s="392"/>
      <c r="AH65" s="100"/>
      <c r="AI65" s="96"/>
      <c r="AJ65" s="391"/>
      <c r="AK65" s="392"/>
      <c r="AL65" s="100"/>
      <c r="AM65" s="96"/>
      <c r="AN65" s="391"/>
      <c r="AO65" s="392"/>
      <c r="AP65" s="100"/>
      <c r="AQ65" s="96"/>
      <c r="AR65" s="378"/>
      <c r="AS65" s="379"/>
      <c r="AT65" s="100"/>
      <c r="AU65" s="96"/>
      <c r="AV65" s="378"/>
      <c r="AW65" s="379"/>
      <c r="AX65" s="100"/>
    </row>
    <row r="66" spans="1:50">
      <c r="C66" s="96"/>
      <c r="D66" s="378"/>
      <c r="E66" s="379"/>
      <c r="F66" s="98"/>
      <c r="G66" s="96"/>
      <c r="H66" s="378"/>
      <c r="I66" s="379"/>
      <c r="J66" s="100"/>
      <c r="K66" s="96"/>
      <c r="L66" s="378"/>
      <c r="M66" s="379"/>
      <c r="N66" s="100"/>
      <c r="O66" s="96"/>
      <c r="P66" s="378"/>
      <c r="Q66" s="379"/>
      <c r="R66" s="100"/>
      <c r="S66" s="96"/>
      <c r="T66" s="391"/>
      <c r="U66" s="392"/>
      <c r="V66" s="100"/>
      <c r="W66" s="96"/>
      <c r="X66" s="391"/>
      <c r="Y66" s="392"/>
      <c r="Z66" s="100"/>
      <c r="AA66" s="96"/>
      <c r="AB66" s="391"/>
      <c r="AC66" s="392"/>
      <c r="AD66" s="100"/>
      <c r="AE66" s="96"/>
      <c r="AF66" s="391"/>
      <c r="AG66" s="392"/>
      <c r="AH66" s="100"/>
      <c r="AI66" s="96"/>
      <c r="AJ66" s="391"/>
      <c r="AK66" s="392"/>
      <c r="AL66" s="100"/>
      <c r="AM66" s="96"/>
      <c r="AN66" s="391"/>
      <c r="AO66" s="392"/>
      <c r="AP66" s="100"/>
      <c r="AQ66" s="96"/>
      <c r="AR66" s="378"/>
      <c r="AS66" s="379"/>
      <c r="AT66" s="100"/>
      <c r="AU66" s="96"/>
      <c r="AV66" s="378"/>
      <c r="AW66" s="379"/>
      <c r="AX66" s="100"/>
    </row>
    <row r="67" spans="1:50">
      <c r="C67" s="96"/>
      <c r="D67" s="378"/>
      <c r="E67" s="379"/>
      <c r="F67" s="98"/>
      <c r="G67" s="96"/>
      <c r="H67" s="378"/>
      <c r="I67" s="379"/>
      <c r="J67" s="100"/>
      <c r="K67" s="96"/>
      <c r="L67" s="378"/>
      <c r="M67" s="379"/>
      <c r="N67" s="100"/>
      <c r="O67" s="96"/>
      <c r="P67" s="378"/>
      <c r="Q67" s="379"/>
      <c r="R67" s="100"/>
      <c r="S67" s="96"/>
      <c r="T67" s="391"/>
      <c r="U67" s="392"/>
      <c r="V67" s="100"/>
      <c r="W67" s="96"/>
      <c r="X67" s="391"/>
      <c r="Y67" s="392"/>
      <c r="Z67" s="100"/>
      <c r="AA67" s="96"/>
      <c r="AB67" s="391"/>
      <c r="AC67" s="392"/>
      <c r="AD67" s="100"/>
      <c r="AE67" s="96"/>
      <c r="AF67" s="391"/>
      <c r="AG67" s="392"/>
      <c r="AH67" s="100"/>
      <c r="AI67" s="96"/>
      <c r="AJ67" s="391"/>
      <c r="AK67" s="392"/>
      <c r="AL67" s="100"/>
      <c r="AM67" s="96"/>
      <c r="AN67" s="391"/>
      <c r="AO67" s="392"/>
      <c r="AP67" s="100"/>
      <c r="AQ67" s="96"/>
      <c r="AR67" s="378"/>
      <c r="AS67" s="379"/>
      <c r="AT67" s="100"/>
      <c r="AU67" s="96"/>
      <c r="AV67" s="378"/>
      <c r="AW67" s="379"/>
      <c r="AX67" s="100"/>
    </row>
    <row r="68" spans="1:50">
      <c r="C68" s="96"/>
      <c r="D68" s="378"/>
      <c r="E68" s="379"/>
      <c r="F68" s="98"/>
      <c r="G68" s="96"/>
      <c r="H68" s="378"/>
      <c r="I68" s="379"/>
      <c r="J68" s="100"/>
      <c r="K68" s="96"/>
      <c r="L68" s="378"/>
      <c r="M68" s="379"/>
      <c r="N68" s="100"/>
      <c r="O68" s="96"/>
      <c r="P68" s="378"/>
      <c r="Q68" s="379"/>
      <c r="R68" s="100"/>
      <c r="S68" s="96"/>
      <c r="T68" s="391"/>
      <c r="U68" s="392"/>
      <c r="V68" s="100"/>
      <c r="W68" s="96"/>
      <c r="X68" s="391"/>
      <c r="Y68" s="392"/>
      <c r="Z68" s="100"/>
      <c r="AA68" s="96"/>
      <c r="AB68" s="391"/>
      <c r="AC68" s="392"/>
      <c r="AD68" s="100"/>
      <c r="AE68" s="96"/>
      <c r="AF68" s="391"/>
      <c r="AG68" s="392"/>
      <c r="AH68" s="100"/>
      <c r="AI68" s="96"/>
      <c r="AJ68" s="391"/>
      <c r="AK68" s="392"/>
      <c r="AL68" s="100"/>
      <c r="AM68" s="96"/>
      <c r="AN68" s="391"/>
      <c r="AO68" s="392"/>
      <c r="AP68" s="100"/>
      <c r="AQ68" s="96"/>
      <c r="AR68" s="378"/>
      <c r="AS68" s="379"/>
      <c r="AT68" s="100"/>
      <c r="AU68" s="96"/>
      <c r="AV68" s="378"/>
      <c r="AW68" s="379"/>
      <c r="AX68" s="100"/>
    </row>
    <row r="69" spans="1:50">
      <c r="C69" s="96"/>
      <c r="D69" s="378"/>
      <c r="E69" s="379"/>
      <c r="F69" s="98"/>
      <c r="G69" s="96"/>
      <c r="H69" s="378"/>
      <c r="I69" s="379"/>
      <c r="J69" s="100"/>
      <c r="K69" s="96"/>
      <c r="L69" s="378"/>
      <c r="M69" s="379"/>
      <c r="N69" s="100"/>
      <c r="O69" s="96"/>
      <c r="P69" s="378"/>
      <c r="Q69" s="379"/>
      <c r="R69" s="100"/>
      <c r="S69" s="96"/>
      <c r="T69" s="391"/>
      <c r="U69" s="392"/>
      <c r="V69" s="100"/>
      <c r="W69" s="96"/>
      <c r="X69" s="391"/>
      <c r="Y69" s="392"/>
      <c r="Z69" s="100"/>
      <c r="AA69" s="96"/>
      <c r="AB69" s="391"/>
      <c r="AC69" s="392"/>
      <c r="AD69" s="100"/>
      <c r="AE69" s="96"/>
      <c r="AF69" s="391"/>
      <c r="AG69" s="392"/>
      <c r="AH69" s="100"/>
      <c r="AI69" s="96"/>
      <c r="AJ69" s="391"/>
      <c r="AK69" s="392"/>
      <c r="AL69" s="100"/>
      <c r="AM69" s="96"/>
      <c r="AN69" s="391"/>
      <c r="AO69" s="392"/>
      <c r="AP69" s="100"/>
      <c r="AQ69" s="96"/>
      <c r="AR69" s="378"/>
      <c r="AS69" s="379"/>
      <c r="AT69" s="100"/>
      <c r="AU69" s="96"/>
      <c r="AV69" s="378"/>
      <c r="AW69" s="379"/>
      <c r="AX69" s="100"/>
    </row>
    <row r="70" spans="1:50">
      <c r="C70" s="96"/>
      <c r="D70" s="378"/>
      <c r="E70" s="379"/>
      <c r="F70" s="98"/>
      <c r="G70" s="96"/>
      <c r="H70" s="378"/>
      <c r="I70" s="379"/>
      <c r="J70" s="100"/>
      <c r="K70" s="96"/>
      <c r="L70" s="378"/>
      <c r="M70" s="379"/>
      <c r="N70" s="100"/>
      <c r="O70" s="96"/>
      <c r="P70" s="378"/>
      <c r="Q70" s="379"/>
      <c r="R70" s="100"/>
      <c r="S70" s="96"/>
      <c r="T70" s="378" t="s">
        <v>565</v>
      </c>
      <c r="U70" s="379"/>
      <c r="V70" s="100">
        <v>3742.92</v>
      </c>
      <c r="W70" s="96"/>
      <c r="X70" s="378" t="s">
        <v>563</v>
      </c>
      <c r="Y70" s="379"/>
      <c r="Z70" s="100">
        <f>3289.11+270.87</f>
        <v>3559.98</v>
      </c>
      <c r="AA70" s="96"/>
      <c r="AB70" s="391"/>
      <c r="AC70" s="392"/>
      <c r="AD70" s="100"/>
      <c r="AE70" s="96"/>
      <c r="AF70" s="391"/>
      <c r="AG70" s="392"/>
      <c r="AH70" s="100"/>
      <c r="AI70" s="96"/>
      <c r="AJ70" s="391"/>
      <c r="AK70" s="392"/>
      <c r="AL70" s="100"/>
      <c r="AM70" s="96"/>
      <c r="AN70" s="391"/>
      <c r="AO70" s="392"/>
      <c r="AP70" s="100"/>
      <c r="AQ70" s="96"/>
      <c r="AR70" s="378"/>
      <c r="AS70" s="379"/>
      <c r="AT70" s="100"/>
      <c r="AU70" s="96"/>
      <c r="AV70" s="378"/>
      <c r="AW70" s="379"/>
      <c r="AX70" s="100"/>
    </row>
    <row r="71" spans="1:50" ht="15.75" thickBot="1">
      <c r="C71" s="97"/>
      <c r="D71" s="376"/>
      <c r="E71" s="377"/>
      <c r="F71" s="99"/>
      <c r="G71" s="97"/>
      <c r="H71" s="376"/>
      <c r="I71" s="377"/>
      <c r="J71" s="101"/>
      <c r="K71" s="97"/>
      <c r="L71" s="376"/>
      <c r="M71" s="377"/>
      <c r="N71" s="101"/>
      <c r="O71" s="97"/>
      <c r="P71" s="376"/>
      <c r="Q71" s="377"/>
      <c r="R71" s="101"/>
      <c r="S71" s="97"/>
      <c r="T71" s="393" t="s">
        <v>566</v>
      </c>
      <c r="U71" s="394"/>
      <c r="V71" s="101">
        <v>1872.17</v>
      </c>
      <c r="W71" s="97"/>
      <c r="X71" s="393" t="s">
        <v>564</v>
      </c>
      <c r="Y71" s="394"/>
      <c r="Z71" s="101">
        <f>Z70-1484.91-429.89</f>
        <v>1645.1799999999998</v>
      </c>
      <c r="AA71" s="97"/>
      <c r="AB71" s="397"/>
      <c r="AC71" s="398"/>
      <c r="AD71" s="101"/>
      <c r="AE71" s="97"/>
      <c r="AF71" s="397"/>
      <c r="AG71" s="398"/>
      <c r="AH71" s="101"/>
      <c r="AI71" s="97"/>
      <c r="AJ71" s="397"/>
      <c r="AK71" s="398"/>
      <c r="AL71" s="101"/>
      <c r="AM71" s="97"/>
      <c r="AN71" s="397"/>
      <c r="AO71" s="398"/>
      <c r="AP71" s="101"/>
      <c r="AQ71" s="97"/>
      <c r="AR71" s="376"/>
      <c r="AS71" s="377"/>
      <c r="AT71" s="101"/>
      <c r="AU71" s="97"/>
      <c r="AV71" s="376"/>
      <c r="AW71" s="377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61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22</v>
      </c>
      <c r="D75">
        <f>C75*D74</f>
        <v>70.967741935483872</v>
      </c>
      <c r="Z75" s="111"/>
    </row>
    <row r="76" spans="1:50">
      <c r="D76">
        <f>D75-D73</f>
        <v>9.9677419354838719</v>
      </c>
    </row>
    <row r="78" spans="1:50">
      <c r="W78" t="s">
        <v>671</v>
      </c>
      <c r="X78">
        <v>4</v>
      </c>
      <c r="Y78">
        <v>10</v>
      </c>
      <c r="Z78">
        <f>SUM(X78:Y78)</f>
        <v>14</v>
      </c>
    </row>
    <row r="79" spans="1:50">
      <c r="W79" t="s">
        <v>672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673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674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77" workbookViewId="0">
      <selection activeCell="D294" sqref="D294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v>3508.76</v>
      </c>
      <c r="L5" s="432"/>
      <c r="M5" s="1"/>
      <c r="N5" s="1"/>
      <c r="R5" s="3"/>
    </row>
    <row r="6" spans="1:22" ht="15.75">
      <c r="A6" s="112">
        <f>'08'!A6+(B6-SUM(D6:F6))</f>
        <v>812.16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5">
        <v>620.12</v>
      </c>
      <c r="L6" s="416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v>7494.86</v>
      </c>
      <c r="L7" s="416"/>
      <c r="M7" s="1"/>
      <c r="N7" s="1"/>
      <c r="R7" s="3"/>
    </row>
    <row r="8" spans="1:22" ht="15.75">
      <c r="A8" s="112">
        <f>'08'!A8+(B8-SUM(D8:F8))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6305.62</v>
      </c>
      <c r="L8" s="416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5">
        <v>163.63</v>
      </c>
      <c r="L9" s="416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'08'!A11+(B11-SUM(D11:F11))</f>
        <v>30.220000000000002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5">
        <f>20+120</f>
        <v>140</v>
      </c>
      <c r="L11" s="416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f>5092.08+4044.26</f>
        <v>9136.34</v>
      </c>
      <c r="L12" s="416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29171.350000000002</v>
      </c>
      <c r="L19" s="441"/>
      <c r="M19" s="1"/>
      <c r="N19" s="1"/>
      <c r="R19" s="3"/>
    </row>
    <row r="20" spans="1:18" ht="16.5" thickBot="1">
      <c r="A20" s="112">
        <f>SUM(A6:A15)</f>
        <v>1374.14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18232.990000000002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/>
      <c r="K25" s="424"/>
      <c r="L25" s="231"/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'08'!A27+(B27-SUM(D27:F27))</f>
        <v>228.04999999999995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'08'!A29+(B29-SUM(D29:F29))</f>
        <v>19.580000000000005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/>
      <c r="K30" s="424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/>
      <c r="K31" s="426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/>
      <c r="K32" s="426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1468.0199999999998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22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22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 t="s">
        <v>725</v>
      </c>
      <c r="D48" s="137"/>
      <c r="E48" s="138"/>
      <c r="F48" s="138"/>
      <c r="G48" s="16"/>
      <c r="H48" s="1">
        <f>22*8</f>
        <v>176</v>
      </c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0" t="str">
        <f>AÑO!A13</f>
        <v>Gubernamental</v>
      </c>
      <c r="J50" s="423"/>
      <c r="K50" s="424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23"/>
      <c r="K55" s="424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'08'!A66+(B66-SUM(D66:F78))+B67</f>
        <v>176.53000000000003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110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286.53000000000003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71.110000000000042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912.68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42.5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8.0499999999999989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75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'08'!A246+(B246-SUM(D246:F255))</f>
        <v>32.880000000000003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636.12000000000012</v>
      </c>
      <c r="B257" s="134">
        <v>40</v>
      </c>
      <c r="C257" s="16" t="s">
        <v>740</v>
      </c>
      <c r="D257" s="137"/>
      <c r="E257" s="138"/>
      <c r="F257" s="138"/>
      <c r="G257" s="16"/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709.00000000000011</v>
      </c>
      <c r="B260" s="135">
        <f>SUM(B246:B259)</f>
        <v>90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8" ht="15" customHeight="1" thickBot="1">
      <c r="B263" s="412"/>
      <c r="C263" s="413"/>
      <c r="D263" s="413"/>
      <c r="E263" s="413"/>
      <c r="F263" s="413"/>
      <c r="G263" s="414"/>
    </row>
    <row r="264" spans="1:8">
      <c r="B264" s="401" t="s">
        <v>8</v>
      </c>
      <c r="C264" s="402"/>
      <c r="D264" s="401" t="s">
        <v>9</v>
      </c>
      <c r="E264" s="409"/>
      <c r="F264" s="409"/>
      <c r="G264" s="4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1:8" ht="15" customHeight="1" thickBot="1">
      <c r="B283" s="412"/>
      <c r="C283" s="413"/>
      <c r="D283" s="413"/>
      <c r="E283" s="413"/>
      <c r="F283" s="413"/>
      <c r="G283" s="414"/>
    </row>
    <row r="284" spans="1:8">
      <c r="B284" s="401" t="s">
        <v>8</v>
      </c>
      <c r="C284" s="402"/>
      <c r="D284" s="401" t="s">
        <v>9</v>
      </c>
      <c r="E284" s="409"/>
      <c r="F284" s="409"/>
      <c r="G284" s="402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109.64999999999981</v>
      </c>
      <c r="B286" s="133">
        <v>50</v>
      </c>
      <c r="C286" s="19" t="s">
        <v>33</v>
      </c>
      <c r="D286" s="137"/>
      <c r="E286" s="138"/>
      <c r="F286" s="138"/>
      <c r="G286" s="16" t="s">
        <v>695</v>
      </c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770</v>
      </c>
      <c r="D299" s="135"/>
      <c r="E299" s="139"/>
      <c r="F299" s="139"/>
      <c r="G299" s="17"/>
    </row>
    <row r="300" spans="1:8" ht="16.5" thickBot="1">
      <c r="A300" s="112">
        <f>SUM(A286:A299)</f>
        <v>169.64999999999981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1:8" ht="15" customHeight="1" thickBot="1">
      <c r="B303" s="412"/>
      <c r="C303" s="413"/>
      <c r="D303" s="413"/>
      <c r="E303" s="413"/>
      <c r="F303" s="413"/>
      <c r="G303" s="414"/>
    </row>
    <row r="304" spans="1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1:7" ht="15" customHeight="1" thickBot="1">
      <c r="B343" s="412"/>
      <c r="C343" s="413"/>
      <c r="D343" s="413"/>
      <c r="E343" s="413"/>
      <c r="F343" s="413"/>
      <c r="G343" s="414"/>
    </row>
    <row r="344" spans="1:7">
      <c r="B344" s="401" t="s">
        <v>8</v>
      </c>
      <c r="C344" s="402"/>
      <c r="D344" s="401" t="s">
        <v>9</v>
      </c>
      <c r="E344" s="409"/>
      <c r="F344" s="409"/>
      <c r="G344" s="40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1:7" ht="15" customHeight="1" thickBot="1">
      <c r="B363" s="412"/>
      <c r="C363" s="413"/>
      <c r="D363" s="413"/>
      <c r="E363" s="413"/>
      <c r="F363" s="413"/>
      <c r="G363" s="414"/>
    </row>
    <row r="364" spans="1:7">
      <c r="B364" s="401" t="s">
        <v>8</v>
      </c>
      <c r="C364" s="402"/>
      <c r="D364" s="401" t="s">
        <v>9</v>
      </c>
      <c r="E364" s="409"/>
      <c r="F364" s="409"/>
      <c r="G364" s="40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1" t="s">
        <v>9</v>
      </c>
      <c r="E424" s="409"/>
      <c r="F424" s="409"/>
      <c r="G424" s="402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/>
      <c r="L5" s="432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5">
        <v>550</v>
      </c>
      <c r="L6" s="416"/>
      <c r="M6" s="1" t="s">
        <v>165</v>
      </c>
      <c r="N6" s="1"/>
      <c r="R6" s="3"/>
    </row>
    <row r="7" spans="1:22" ht="15.75">
      <c r="A7" s="112">
        <f>'09'!A7+(B7-SUM(D7:F7))</f>
        <v>374.57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5"/>
      <c r="L7" s="416"/>
      <c r="M7" s="1"/>
      <c r="N7" s="1"/>
      <c r="R7" s="3"/>
    </row>
    <row r="8" spans="1:22" ht="15.75">
      <c r="A8" s="112">
        <f>'09'!A8+(B8-SUM(D8:F8))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7000</v>
      </c>
      <c r="L8" s="416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5">
        <v>659.77</v>
      </c>
      <c r="L9" s="416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5">
        <v>1800.04</v>
      </c>
      <c r="L10" s="416"/>
      <c r="M10" s="1" t="s">
        <v>156</v>
      </c>
      <c r="N10" s="1"/>
      <c r="R10" s="3"/>
    </row>
    <row r="11" spans="1:22" ht="15.75">
      <c r="A11" s="112">
        <f>'09'!A11+(B11-SUM(D11:F11))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5"/>
      <c r="L11" s="416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'09'!A13+(B13-SUM(D13:F13))</f>
        <v>51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7">
        <f>SUM(K5:K18)</f>
        <v>15101.890000000001</v>
      </c>
      <c r="L19" s="418"/>
      <c r="M19" s="1"/>
      <c r="N19" s="1"/>
      <c r="R19" s="3"/>
    </row>
    <row r="20" spans="1:18" ht="16.5" thickBot="1">
      <c r="A20" s="112">
        <f>SUM(A6:A15)</f>
        <v>1918.1399999999999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/>
      <c r="K25" s="424"/>
      <c r="L25" s="198"/>
      <c r="M25" s="1"/>
      <c r="R25" s="3"/>
    </row>
    <row r="26" spans="1:18" ht="15.75">
      <c r="A26" s="112">
        <f>'09'!A26+(B26-SUM(D26:F26))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1"/>
      <c r="J26" s="425"/>
      <c r="K26" s="426"/>
      <c r="L26" s="199"/>
      <c r="M26" s="1"/>
      <c r="R26" s="3"/>
    </row>
    <row r="27" spans="1:18" ht="15.75">
      <c r="A27" s="112">
        <f>'09'!A27+(B27-SUM(D27:F27))</f>
        <v>398.04999999999995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1"/>
      <c r="J27" s="425"/>
      <c r="K27" s="426"/>
      <c r="L27" s="19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199"/>
      <c r="M28" s="1"/>
      <c r="R28" s="3"/>
    </row>
    <row r="29" spans="1:18" ht="15.75">
      <c r="A29" s="112">
        <f>'09'!A29+(B29-SUM(D29:F29))</f>
        <v>37.580000000000005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2"/>
      <c r="J29" s="427"/>
      <c r="K29" s="428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/>
      <c r="K30" s="4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/>
      <c r="K31" s="4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/>
      <c r="K32" s="4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01"/>
      <c r="M39" s="1"/>
      <c r="R39" s="3"/>
    </row>
    <row r="40" spans="1:18" ht="16.5" thickBot="1">
      <c r="A40" s="112">
        <f>SUM(A26:A35)</f>
        <v>2596.0200000000004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19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19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19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"/>
      <c r="I44" s="422"/>
      <c r="J44" s="427"/>
      <c r="K44" s="4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1"/>
      <c r="J46" s="425"/>
      <c r="K46" s="4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1"/>
      <c r="J47" s="425"/>
      <c r="K47" s="4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1"/>
      <c r="J48" s="425"/>
      <c r="K48" s="4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2"/>
      <c r="J49" s="427"/>
      <c r="K49" s="4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0" t="str">
        <f>AÑO!A13</f>
        <v>Gubernamental</v>
      </c>
      <c r="J50" s="423"/>
      <c r="K50" s="4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1"/>
      <c r="J51" s="425"/>
      <c r="K51" s="4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23"/>
      <c r="K55" s="4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19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19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19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"/>
      <c r="I64" s="422"/>
      <c r="J64" s="427"/>
      <c r="K64" s="4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1"/>
      <c r="J66" s="425"/>
      <c r="K66" s="4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1"/>
      <c r="J67" s="425"/>
      <c r="K67" s="4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1"/>
      <c r="J68" s="425"/>
      <c r="K68" s="4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142.11000000000004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3315.7100000000014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1292.1500000000001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9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9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2:7" ht="15" customHeight="1" thickBot="1">
      <c r="B243" s="412"/>
      <c r="C243" s="413"/>
      <c r="D243" s="413"/>
      <c r="E243" s="413"/>
      <c r="F243" s="413"/>
      <c r="G243" s="414"/>
    </row>
    <row r="244" spans="2:7" ht="15" customHeight="1">
      <c r="B244" s="401" t="s">
        <v>8</v>
      </c>
      <c r="C244" s="402"/>
      <c r="D244" s="409" t="s">
        <v>9</v>
      </c>
      <c r="E244" s="409"/>
      <c r="F244" s="409"/>
      <c r="G244" s="4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2:7" ht="15" customHeight="1" thickBot="1">
      <c r="B263" s="412"/>
      <c r="C263" s="413"/>
      <c r="D263" s="413"/>
      <c r="E263" s="413"/>
      <c r="F263" s="413"/>
      <c r="G263" s="414"/>
    </row>
    <row r="264" spans="2:7">
      <c r="B264" s="401" t="s">
        <v>8</v>
      </c>
      <c r="C264" s="402"/>
      <c r="D264" s="409" t="s">
        <v>9</v>
      </c>
      <c r="E264" s="409"/>
      <c r="F264" s="409"/>
      <c r="G264" s="4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9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9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10"/>
      <c r="D322" s="410"/>
      <c r="E322" s="410"/>
      <c r="F322" s="410"/>
      <c r="G322" s="411"/>
    </row>
    <row r="323" spans="2:7" ht="15" customHeight="1" thickBot="1">
      <c r="B323" s="412"/>
      <c r="C323" s="413"/>
      <c r="D323" s="413"/>
      <c r="E323" s="413"/>
      <c r="F323" s="413"/>
      <c r="G323" s="414"/>
    </row>
    <row r="324" spans="2:7">
      <c r="B324" s="401" t="s">
        <v>8</v>
      </c>
      <c r="C324" s="402"/>
      <c r="D324" s="409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9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9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10"/>
      <c r="D382" s="410"/>
      <c r="E382" s="410"/>
      <c r="F382" s="410"/>
      <c r="G382" s="411"/>
    </row>
    <row r="383" spans="2:7" ht="15" customHeight="1" thickBot="1">
      <c r="B383" s="412"/>
      <c r="C383" s="413"/>
      <c r="D383" s="413"/>
      <c r="E383" s="413"/>
      <c r="F383" s="413"/>
      <c r="G383" s="414"/>
    </row>
    <row r="384" spans="2:7">
      <c r="B384" s="401" t="s">
        <v>8</v>
      </c>
      <c r="C384" s="402"/>
      <c r="D384" s="409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9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9" t="s">
        <v>9</v>
      </c>
      <c r="E424" s="409"/>
      <c r="F424" s="409"/>
      <c r="G424" s="402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45.230000000000018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203.4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273.63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9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/>
      <c r="L5" s="432"/>
      <c r="M5" s="1"/>
      <c r="N5" s="1"/>
      <c r="R5" s="3"/>
    </row>
    <row r="6" spans="1:22" ht="15.75">
      <c r="A6" s="112">
        <f>'10'!A6+(B6-SUM(D6:F6))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5">
        <v>550</v>
      </c>
      <c r="L6" s="416"/>
      <c r="M6" s="1" t="s">
        <v>165</v>
      </c>
      <c r="N6" s="1"/>
      <c r="R6" s="3"/>
    </row>
    <row r="7" spans="1:22" ht="15.75">
      <c r="A7" s="112">
        <f>'10'!A7+(B7-SUM(D7:F7))</f>
        <v>444.75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5"/>
      <c r="L7" s="416"/>
      <c r="M7" s="1"/>
      <c r="N7" s="1"/>
      <c r="R7" s="3"/>
    </row>
    <row r="8" spans="1:22" ht="15.75">
      <c r="A8" s="112">
        <f>'10'!A8+(B8-SUM(D8:F8))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7000</v>
      </c>
      <c r="L8" s="416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5">
        <v>659.77</v>
      </c>
      <c r="L9" s="416"/>
      <c r="M9" s="1"/>
      <c r="N9" s="1"/>
      <c r="R9" s="3"/>
    </row>
    <row r="10" spans="1:22" ht="15.75">
      <c r="A10" s="112">
        <f>'10'!A10+(B10-SUM(D10:F10))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5">
        <v>1800.04</v>
      </c>
      <c r="L10" s="416"/>
      <c r="M10" s="1" t="s">
        <v>156</v>
      </c>
      <c r="N10" s="1"/>
      <c r="R10" s="3"/>
    </row>
    <row r="11" spans="1:22" ht="15.75">
      <c r="A11" s="112">
        <f>'10'!A11+(B11-SUM(D11:F11))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5"/>
      <c r="L11" s="416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'10'!A13+(B13-SUM(D13:F13))</f>
        <v>58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7">
        <f>SUM(K5:K18)</f>
        <v>15101.890000000001</v>
      </c>
      <c r="L19" s="418"/>
      <c r="M19" s="1"/>
      <c r="N19" s="1"/>
      <c r="R19" s="3"/>
    </row>
    <row r="20" spans="1:18" ht="16.5" thickBot="1">
      <c r="A20" s="112">
        <f>SUM(A6:A15)</f>
        <v>2462.14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/>
      <c r="K25" s="424"/>
      <c r="L25" s="198"/>
      <c r="M25" s="1"/>
      <c r="R25" s="3"/>
    </row>
    <row r="26" spans="1:18" ht="15.75">
      <c r="A26" s="112">
        <f>'10'!A26+(B26-SUM(D26:F26))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1"/>
      <c r="J26" s="425"/>
      <c r="K26" s="426"/>
      <c r="L26" s="199"/>
      <c r="M26" s="1"/>
      <c r="R26" s="3"/>
    </row>
    <row r="27" spans="1:18" ht="15.75">
      <c r="A27" s="112">
        <f>'10'!A27+(B27-SUM(D27:F27))</f>
        <v>568.04999999999995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1"/>
      <c r="J27" s="425"/>
      <c r="K27" s="426"/>
      <c r="L27" s="19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199"/>
      <c r="M28" s="1"/>
      <c r="R28" s="3"/>
    </row>
    <row r="29" spans="1:18" ht="15.75">
      <c r="A29" s="112">
        <f>'10'!A29+(B29-SUM(D29:F29))</f>
        <v>55.580000000000005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2"/>
      <c r="J29" s="427"/>
      <c r="K29" s="428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/>
      <c r="K30" s="4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/>
      <c r="K31" s="4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/>
      <c r="K32" s="4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01"/>
      <c r="M39" s="1"/>
      <c r="R39" s="3"/>
    </row>
    <row r="40" spans="1:18" ht="16.5" thickBot="1">
      <c r="A40" s="112">
        <f>SUM(A26:A35)</f>
        <v>3724.0200000000004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19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19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19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"/>
      <c r="I44" s="422"/>
      <c r="J44" s="427"/>
      <c r="K44" s="4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1"/>
      <c r="J46" s="425"/>
      <c r="K46" s="4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1"/>
      <c r="J47" s="425"/>
      <c r="K47" s="4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1"/>
      <c r="J48" s="425"/>
      <c r="K48" s="4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2"/>
      <c r="J49" s="427"/>
      <c r="K49" s="4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0" t="str">
        <f>AÑO!A13</f>
        <v>Gubernamental</v>
      </c>
      <c r="J50" s="423"/>
      <c r="K50" s="4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1"/>
      <c r="J51" s="425"/>
      <c r="K51" s="4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23"/>
      <c r="K55" s="4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19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19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19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"/>
      <c r="I64" s="422"/>
      <c r="J64" s="427"/>
      <c r="K64" s="4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1"/>
      <c r="J66" s="425"/>
      <c r="K66" s="4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1"/>
      <c r="J67" s="425"/>
      <c r="K67" s="4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1"/>
      <c r="J68" s="425"/>
      <c r="K68" s="4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213.11000000000004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3341.2400000000016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1671.62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9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9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2:7" ht="15" customHeight="1" thickBot="1">
      <c r="B243" s="412"/>
      <c r="C243" s="413"/>
      <c r="D243" s="413"/>
      <c r="E243" s="413"/>
      <c r="F243" s="413"/>
      <c r="G243" s="414"/>
    </row>
    <row r="244" spans="2:7" ht="15" customHeight="1">
      <c r="B244" s="401" t="s">
        <v>8</v>
      </c>
      <c r="C244" s="402"/>
      <c r="D244" s="409" t="s">
        <v>9</v>
      </c>
      <c r="E244" s="409"/>
      <c r="F244" s="409"/>
      <c r="G244" s="4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2:7" ht="15" customHeight="1" thickBot="1">
      <c r="B263" s="412"/>
      <c r="C263" s="413"/>
      <c r="D263" s="413"/>
      <c r="E263" s="413"/>
      <c r="F263" s="413"/>
      <c r="G263" s="414"/>
    </row>
    <row r="264" spans="2:7">
      <c r="B264" s="401" t="s">
        <v>8</v>
      </c>
      <c r="C264" s="402"/>
      <c r="D264" s="409" t="s">
        <v>9</v>
      </c>
      <c r="E264" s="409"/>
      <c r="F264" s="409"/>
      <c r="G264" s="4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9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9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10"/>
      <c r="D322" s="410"/>
      <c r="E322" s="410"/>
      <c r="F322" s="410"/>
      <c r="G322" s="411"/>
    </row>
    <row r="323" spans="2:7" ht="15" customHeight="1" thickBot="1">
      <c r="B323" s="412"/>
      <c r="C323" s="413"/>
      <c r="D323" s="413"/>
      <c r="E323" s="413"/>
      <c r="F323" s="413"/>
      <c r="G323" s="414"/>
    </row>
    <row r="324" spans="2:7">
      <c r="B324" s="401" t="s">
        <v>8</v>
      </c>
      <c r="C324" s="402"/>
      <c r="D324" s="409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9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9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10"/>
      <c r="D382" s="410"/>
      <c r="E382" s="410"/>
      <c r="F382" s="410"/>
      <c r="G382" s="411"/>
    </row>
    <row r="383" spans="2:7" ht="15" customHeight="1" thickBot="1">
      <c r="B383" s="412"/>
      <c r="C383" s="413"/>
      <c r="D383" s="413"/>
      <c r="E383" s="413"/>
      <c r="F383" s="413"/>
      <c r="G383" s="414"/>
    </row>
    <row r="384" spans="2:7">
      <c r="B384" s="401" t="s">
        <v>8</v>
      </c>
      <c r="C384" s="402"/>
      <c r="D384" s="409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9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9" t="s">
        <v>9</v>
      </c>
      <c r="E424" s="409"/>
      <c r="F424" s="409"/>
      <c r="G424" s="402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65.230000000000018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208.4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323.63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9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/>
      <c r="L5" s="432"/>
      <c r="M5" s="1"/>
      <c r="N5" s="1"/>
      <c r="R5" s="3"/>
    </row>
    <row r="6" spans="1:22" ht="15.75">
      <c r="A6" s="112">
        <f>'11'!A6+(B6-SUM(D6:F6))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5">
        <v>550</v>
      </c>
      <c r="L6" s="416"/>
      <c r="M6" s="1" t="s">
        <v>165</v>
      </c>
      <c r="N6" s="1"/>
      <c r="R6" s="3"/>
    </row>
    <row r="7" spans="1:22" ht="15.75">
      <c r="A7" s="112">
        <f>'11'!A7+(B7-SUM(D7:F7))</f>
        <v>514.93000000000006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5"/>
      <c r="L7" s="416"/>
      <c r="M7" s="1"/>
      <c r="N7" s="1"/>
      <c r="R7" s="3"/>
    </row>
    <row r="8" spans="1:22" ht="15.75">
      <c r="A8" s="112">
        <f>'11'!A8+(B8-SUM(D8:F8))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7000</v>
      </c>
      <c r="L8" s="416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5">
        <v>659.77</v>
      </c>
      <c r="L9" s="416"/>
      <c r="M9" s="1"/>
      <c r="N9" s="1"/>
      <c r="R9" s="3"/>
    </row>
    <row r="10" spans="1:22" ht="15.75">
      <c r="A10" s="112">
        <f>'11'!A10+(B10-SUM(D10:F10))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5">
        <v>1800.04</v>
      </c>
      <c r="L10" s="416"/>
      <c r="M10" s="1" t="s">
        <v>156</v>
      </c>
      <c r="N10" s="1"/>
      <c r="R10" s="3"/>
    </row>
    <row r="11" spans="1:22" ht="15.75">
      <c r="A11" s="112">
        <f>'11'!A11+(B11-SUM(D11:F11))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5"/>
      <c r="L11" s="416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'11'!A13+(B13-SUM(D13:F13))</f>
        <v>65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7">
        <f>SUM(K5:K18)</f>
        <v>15101.890000000001</v>
      </c>
      <c r="L19" s="418"/>
      <c r="M19" s="1"/>
      <c r="N19" s="1"/>
      <c r="R19" s="3"/>
    </row>
    <row r="20" spans="1:18" ht="16.5" thickBot="1">
      <c r="A20" s="112">
        <f>SUM(A6:A15)</f>
        <v>3006.1399999999994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/>
      <c r="K25" s="424"/>
      <c r="L25" s="198"/>
      <c r="M25" s="1"/>
      <c r="R25" s="3"/>
    </row>
    <row r="26" spans="1:18" ht="15.75">
      <c r="A26" s="112">
        <f>'11'!A26+(B26-SUM(D26:F26))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1"/>
      <c r="J26" s="425"/>
      <c r="K26" s="426"/>
      <c r="L26" s="199"/>
      <c r="M26" s="1"/>
      <c r="R26" s="3"/>
    </row>
    <row r="27" spans="1:18" ht="15.75">
      <c r="A27" s="112">
        <f>'11'!A27+(B27-SUM(D27:F27))</f>
        <v>738.05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1"/>
      <c r="J27" s="425"/>
      <c r="K27" s="426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199"/>
      <c r="M28" s="1"/>
      <c r="R28" s="3"/>
    </row>
    <row r="29" spans="1:18" ht="15.75">
      <c r="A29" s="112">
        <f>'11'!A29+(B29-SUM(D29:F29))</f>
        <v>73.580000000000013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2"/>
      <c r="J29" s="427"/>
      <c r="K29" s="428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/>
      <c r="K30" s="4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/>
      <c r="K31" s="4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/>
      <c r="K32" s="4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01"/>
      <c r="M39" s="1"/>
      <c r="R39" s="3"/>
    </row>
    <row r="40" spans="1:18" ht="16.5" thickBot="1">
      <c r="A40" s="112">
        <f>SUM(A26:A35)</f>
        <v>4852.0199999999995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19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19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19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"/>
      <c r="I44" s="422"/>
      <c r="J44" s="427"/>
      <c r="K44" s="4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1"/>
      <c r="J46" s="425"/>
      <c r="K46" s="4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1"/>
      <c r="J47" s="425"/>
      <c r="K47" s="4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1"/>
      <c r="J48" s="425"/>
      <c r="K48" s="4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2"/>
      <c r="J49" s="427"/>
      <c r="K49" s="4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0" t="str">
        <f>AÑO!A13</f>
        <v>Gubernamental</v>
      </c>
      <c r="J50" s="423"/>
      <c r="K50" s="4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1"/>
      <c r="J51" s="425"/>
      <c r="K51" s="4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23"/>
      <c r="K55" s="4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19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19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19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"/>
      <c r="I64" s="422"/>
      <c r="J64" s="427"/>
      <c r="K64" s="4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1"/>
      <c r="J66" s="425"/>
      <c r="K66" s="4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1"/>
      <c r="J67" s="425"/>
      <c r="K67" s="4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1"/>
      <c r="J68" s="425"/>
      <c r="K68" s="4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284.11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3366.7700000000018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2051.09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9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9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2:7" ht="15" customHeight="1" thickBot="1">
      <c r="B243" s="412"/>
      <c r="C243" s="413"/>
      <c r="D243" s="413"/>
      <c r="E243" s="413"/>
      <c r="F243" s="413"/>
      <c r="G243" s="414"/>
    </row>
    <row r="244" spans="2:7" ht="15" customHeight="1">
      <c r="B244" s="401" t="s">
        <v>8</v>
      </c>
      <c r="C244" s="402"/>
      <c r="D244" s="409" t="s">
        <v>9</v>
      </c>
      <c r="E244" s="409"/>
      <c r="F244" s="409"/>
      <c r="G244" s="4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2:7" ht="15" customHeight="1" thickBot="1">
      <c r="B263" s="412"/>
      <c r="C263" s="413"/>
      <c r="D263" s="413"/>
      <c r="E263" s="413"/>
      <c r="F263" s="413"/>
      <c r="G263" s="414"/>
    </row>
    <row r="264" spans="2:7">
      <c r="B264" s="401" t="s">
        <v>8</v>
      </c>
      <c r="C264" s="402"/>
      <c r="D264" s="409" t="s">
        <v>9</v>
      </c>
      <c r="E264" s="409"/>
      <c r="F264" s="409"/>
      <c r="G264" s="4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9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9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10"/>
      <c r="D322" s="410"/>
      <c r="E322" s="410"/>
      <c r="F322" s="410"/>
      <c r="G322" s="411"/>
    </row>
    <row r="323" spans="2:7" ht="15" customHeight="1" thickBot="1">
      <c r="B323" s="412"/>
      <c r="C323" s="413"/>
      <c r="D323" s="413"/>
      <c r="E323" s="413"/>
      <c r="F323" s="413"/>
      <c r="G323" s="414"/>
    </row>
    <row r="324" spans="2:7">
      <c r="B324" s="401" t="s">
        <v>8</v>
      </c>
      <c r="C324" s="402"/>
      <c r="D324" s="409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9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9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10"/>
      <c r="D382" s="410"/>
      <c r="E382" s="410"/>
      <c r="F382" s="410"/>
      <c r="G382" s="411"/>
    </row>
    <row r="383" spans="2:7" ht="15" customHeight="1" thickBot="1">
      <c r="B383" s="412"/>
      <c r="C383" s="413"/>
      <c r="D383" s="413"/>
      <c r="E383" s="413"/>
      <c r="F383" s="413"/>
      <c r="G383" s="414"/>
    </row>
    <row r="384" spans="2:7">
      <c r="B384" s="401" t="s">
        <v>8</v>
      </c>
      <c r="C384" s="402"/>
      <c r="D384" s="409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9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9" t="s">
        <v>9</v>
      </c>
      <c r="E424" s="409"/>
      <c r="F424" s="409"/>
      <c r="G424" s="402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85.230000000000018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213.4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373.63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9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topLeftCell="A10" workbookViewId="0">
      <selection activeCell="G38" sqref="G38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130048.84</v>
      </c>
      <c r="C4" s="114"/>
      <c r="E4" s="41"/>
    </row>
    <row r="5" spans="1:14" ht="12.75" customHeight="1">
      <c r="A5" t="s">
        <v>90</v>
      </c>
      <c r="B5" s="46">
        <f>Historico!H83</f>
        <v>341</v>
      </c>
      <c r="E5" s="42"/>
      <c r="J5" s="47" t="s">
        <v>91</v>
      </c>
      <c r="L5" s="44" t="s">
        <v>92</v>
      </c>
      <c r="M5" t="s">
        <v>93</v>
      </c>
      <c r="N5" t="s">
        <v>768</v>
      </c>
    </row>
    <row r="6" spans="1:14" ht="12.75" customHeight="1">
      <c r="A6" t="s">
        <v>94</v>
      </c>
      <c r="B6" s="48">
        <f>E19</f>
        <v>-0.3510588235294117</v>
      </c>
      <c r="C6" s="44" t="s">
        <v>95</v>
      </c>
      <c r="D6" s="43" t="s">
        <v>96</v>
      </c>
      <c r="E6" s="42"/>
      <c r="J6" t="s">
        <v>97</v>
      </c>
      <c r="K6" s="49">
        <f>B4-B15</f>
        <v>129675.45518797408</v>
      </c>
      <c r="L6" s="39">
        <f>B4*(E8/100)</f>
        <v>16.141356023529418</v>
      </c>
      <c r="M6" s="49">
        <f>B13-L6</f>
        <v>373.38481202592772</v>
      </c>
      <c r="N6" s="59">
        <f>L6/SUM(L6:M6)</f>
        <v>4.1438438152581303E-2</v>
      </c>
    </row>
    <row r="7" spans="1:14" ht="12.75" customHeight="1">
      <c r="E7" s="42"/>
      <c r="J7" t="s">
        <v>98</v>
      </c>
      <c r="K7" s="49">
        <f>K6-(B13-L7)</f>
        <v>129302.02403230383</v>
      </c>
      <c r="L7" s="39">
        <f>(K6*(E8/100))</f>
        <v>16.095012379213259</v>
      </c>
      <c r="M7" s="49">
        <f>B13-L7</f>
        <v>373.43115567024387</v>
      </c>
      <c r="N7" s="59">
        <f t="shared" ref="N7:N13" si="0">L7/SUM(L7:M7)</f>
        <v>4.1319463746963762E-2</v>
      </c>
    </row>
    <row r="8" spans="1:14" ht="12.75" customHeight="1">
      <c r="B8" s="42"/>
      <c r="D8" t="s">
        <v>183</v>
      </c>
      <c r="E8" s="50">
        <f>(B6+0.5)/12</f>
        <v>1.2411764705882358E-2</v>
      </c>
      <c r="J8" t="s">
        <v>99</v>
      </c>
      <c r="K8" s="49">
        <f>K7-(B13-L8)</f>
        <v>128928.54652723721</v>
      </c>
      <c r="L8" s="39">
        <f>(K7*(E8/100))</f>
        <v>16.048662982833012</v>
      </c>
      <c r="M8" s="49">
        <f>B13-L8</f>
        <v>373.47750506662408</v>
      </c>
      <c r="N8" s="59">
        <f t="shared" si="0"/>
        <v>4.1200474574522951E-2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1.0001241176470588</v>
      </c>
      <c r="J9" t="s">
        <v>101</v>
      </c>
      <c r="K9" s="49">
        <f>K8-(B13-L9)</f>
        <v>128555.02266702143</v>
      </c>
      <c r="L9" s="39">
        <f>(K8*(E8/100))</f>
        <v>16.002307833674742</v>
      </c>
      <c r="M9" s="49">
        <f>B13-L9</f>
        <v>373.52386021578235</v>
      </c>
      <c r="N9" s="59">
        <f t="shared" si="0"/>
        <v>4.1081470633426022E-2</v>
      </c>
    </row>
    <row r="10" spans="1:14" ht="12.75" customHeight="1">
      <c r="B10" s="42"/>
      <c r="D10" t="s">
        <v>102</v>
      </c>
      <c r="E10" s="50">
        <f>E9^-B5</f>
        <v>0.9585615618474187</v>
      </c>
      <c r="J10" t="s">
        <v>103</v>
      </c>
      <c r="K10" s="49">
        <f>K9-(B13-L10)</f>
        <v>128181.45244590299</v>
      </c>
      <c r="L10" s="39">
        <f>(K9*(E8/100))</f>
        <v>15.95594693102443</v>
      </c>
      <c r="M10" s="49">
        <f>B13-L10</f>
        <v>373.5702211184327</v>
      </c>
      <c r="N10" s="59">
        <f t="shared" si="0"/>
        <v>4.0962451921839935E-2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4.1438438152581298</v>
      </c>
      <c r="J11" t="s">
        <v>106</v>
      </c>
      <c r="K11" s="51">
        <f>K10-(B13-L11)</f>
        <v>127807.8358581277</v>
      </c>
      <c r="L11" s="39">
        <f>(K10*(E8/100))</f>
        <v>15.909580274167965</v>
      </c>
      <c r="M11" s="49">
        <f>B13-L11</f>
        <v>373.61658777528913</v>
      </c>
      <c r="N11" s="59">
        <f t="shared" si="0"/>
        <v>4.0843418437931406E-2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389.52616804945711</v>
      </c>
      <c r="E13" s="42"/>
      <c r="F13" s="44"/>
      <c r="G13" s="53"/>
      <c r="L13" s="54">
        <f>SUM(L6:L11)</f>
        <v>96.152866424442834</v>
      </c>
      <c r="M13" s="54">
        <f>SUM(M6:M11)</f>
        <v>2241.0041418722999</v>
      </c>
      <c r="N13" s="59">
        <f t="shared" si="0"/>
        <v>4.11409529112109E-2</v>
      </c>
    </row>
    <row r="14" spans="1:14" ht="12.75" customHeight="1">
      <c r="A14" t="s">
        <v>108</v>
      </c>
      <c r="B14" s="55">
        <f>B4*(E8/100)</f>
        <v>16.141356023529418</v>
      </c>
      <c r="E14" s="42"/>
    </row>
    <row r="15" spans="1:14" ht="12.75" customHeight="1">
      <c r="A15" t="s">
        <v>109</v>
      </c>
      <c r="B15" s="55">
        <f>B13-B14</f>
        <v>373.38481202592772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389.5277280494571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-0.3510588235294117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-5.9679999999999991</v>
      </c>
    </row>
    <row r="21" spans="1:9" ht="12.75" customHeight="1">
      <c r="E21" s="42">
        <v>-0.3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2241.0041418722999</v>
      </c>
      <c r="C22" s="58">
        <f>B22/170000</f>
        <v>1.3182377305131176E-2</v>
      </c>
      <c r="E22" s="42">
        <v>-0.30399999999999999</v>
      </c>
      <c r="F22">
        <v>2</v>
      </c>
      <c r="G22" s="57">
        <v>1</v>
      </c>
    </row>
    <row r="23" spans="1:9" ht="12.75" customHeight="1">
      <c r="A23" t="s">
        <v>115</v>
      </c>
      <c r="B23" s="53">
        <f>K11</f>
        <v>127807.8358581277</v>
      </c>
      <c r="C23" s="59">
        <f>6/(40*6)</f>
        <v>2.5000000000000001E-2</v>
      </c>
      <c r="E23" s="42">
        <v>-0.308</v>
      </c>
      <c r="F23">
        <v>5</v>
      </c>
      <c r="G23" s="57">
        <v>1</v>
      </c>
    </row>
    <row r="24" spans="1:9" ht="12.75" customHeight="1">
      <c r="E24" s="42">
        <v>-0.31900000000000001</v>
      </c>
      <c r="F24">
        <v>6</v>
      </c>
      <c r="G24" s="57">
        <v>1</v>
      </c>
    </row>
    <row r="25" spans="1:9" ht="12.75" customHeight="1">
      <c r="E25" s="42">
        <v>-0.32200000000000001</v>
      </c>
      <c r="F25">
        <v>7</v>
      </c>
      <c r="G25" s="57">
        <v>1</v>
      </c>
    </row>
    <row r="26" spans="1:9" ht="12.75" customHeight="1">
      <c r="E26" s="42">
        <v>-0.33900000000000002</v>
      </c>
      <c r="F26">
        <v>8</v>
      </c>
      <c r="G26" s="57">
        <v>1</v>
      </c>
    </row>
    <row r="27" spans="1:9" ht="12.75" customHeight="1">
      <c r="E27" s="42">
        <v>-0.34300000000000003</v>
      </c>
      <c r="F27">
        <v>9</v>
      </c>
      <c r="G27" s="57">
        <v>1</v>
      </c>
    </row>
    <row r="28" spans="1:9" ht="12.75" customHeight="1">
      <c r="C28" s="59"/>
      <c r="E28" s="42">
        <v>-0.35199999999999998</v>
      </c>
      <c r="F28">
        <v>12</v>
      </c>
      <c r="G28" s="57">
        <v>1</v>
      </c>
    </row>
    <row r="29" spans="1:9" ht="12.75" customHeight="1">
      <c r="C29" s="59"/>
      <c r="E29" s="42">
        <v>-0.35699999999999998</v>
      </c>
      <c r="F29">
        <v>13</v>
      </c>
      <c r="G29" s="57">
        <v>1</v>
      </c>
    </row>
    <row r="30" spans="1:9" ht="12.75" customHeight="1">
      <c r="C30" s="59"/>
      <c r="E30" s="42">
        <v>-0.35</v>
      </c>
      <c r="F30">
        <v>14</v>
      </c>
      <c r="G30" s="57">
        <v>1</v>
      </c>
    </row>
    <row r="31" spans="1:9" ht="12.75" customHeight="1">
      <c r="E31" s="42">
        <v>-0.35299999999999998</v>
      </c>
      <c r="F31">
        <v>15</v>
      </c>
      <c r="G31" s="57">
        <v>1</v>
      </c>
    </row>
    <row r="32" spans="1:9" ht="12.75" customHeight="1">
      <c r="E32" s="42">
        <v>-0.38500000000000001</v>
      </c>
      <c r="F32">
        <v>16</v>
      </c>
      <c r="G32" s="57">
        <v>1</v>
      </c>
    </row>
    <row r="33" spans="2:7" ht="12.75" customHeight="1">
      <c r="C33" s="59"/>
      <c r="E33" s="42">
        <v>-0.39800000000000002</v>
      </c>
      <c r="F33">
        <v>19</v>
      </c>
      <c r="G33" s="57">
        <v>1</v>
      </c>
    </row>
    <row r="34" spans="2:7" ht="12.75" customHeight="1">
      <c r="C34" s="58"/>
      <c r="E34" s="42">
        <v>-0.39500000000000002</v>
      </c>
      <c r="F34">
        <v>20</v>
      </c>
      <c r="G34" s="57">
        <v>1</v>
      </c>
    </row>
    <row r="35" spans="2:7" ht="12.75" customHeight="1">
      <c r="C35" s="58"/>
      <c r="E35" s="42">
        <v>-0.39900000000000002</v>
      </c>
      <c r="F35">
        <v>21</v>
      </c>
      <c r="G35" s="57">
        <v>1</v>
      </c>
    </row>
    <row r="36" spans="2:7" ht="12.75" customHeight="1">
      <c r="E36" s="42">
        <v>-0.38600000000000001</v>
      </c>
      <c r="F36">
        <v>22</v>
      </c>
      <c r="G36" s="57">
        <v>1</v>
      </c>
    </row>
    <row r="37" spans="2:7" ht="12.75" customHeight="1">
      <c r="E37" s="42">
        <v>-0.35799999999999998</v>
      </c>
      <c r="F37">
        <v>23</v>
      </c>
      <c r="G37" s="57">
        <v>1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17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6" workbookViewId="0">
      <selection activeCell="F23" sqref="F23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0" workbookViewId="0">
      <selection activeCell="G28" sqref="G28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5" ht="12.75" customHeight="1">
      <c r="A25" s="120">
        <f t="shared" si="5"/>
        <v>43678</v>
      </c>
      <c r="B25" s="116">
        <f>Hipoteca!B4</f>
        <v>130048.84</v>
      </c>
      <c r="C25" s="71">
        <f>Hipoteca!B$6/100</f>
        <v>-3.5105882352941169E-3</v>
      </c>
      <c r="D25" s="73">
        <f>Hipoteca!B$13</f>
        <v>389.52616804945711</v>
      </c>
      <c r="E25" s="72">
        <f t="shared" ref="E25" si="10">D25-D24</f>
        <v>-13.553831950542872</v>
      </c>
      <c r="H25">
        <f>IF(MONTH(I26)&gt;MONTH(I25),MONTH(I26)-MONTH(I25),(MONTH(I26)+12)-MONTH(I25))</f>
        <v>6</v>
      </c>
      <c r="I25" s="79">
        <f t="shared" si="4"/>
        <v>43739</v>
      </c>
      <c r="J25" s="128"/>
      <c r="K25" s="127"/>
      <c r="L25" s="127"/>
      <c r="M25" s="72"/>
    </row>
    <row r="26" spans="1:15" ht="12.75" customHeight="1">
      <c r="A26" s="120">
        <f t="shared" si="5"/>
        <v>43862</v>
      </c>
      <c r="B26" s="116"/>
      <c r="C26" s="71"/>
      <c r="D26" s="73"/>
      <c r="E26" s="72"/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1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2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1"/>
        <v>6</v>
      </c>
      <c r="I28" s="79">
        <f t="shared" si="4"/>
        <v>44287</v>
      </c>
      <c r="J28" s="128"/>
      <c r="K28" s="127"/>
      <c r="L28" s="127"/>
      <c r="M28" s="72"/>
      <c r="O28">
        <f t="shared" si="12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1"/>
        <v>6</v>
      </c>
      <c r="I29" s="79">
        <f t="shared" si="4"/>
        <v>44470</v>
      </c>
      <c r="J29" s="128"/>
      <c r="K29" s="127"/>
      <c r="L29" s="127"/>
      <c r="M29" s="72"/>
      <c r="O29">
        <f t="shared" si="12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1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1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1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1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1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1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1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1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1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1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1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1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1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1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1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1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1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1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1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1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1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1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1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1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1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1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1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1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1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1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1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1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1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1"/>
        <v>6</v>
      </c>
      <c r="I63" s="79">
        <f t="shared" ref="I63:I81" si="13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1"/>
        <v>6</v>
      </c>
      <c r="I64" s="79">
        <f t="shared" si="13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1"/>
        <v>6</v>
      </c>
      <c r="I65" s="79">
        <f t="shared" si="13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1"/>
        <v>6</v>
      </c>
      <c r="I66" s="79">
        <f t="shared" si="13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1"/>
        <v>6</v>
      </c>
      <c r="I67" s="79">
        <f t="shared" si="13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1"/>
        <v>6</v>
      </c>
      <c r="I68" s="79">
        <f t="shared" si="13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1"/>
        <v>6</v>
      </c>
      <c r="I69" s="79">
        <f t="shared" si="13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1"/>
        <v>6</v>
      </c>
      <c r="I70" s="79">
        <f t="shared" si="13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1"/>
        <v>6</v>
      </c>
      <c r="I71" s="79">
        <f t="shared" si="13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1"/>
        <v>6</v>
      </c>
      <c r="I72" s="79">
        <f t="shared" si="13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1"/>
        <v>6</v>
      </c>
      <c r="I73" s="79">
        <f t="shared" si="13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1"/>
        <v>6</v>
      </c>
      <c r="I74" s="79">
        <f t="shared" si="13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1"/>
        <v>6</v>
      </c>
      <c r="I75" s="79">
        <f t="shared" si="13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1"/>
        <v>6</v>
      </c>
      <c r="I76" s="79">
        <f t="shared" si="13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1"/>
        <v>6</v>
      </c>
      <c r="I77" s="79">
        <f t="shared" si="13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1"/>
        <v>6</v>
      </c>
      <c r="I78" s="79">
        <f t="shared" si="13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1"/>
        <v>6</v>
      </c>
      <c r="I79" s="79">
        <f t="shared" si="13"/>
        <v>53601</v>
      </c>
      <c r="J79" s="128"/>
      <c r="K79" s="127"/>
      <c r="L79" s="127"/>
      <c r="M79" s="72"/>
    </row>
    <row r="80" spans="1:13" ht="12.75" customHeight="1">
      <c r="A80" s="120">
        <f t="shared" ref="A80:A81" si="14">EDATE(A79,6)</f>
        <v>53724</v>
      </c>
      <c r="B80" s="116"/>
      <c r="C80" s="71"/>
      <c r="D80" s="73"/>
      <c r="E80" s="72"/>
      <c r="H80">
        <f t="shared" si="11"/>
        <v>6</v>
      </c>
      <c r="I80" s="79">
        <f t="shared" si="13"/>
        <v>53783</v>
      </c>
      <c r="J80" s="128"/>
      <c r="K80" s="127"/>
      <c r="L80" s="127"/>
      <c r="M80" s="72"/>
    </row>
    <row r="81" spans="1:13" ht="12.75" customHeight="1">
      <c r="A81" s="120">
        <f t="shared" si="14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3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8.3639444038484927E-3</v>
      </c>
      <c r="D83" s="85">
        <f>AVERAGE(D2:D82)</f>
        <v>492.25133377698239</v>
      </c>
      <c r="E83" s="86">
        <f>AVERAGE(E3:E82)</f>
        <v>-19.935818780458387</v>
      </c>
      <c r="H83">
        <f>SUM(H25:H82)</f>
        <v>341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H22" workbookViewId="0">
      <selection activeCell="L36" sqref="L3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95</v>
      </c>
      <c r="R2" s="260" t="s">
        <v>513</v>
      </c>
      <c r="S2" s="261"/>
    </row>
    <row r="3" spans="1:26">
      <c r="A3" s="262" t="s">
        <v>514</v>
      </c>
      <c r="B3" s="262" t="s">
        <v>515</v>
      </c>
      <c r="C3" s="263">
        <v>5600</v>
      </c>
      <c r="D3" s="322">
        <f ca="1">_xlfn.DAYS(K3,F3)</f>
        <v>1491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43700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535</v>
      </c>
    </row>
    <row r="4" spans="1:26">
      <c r="A4" s="262" t="s">
        <v>516</v>
      </c>
      <c r="B4" s="262" t="s">
        <v>412</v>
      </c>
      <c r="C4" s="263">
        <v>4090</v>
      </c>
      <c r="D4" s="322">
        <f ca="1">_xlfn.DAYS(K4,F4)</f>
        <v>95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43700</v>
      </c>
      <c r="L4" s="302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535</v>
      </c>
      <c r="S4" s="341">
        <v>43708</v>
      </c>
    </row>
    <row r="5" spans="1:26">
      <c r="A5" s="262" t="s">
        <v>516</v>
      </c>
      <c r="B5" s="262" t="s">
        <v>517</v>
      </c>
      <c r="C5" s="263">
        <v>5100</v>
      </c>
      <c r="D5" s="322">
        <f ca="1">_xlfn.DAYS(K5,F5)</f>
        <v>546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43700</v>
      </c>
      <c r="L5" s="302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535</v>
      </c>
      <c r="S5" s="341">
        <v>43708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</row>
    <row r="11" spans="1:26">
      <c r="A11" s="446" t="s">
        <v>518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</row>
    <row r="12" spans="1:26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95</v>
      </c>
      <c r="R12" s="298" t="s">
        <v>513</v>
      </c>
      <c r="S12" s="340" t="s">
        <v>604</v>
      </c>
      <c r="W12" s="330" t="s">
        <v>531</v>
      </c>
      <c r="X12" s="330" t="s">
        <v>532</v>
      </c>
      <c r="Y12" s="330" t="s">
        <v>533</v>
      </c>
      <c r="Z12" s="330" t="s">
        <v>534</v>
      </c>
    </row>
    <row r="13" spans="1:26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519</v>
      </c>
      <c r="S13" s="59">
        <f>Q13+Q14</f>
        <v>-4.7120556421087471E-2</v>
      </c>
      <c r="W13" s="39">
        <f t="shared" ref="W13:W41" ca="1" si="0">D13/D$43</f>
        <v>3.8130381303813035E-2</v>
      </c>
      <c r="X13" s="119">
        <f ca="1">W13*E13</f>
        <v>153.25625762607626</v>
      </c>
      <c r="Y13" s="38"/>
    </row>
    <row r="14" spans="1:26">
      <c r="A14" s="262" t="s">
        <v>514</v>
      </c>
      <c r="B14" s="262" t="s">
        <v>519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520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514</v>
      </c>
      <c r="B15" s="262" t="s">
        <v>521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521</v>
      </c>
      <c r="W15" s="39">
        <f t="shared" ca="1" si="0"/>
        <v>3.3825338253382534E-2</v>
      </c>
      <c r="X15" s="119">
        <f t="shared" ca="1" si="2"/>
        <v>0</v>
      </c>
    </row>
    <row r="16" spans="1:26">
      <c r="A16" s="262" t="s">
        <v>514</v>
      </c>
      <c r="B16" s="262" t="s">
        <v>522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522</v>
      </c>
      <c r="W16" s="39">
        <f t="shared" ca="1" si="0"/>
        <v>8.6100861008610082E-3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523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524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514</v>
      </c>
      <c r="B19" s="262" t="s">
        <v>522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522</v>
      </c>
      <c r="S19" s="59">
        <f>Q19+Q21+Q24</f>
        <v>0.24013324659263452</v>
      </c>
      <c r="W19" s="39">
        <f t="shared" ca="1" si="0"/>
        <v>0.53444034440344401</v>
      </c>
      <c r="X19" s="119">
        <f t="shared" ca="1" si="2"/>
        <v>2364.043376678967</v>
      </c>
    </row>
    <row r="20" spans="1:24">
      <c r="A20" s="262" t="s">
        <v>514</v>
      </c>
      <c r="B20" s="262" t="s">
        <v>522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562</v>
      </c>
      <c r="W20" s="39">
        <f t="shared" ca="1" si="0"/>
        <v>0.3886838868388684</v>
      </c>
      <c r="X20" s="119">
        <f t="shared" ca="1" si="2"/>
        <v>233.44354243542438</v>
      </c>
    </row>
    <row r="21" spans="1:24">
      <c r="A21" s="262" t="s">
        <v>514</v>
      </c>
      <c r="B21" s="262" t="s">
        <v>522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525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523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526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514</v>
      </c>
      <c r="B24" s="262" t="s">
        <v>522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527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514</v>
      </c>
      <c r="B25" s="262" t="s">
        <v>522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522</v>
      </c>
      <c r="W25" s="39">
        <f t="shared" ca="1" si="0"/>
        <v>0.17712177121771217</v>
      </c>
      <c r="X25" s="119">
        <f t="shared" ca="1" si="2"/>
        <v>107.68352342435423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528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528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516</v>
      </c>
      <c r="B28" s="262" t="s">
        <v>517</v>
      </c>
      <c r="C28" s="263">
        <v>5100</v>
      </c>
      <c r="D28" s="322">
        <f t="shared" ca="1" si="1"/>
        <v>546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43700</v>
      </c>
      <c r="L28" s="302">
        <v>26.61</v>
      </c>
      <c r="M28" s="264">
        <f>(H28*L28)</f>
        <v>5215.5599999999995</v>
      </c>
      <c r="N28" s="264">
        <f>-(IF((M28*0.0075)&lt;30,30,(M28*0.0075)) + (M28*0.0035))</f>
        <v>-57.371159999999989</v>
      </c>
      <c r="O28" s="272">
        <f>J28+N28</f>
        <v>-113.38403999999998</v>
      </c>
      <c r="P28" s="273">
        <f ca="1">IF(K28=0,0,M28-E28+N28)</f>
        <v>10.095959999999351</v>
      </c>
      <c r="Q28" s="274">
        <f ca="1">P28/E28</f>
        <v>1.9611068089353026E-3</v>
      </c>
      <c r="R28" s="275" t="s">
        <v>517</v>
      </c>
      <c r="S28" s="59">
        <f ca="1">Q28+Q29+Q30+Q34</f>
        <v>2.636626089776363E-2</v>
      </c>
      <c r="W28" s="39">
        <f t="shared" ca="1" si="0"/>
        <v>0.33579335793357934</v>
      </c>
      <c r="X28" s="119">
        <f t="shared" ca="1" si="2"/>
        <v>1728.6953951291514</v>
      </c>
    </row>
    <row r="29" spans="1:24">
      <c r="A29" s="262" t="s">
        <v>516</v>
      </c>
      <c r="B29" s="262" t="s">
        <v>517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472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516</v>
      </c>
      <c r="B30" s="262" t="s">
        <v>517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472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516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529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516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</f>
        <v>-18.95</v>
      </c>
      <c r="Q32" s="274"/>
      <c r="R32" s="275" t="s">
        <v>530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516</v>
      </c>
      <c r="B33" s="262" t="s">
        <v>412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412</v>
      </c>
      <c r="W33" s="39">
        <f t="shared" ca="1" si="0"/>
        <v>1.3530135301353014E-2</v>
      </c>
      <c r="X33" s="119">
        <f t="shared" ca="1" si="2"/>
        <v>55.86763616236162</v>
      </c>
    </row>
    <row r="34" spans="1:26">
      <c r="A34" s="262" t="s">
        <v>516</v>
      </c>
      <c r="B34" s="262" t="s">
        <v>517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472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516</v>
      </c>
      <c r="B35" s="262" t="s">
        <v>412</v>
      </c>
      <c r="C35" s="263">
        <v>4090</v>
      </c>
      <c r="D35" s="322">
        <f t="shared" ca="1" si="1"/>
        <v>95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43700</v>
      </c>
      <c r="L35" s="302">
        <v>70.069999999999993</v>
      </c>
      <c r="M35" s="264">
        <f>(H35*L35)</f>
        <v>4344.3399999999992</v>
      </c>
      <c r="N35" s="264">
        <f>-(IF((M35*0.0075)&lt;30,30,(M35*0.0075)) + (M35*0.0035))</f>
        <v>-47.787739999999985</v>
      </c>
      <c r="O35" s="272">
        <f>J35+N35</f>
        <v>-92.274599999999992</v>
      </c>
      <c r="P35" s="273">
        <f ca="1">IF(K35=0,0,M35-E35+N35)</f>
        <v>207.80539999999905</v>
      </c>
      <c r="Q35" s="274">
        <f ca="1">P35/E35</f>
        <v>5.0823738205206241E-2</v>
      </c>
      <c r="R35" s="275" t="s">
        <v>412</v>
      </c>
      <c r="W35" s="39">
        <f t="shared" ca="1" si="0"/>
        <v>5.8425584255842558E-2</v>
      </c>
      <c r="X35" s="119">
        <f t="shared" ca="1" si="2"/>
        <v>238.88742416974171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2583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-375.74015900000001</v>
      </c>
      <c r="O42" s="315">
        <f>SUM(O13:O41)</f>
        <v>-561.93829699999992</v>
      </c>
      <c r="P42" s="315">
        <f ca="1">SUM(P13:P41)</f>
        <v>3869.6100829999987</v>
      </c>
      <c r="Q42" s="326">
        <f ca="1">SUM(Q13:Q41)</f>
        <v>3.9761505511752113</v>
      </c>
      <c r="R42" s="317"/>
      <c r="W42" s="327">
        <f ca="1">SUM(W13:W41)</f>
        <v>1.5885608856088562</v>
      </c>
      <c r="X42" s="328">
        <f ca="1">SUM(X13:X41)</f>
        <v>4881.8771556260763</v>
      </c>
      <c r="Y42" s="329">
        <f ca="1">P42/X42</f>
        <v>0.79264798347916243</v>
      </c>
      <c r="Z42" s="329">
        <f ca="1">Y42/(D$43/365)</f>
        <v>0.17793143540583906</v>
      </c>
    </row>
    <row r="43" spans="1:26">
      <c r="C43" s="119" t="s">
        <v>568</v>
      </c>
      <c r="D43" s="46">
        <f ca="1">_xlfn.DAYS(TODAY(),F13)</f>
        <v>1626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536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539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540</v>
      </c>
      <c r="T62" s="41" t="s">
        <v>541</v>
      </c>
      <c r="U62" s="38"/>
    </row>
    <row r="63" spans="3:28" ht="15.75">
      <c r="G63" s="38"/>
      <c r="R63" t="s">
        <v>542</v>
      </c>
      <c r="S63" s="309" t="s">
        <v>543</v>
      </c>
      <c r="T63" s="310"/>
      <c r="U63" s="38"/>
    </row>
    <row r="64" spans="3:28">
      <c r="F64" s="38"/>
      <c r="G64" s="38"/>
      <c r="R64" t="s">
        <v>544</v>
      </c>
      <c r="S64" s="309" t="s">
        <v>545</v>
      </c>
      <c r="T64" t="s">
        <v>546</v>
      </c>
    </row>
    <row r="65" spans="6:21">
      <c r="F65" s="38"/>
      <c r="G65" s="38"/>
      <c r="H65" s="38"/>
      <c r="K65" t="s">
        <v>547</v>
      </c>
      <c r="S65" s="38"/>
      <c r="T65" t="s">
        <v>548</v>
      </c>
      <c r="U65" s="38"/>
    </row>
    <row r="66" spans="6:21">
      <c r="K66" s="311">
        <v>43587</v>
      </c>
      <c r="S66" s="306"/>
    </row>
    <row r="67" spans="6:21">
      <c r="K67" t="s">
        <v>549</v>
      </c>
      <c r="S67" s="312"/>
    </row>
    <row r="68" spans="6:21">
      <c r="K68" t="s">
        <v>550</v>
      </c>
      <c r="M68" t="s">
        <v>148</v>
      </c>
      <c r="S68" s="309"/>
      <c r="T68">
        <f>5000/12</f>
        <v>416.66666666666669</v>
      </c>
    </row>
    <row r="69" spans="6:21">
      <c r="K69" t="s">
        <v>551</v>
      </c>
      <c r="T69">
        <f>2.2/T68</f>
        <v>5.28E-3</v>
      </c>
    </row>
    <row r="70" spans="6:21">
      <c r="K70" t="s">
        <v>552</v>
      </c>
      <c r="T70">
        <f>100*T69</f>
        <v>0.52800000000000002</v>
      </c>
    </row>
    <row r="71" spans="6:21">
      <c r="K71" t="s">
        <v>553</v>
      </c>
      <c r="T71">
        <f>2.2*12</f>
        <v>26.400000000000002</v>
      </c>
    </row>
    <row r="72" spans="6:21">
      <c r="K72" t="s">
        <v>554</v>
      </c>
    </row>
    <row r="73" spans="6:21">
      <c r="K73" t="s">
        <v>555</v>
      </c>
    </row>
    <row r="74" spans="6:21">
      <c r="K74" t="s">
        <v>556</v>
      </c>
    </row>
    <row r="75" spans="6:21">
      <c r="K75" t="s">
        <v>557</v>
      </c>
    </row>
    <row r="76" spans="6:21">
      <c r="K76" t="s">
        <v>558</v>
      </c>
    </row>
    <row r="77" spans="6:21">
      <c r="K77" t="s">
        <v>559</v>
      </c>
    </row>
    <row r="78" spans="6:21">
      <c r="K78" t="s">
        <v>560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G15" sqref="G15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574</v>
      </c>
      <c r="B1" s="448"/>
      <c r="C1" s="448"/>
      <c r="D1" s="448"/>
      <c r="E1" s="448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63.93356188870122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71.93591905564891</v>
      </c>
      <c r="E4" s="275"/>
    </row>
    <row r="5" spans="1:5">
      <c r="A5" s="334" t="s">
        <v>171</v>
      </c>
      <c r="B5" s="335">
        <f>550+550</f>
        <v>1100</v>
      </c>
      <c r="C5" s="305">
        <f t="shared" si="0"/>
        <v>0.27199042593700701</v>
      </c>
      <c r="D5" s="335">
        <f t="shared" ca="1" si="1"/>
        <v>56.521079258009856</v>
      </c>
      <c r="E5" s="275"/>
    </row>
    <row r="6" spans="1:5">
      <c r="A6" s="334" t="s">
        <v>50</v>
      </c>
      <c r="B6" s="335">
        <f>1050-150-50-550</f>
        <v>300</v>
      </c>
      <c r="C6" s="305">
        <f t="shared" si="0"/>
        <v>7.4179207073729186E-2</v>
      </c>
      <c r="D6" s="335">
        <f t="shared" ca="1" si="1"/>
        <v>15.414839797639052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0.99999999999999989</v>
      </c>
      <c r="D7" s="336">
        <f ca="1">Bolsa1!P35</f>
        <v>207.80539999999905</v>
      </c>
      <c r="E7" s="275" t="s">
        <v>573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6" t="s">
        <v>603</v>
      </c>
      <c r="B15" s="446"/>
      <c r="C15" s="446"/>
      <c r="D15" s="446"/>
      <c r="E15" s="446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4"/>
  <sheetViews>
    <sheetView topLeftCell="A46" workbookViewId="0">
      <selection activeCell="G56" sqref="G56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>
        <v>2018</v>
      </c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1">
        <v>2901.68</v>
      </c>
      <c r="L5" s="432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5">
        <v>620.05999999999995</v>
      </c>
      <c r="L6" s="416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5">
        <v>8035.29</v>
      </c>
      <c r="L7" s="416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5">
        <v>7000</v>
      </c>
      <c r="L8" s="416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5">
        <v>659.39</v>
      </c>
      <c r="L9" s="416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5">
        <v>1800.04</v>
      </c>
      <c r="L10" s="416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5">
        <f>240+35</f>
        <v>275</v>
      </c>
      <c r="L11" s="416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7">
        <f>SUM(K5:K18)</f>
        <v>26383.54</v>
      </c>
      <c r="L19" s="418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12"/>
      <c r="I22" s="419" t="s">
        <v>6</v>
      </c>
      <c r="J22" s="410"/>
      <c r="K22" s="410"/>
      <c r="L22" s="411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12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12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20" t="str">
        <f>AÑO!A8</f>
        <v>Manolo Salario</v>
      </c>
      <c r="J25" s="423" t="s">
        <v>291</v>
      </c>
      <c r="K25" s="424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1"/>
      <c r="J26" s="425"/>
      <c r="K26" s="426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1"/>
      <c r="J27" s="425"/>
      <c r="K27" s="426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1"/>
      <c r="J28" s="425"/>
      <c r="K28" s="426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2"/>
      <c r="J29" s="427"/>
      <c r="K29" s="428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20" t="str">
        <f>AÑO!A9</f>
        <v>Rocío Salario</v>
      </c>
      <c r="J30" s="423" t="s">
        <v>238</v>
      </c>
      <c r="K30" s="424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1"/>
      <c r="J31" s="425" t="s">
        <v>256</v>
      </c>
      <c r="K31" s="426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1"/>
      <c r="J32" s="433" t="s">
        <v>267</v>
      </c>
      <c r="K32" s="426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0" t="s">
        <v>218</v>
      </c>
      <c r="J35" s="423" t="s">
        <v>306</v>
      </c>
      <c r="K35" s="424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20" t="str">
        <f>AÑO!A11</f>
        <v>Finanazas</v>
      </c>
      <c r="J40" s="423" t="s">
        <v>239</v>
      </c>
      <c r="K40" s="424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1"/>
      <c r="J41" s="425" t="s">
        <v>240</v>
      </c>
      <c r="K41" s="426"/>
      <c r="L41" s="229">
        <v>1.87</v>
      </c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12"/>
      <c r="I42" s="421"/>
      <c r="J42" s="425" t="s">
        <v>269</v>
      </c>
      <c r="K42" s="426"/>
      <c r="L42" s="229">
        <v>0.02</v>
      </c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12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12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20" t="str">
        <f>AÑO!A12</f>
        <v>Regalos</v>
      </c>
      <c r="J45" s="423" t="s">
        <v>299</v>
      </c>
      <c r="K45" s="424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21"/>
      <c r="J46" s="425"/>
      <c r="K46" s="426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22"/>
      <c r="J49" s="427"/>
      <c r="K49" s="428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20" t="str">
        <f>AÑO!A13</f>
        <v>Gubernamental</v>
      </c>
      <c r="J50" s="423" t="s">
        <v>259</v>
      </c>
      <c r="K50" s="424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22"/>
      <c r="J54" s="427"/>
      <c r="K54" s="428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20" t="str">
        <f>AÑO!A14</f>
        <v>Mutualite/DKV</v>
      </c>
      <c r="J55" s="423"/>
      <c r="K55" s="424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21"/>
      <c r="J56" s="425"/>
      <c r="K56" s="426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21"/>
      <c r="J57" s="425"/>
      <c r="K57" s="426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2"/>
      <c r="J59" s="427"/>
      <c r="K59" s="428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20" t="str">
        <f>AÑO!A15</f>
        <v>Alquiler Cartama</v>
      </c>
      <c r="J60" s="423"/>
      <c r="K60" s="42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12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12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12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20" t="str">
        <f>AÑO!A16</f>
        <v>Otros</v>
      </c>
      <c r="J65" s="423" t="s">
        <v>296</v>
      </c>
      <c r="K65" s="424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21"/>
      <c r="J66" s="425"/>
      <c r="K66" s="426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1"/>
      <c r="J67" s="425"/>
      <c r="K67" s="426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21"/>
      <c r="J68" s="425"/>
      <c r="K68" s="426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6"/>
      <c r="J69" s="437"/>
      <c r="K69" s="438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12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12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12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12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12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12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12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12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  <c r="H202" s="112"/>
    </row>
    <row r="203" spans="2:12" ht="15" customHeight="1" thickBot="1">
      <c r="B203" s="412"/>
      <c r="C203" s="413"/>
      <c r="D203" s="413"/>
      <c r="E203" s="413"/>
      <c r="F203" s="413"/>
      <c r="G203" s="414"/>
      <c r="H203" s="112"/>
    </row>
    <row r="204" spans="2:12" ht="15.75">
      <c r="B204" s="401" t="s">
        <v>8</v>
      </c>
      <c r="C204" s="402"/>
      <c r="D204" s="409" t="s">
        <v>9</v>
      </c>
      <c r="E204" s="409"/>
      <c r="F204" s="409"/>
      <c r="G204" s="402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3" t="str">
        <f>AÑO!A31</f>
        <v>Deportes</v>
      </c>
      <c r="C222" s="410"/>
      <c r="D222" s="410"/>
      <c r="E222" s="410"/>
      <c r="F222" s="410"/>
      <c r="G222" s="411"/>
      <c r="H222" s="112"/>
    </row>
    <row r="223" spans="2:8" ht="15" customHeight="1" thickBot="1">
      <c r="B223" s="412"/>
      <c r="C223" s="413"/>
      <c r="D223" s="413"/>
      <c r="E223" s="413"/>
      <c r="F223" s="413"/>
      <c r="G223" s="414"/>
      <c r="H223" s="112"/>
    </row>
    <row r="224" spans="2:8" ht="15.75">
      <c r="B224" s="401" t="s">
        <v>8</v>
      </c>
      <c r="C224" s="402"/>
      <c r="D224" s="409" t="s">
        <v>9</v>
      </c>
      <c r="E224" s="409"/>
      <c r="F224" s="409"/>
      <c r="G224" s="402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3" t="str">
        <f>AÑO!A32</f>
        <v>Hogar</v>
      </c>
      <c r="C242" s="410"/>
      <c r="D242" s="410"/>
      <c r="E242" s="410"/>
      <c r="F242" s="410"/>
      <c r="G242" s="411"/>
      <c r="H242" s="112"/>
    </row>
    <row r="243" spans="2:8" ht="15" customHeight="1" thickBot="1">
      <c r="B243" s="412"/>
      <c r="C243" s="413"/>
      <c r="D243" s="413"/>
      <c r="E243" s="413"/>
      <c r="F243" s="413"/>
      <c r="G243" s="414"/>
      <c r="H243" s="112"/>
    </row>
    <row r="244" spans="2:8" ht="15" customHeight="1">
      <c r="B244" s="401" t="s">
        <v>8</v>
      </c>
      <c r="C244" s="402"/>
      <c r="D244" s="409" t="s">
        <v>9</v>
      </c>
      <c r="E244" s="409"/>
      <c r="F244" s="409"/>
      <c r="G244" s="402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3" t="str">
        <f>AÑO!A33</f>
        <v>Formación</v>
      </c>
      <c r="C262" s="410"/>
      <c r="D262" s="410"/>
      <c r="E262" s="410"/>
      <c r="F262" s="410"/>
      <c r="G262" s="411"/>
      <c r="H262" s="112"/>
    </row>
    <row r="263" spans="2:8" ht="15" customHeight="1" thickBot="1">
      <c r="B263" s="412"/>
      <c r="C263" s="413"/>
      <c r="D263" s="413"/>
      <c r="E263" s="413"/>
      <c r="F263" s="413"/>
      <c r="G263" s="414"/>
      <c r="H263" s="112"/>
    </row>
    <row r="264" spans="2:8" ht="15.75">
      <c r="B264" s="401" t="s">
        <v>8</v>
      </c>
      <c r="C264" s="402"/>
      <c r="D264" s="409" t="s">
        <v>9</v>
      </c>
      <c r="E264" s="409"/>
      <c r="F264" s="409"/>
      <c r="G264" s="402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  <c r="H282" s="112"/>
    </row>
    <row r="283" spans="2:8" ht="15" customHeight="1" thickBot="1">
      <c r="B283" s="412"/>
      <c r="C283" s="413"/>
      <c r="D283" s="413"/>
      <c r="E283" s="413"/>
      <c r="F283" s="413"/>
      <c r="G283" s="414"/>
      <c r="H283" s="112"/>
    </row>
    <row r="284" spans="2:8" ht="15.75">
      <c r="B284" s="401" t="s">
        <v>8</v>
      </c>
      <c r="C284" s="402"/>
      <c r="D284" s="409" t="s">
        <v>9</v>
      </c>
      <c r="E284" s="409"/>
      <c r="F284" s="409"/>
      <c r="G284" s="402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  <c r="H302" s="112"/>
    </row>
    <row r="303" spans="2:8" ht="15" customHeight="1" thickBot="1">
      <c r="B303" s="412"/>
      <c r="C303" s="413"/>
      <c r="D303" s="413"/>
      <c r="E303" s="413"/>
      <c r="F303" s="413"/>
      <c r="G303" s="414"/>
      <c r="H303" s="112"/>
    </row>
    <row r="304" spans="2:8" ht="15.75">
      <c r="B304" s="401" t="s">
        <v>8</v>
      </c>
      <c r="C304" s="402"/>
      <c r="D304" s="409" t="s">
        <v>9</v>
      </c>
      <c r="E304" s="409"/>
      <c r="F304" s="409"/>
      <c r="G304" s="402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3" t="str">
        <f>AÑO!A36</f>
        <v>Nenas</v>
      </c>
      <c r="C322" s="410"/>
      <c r="D322" s="410"/>
      <c r="E322" s="410"/>
      <c r="F322" s="410"/>
      <c r="G322" s="411"/>
      <c r="H322" s="112"/>
    </row>
    <row r="323" spans="2:8" ht="15" customHeight="1" thickBot="1">
      <c r="B323" s="412"/>
      <c r="C323" s="413"/>
      <c r="D323" s="413"/>
      <c r="E323" s="413"/>
      <c r="F323" s="413"/>
      <c r="G323" s="414"/>
      <c r="H323" s="112"/>
    </row>
    <row r="324" spans="2:8" ht="15.75">
      <c r="B324" s="401" t="s">
        <v>8</v>
      </c>
      <c r="C324" s="402"/>
      <c r="D324" s="409" t="s">
        <v>9</v>
      </c>
      <c r="E324" s="409"/>
      <c r="F324" s="409"/>
      <c r="G324" s="402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3" t="str">
        <f>AÑO!A37</f>
        <v>Impuestos</v>
      </c>
      <c r="C342" s="410"/>
      <c r="D342" s="410"/>
      <c r="E342" s="410"/>
      <c r="F342" s="410"/>
      <c r="G342" s="411"/>
      <c r="H342" s="112"/>
    </row>
    <row r="343" spans="2:8" ht="15" customHeight="1" thickBot="1">
      <c r="B343" s="412"/>
      <c r="C343" s="413"/>
      <c r="D343" s="413"/>
      <c r="E343" s="413"/>
      <c r="F343" s="413"/>
      <c r="G343" s="414"/>
      <c r="H343" s="112"/>
    </row>
    <row r="344" spans="2:8" ht="15.75">
      <c r="B344" s="401" t="s">
        <v>8</v>
      </c>
      <c r="C344" s="402"/>
      <c r="D344" s="409" t="s">
        <v>9</v>
      </c>
      <c r="E344" s="409"/>
      <c r="F344" s="409"/>
      <c r="G344" s="402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3" t="str">
        <f>AÑO!A38</f>
        <v>Gastos Curros</v>
      </c>
      <c r="C362" s="410"/>
      <c r="D362" s="410"/>
      <c r="E362" s="410"/>
      <c r="F362" s="410"/>
      <c r="G362" s="411"/>
      <c r="H362" s="112"/>
    </row>
    <row r="363" spans="2:8" ht="15" customHeight="1" thickBot="1">
      <c r="B363" s="412"/>
      <c r="C363" s="413"/>
      <c r="D363" s="413"/>
      <c r="E363" s="413"/>
      <c r="F363" s="413"/>
      <c r="G363" s="414"/>
      <c r="H363" s="112"/>
    </row>
    <row r="364" spans="2:8" ht="15.75">
      <c r="B364" s="401" t="s">
        <v>8</v>
      </c>
      <c r="C364" s="402"/>
      <c r="D364" s="409" t="s">
        <v>9</v>
      </c>
      <c r="E364" s="409"/>
      <c r="F364" s="409"/>
      <c r="G364" s="402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3" t="str">
        <f>AÑO!A39</f>
        <v>Dreamed Holidays</v>
      </c>
      <c r="C382" s="410"/>
      <c r="D382" s="410"/>
      <c r="E382" s="410"/>
      <c r="F382" s="410"/>
      <c r="G382" s="411"/>
      <c r="H382" s="112"/>
    </row>
    <row r="383" spans="2:8" ht="15" customHeight="1" thickBot="1">
      <c r="B383" s="412"/>
      <c r="C383" s="413"/>
      <c r="D383" s="413"/>
      <c r="E383" s="413"/>
      <c r="F383" s="413"/>
      <c r="G383" s="414"/>
      <c r="H383" s="112"/>
    </row>
    <row r="384" spans="2:8" ht="15.75">
      <c r="B384" s="401" t="s">
        <v>8</v>
      </c>
      <c r="C384" s="402"/>
      <c r="D384" s="409" t="s">
        <v>9</v>
      </c>
      <c r="E384" s="409"/>
      <c r="F384" s="409"/>
      <c r="G384" s="402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3" t="str">
        <f>AÑO!A40</f>
        <v>Financieros</v>
      </c>
      <c r="C402" s="410"/>
      <c r="D402" s="410"/>
      <c r="E402" s="410"/>
      <c r="F402" s="410"/>
      <c r="G402" s="411"/>
      <c r="H402" s="112"/>
    </row>
    <row r="403" spans="2:8" ht="15" customHeight="1" thickBot="1">
      <c r="B403" s="412"/>
      <c r="C403" s="413"/>
      <c r="D403" s="413"/>
      <c r="E403" s="413"/>
      <c r="F403" s="413"/>
      <c r="G403" s="414"/>
      <c r="H403" s="112"/>
    </row>
    <row r="404" spans="2:8" ht="15.75">
      <c r="B404" s="401" t="s">
        <v>8</v>
      </c>
      <c r="C404" s="402"/>
      <c r="D404" s="409" t="s">
        <v>9</v>
      </c>
      <c r="E404" s="409"/>
      <c r="F404" s="409"/>
      <c r="G404" s="402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3" t="str">
        <f>AÑO!A41</f>
        <v>Ahorros Colchón</v>
      </c>
      <c r="C422" s="404"/>
      <c r="D422" s="404"/>
      <c r="E422" s="404"/>
      <c r="F422" s="404"/>
      <c r="G422" s="405"/>
      <c r="H422" s="112"/>
    </row>
    <row r="423" spans="1:8" ht="15" customHeight="1" thickBot="1">
      <c r="B423" s="406"/>
      <c r="C423" s="407"/>
      <c r="D423" s="407"/>
      <c r="E423" s="407"/>
      <c r="F423" s="407"/>
      <c r="G423" s="408"/>
      <c r="H423" s="112"/>
    </row>
    <row r="424" spans="1:8" ht="15.75">
      <c r="B424" s="401" t="s">
        <v>8</v>
      </c>
      <c r="C424" s="402"/>
      <c r="D424" s="409" t="s">
        <v>9</v>
      </c>
      <c r="E424" s="409"/>
      <c r="F424" s="409"/>
      <c r="G424" s="402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3" t="str">
        <f>AÑO!A42</f>
        <v>Dinero Bloqueado</v>
      </c>
      <c r="C442" s="404"/>
      <c r="D442" s="404"/>
      <c r="E442" s="404"/>
      <c r="F442" s="404"/>
      <c r="G442" s="405"/>
      <c r="H442" s="112"/>
    </row>
    <row r="443" spans="2:8" ht="15" customHeight="1" thickBot="1">
      <c r="B443" s="406"/>
      <c r="C443" s="407"/>
      <c r="D443" s="407"/>
      <c r="E443" s="407"/>
      <c r="F443" s="407"/>
      <c r="G443" s="408"/>
      <c r="H443" s="112"/>
    </row>
    <row r="444" spans="2:8" ht="15.75">
      <c r="B444" s="401" t="s">
        <v>8</v>
      </c>
      <c r="C444" s="402"/>
      <c r="D444" s="409" t="s">
        <v>9</v>
      </c>
      <c r="E444" s="409"/>
      <c r="F444" s="409"/>
      <c r="G444" s="402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3" t="str">
        <f>AÑO!A43</f>
        <v>Cartama Finanazas</v>
      </c>
      <c r="C462" s="404"/>
      <c r="D462" s="404"/>
      <c r="E462" s="404"/>
      <c r="F462" s="404"/>
      <c r="G462" s="405"/>
      <c r="H462" s="112"/>
    </row>
    <row r="463" spans="2:8" ht="15" customHeight="1" thickBot="1">
      <c r="B463" s="406"/>
      <c r="C463" s="407"/>
      <c r="D463" s="407"/>
      <c r="E463" s="407"/>
      <c r="F463" s="407"/>
      <c r="G463" s="408"/>
      <c r="H463" s="112"/>
    </row>
    <row r="464" spans="2:8" ht="15.75">
      <c r="B464" s="401" t="s">
        <v>8</v>
      </c>
      <c r="C464" s="402"/>
      <c r="D464" s="409" t="s">
        <v>9</v>
      </c>
      <c r="E464" s="409"/>
      <c r="F464" s="409"/>
      <c r="G464" s="402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3" t="str">
        <f>AÑO!A44</f>
        <v>NULO</v>
      </c>
      <c r="C482" s="404"/>
      <c r="D482" s="404"/>
      <c r="E482" s="404"/>
      <c r="F482" s="404"/>
      <c r="G482" s="405"/>
      <c r="H482" s="112"/>
    </row>
    <row r="483" spans="2:8" ht="15" customHeight="1" thickBot="1">
      <c r="B483" s="406"/>
      <c r="C483" s="407"/>
      <c r="D483" s="407"/>
      <c r="E483" s="407"/>
      <c r="F483" s="407"/>
      <c r="G483" s="408"/>
      <c r="H483" s="112"/>
    </row>
    <row r="484" spans="2:8" ht="15.75">
      <c r="B484" s="401" t="s">
        <v>8</v>
      </c>
      <c r="C484" s="402"/>
      <c r="D484" s="409" t="s">
        <v>9</v>
      </c>
      <c r="E484" s="409"/>
      <c r="F484" s="409"/>
      <c r="G484" s="402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3" t="str">
        <f>AÑO!A45</f>
        <v>OTROS</v>
      </c>
      <c r="C502" s="404"/>
      <c r="D502" s="404"/>
      <c r="E502" s="404"/>
      <c r="F502" s="404"/>
      <c r="G502" s="405"/>
      <c r="H502" s="112"/>
    </row>
    <row r="503" spans="2:8" ht="15" customHeight="1" thickBot="1">
      <c r="B503" s="406"/>
      <c r="C503" s="407"/>
      <c r="D503" s="407"/>
      <c r="E503" s="407"/>
      <c r="F503" s="407"/>
      <c r="G503" s="408"/>
      <c r="H503" s="112"/>
    </row>
    <row r="504" spans="2:8" ht="15.75">
      <c r="B504" s="401" t="s">
        <v>8</v>
      </c>
      <c r="C504" s="402"/>
      <c r="D504" s="409" t="s">
        <v>9</v>
      </c>
      <c r="E504" s="409"/>
      <c r="F504" s="409"/>
      <c r="G504" s="402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f>2397.48-4.45</f>
        <v>2393.0300000000002</v>
      </c>
      <c r="L5" s="432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620.08000000000004</v>
      </c>
      <c r="L6" s="416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5">
        <f>7340.23-4.45</f>
        <v>7335.78</v>
      </c>
      <c r="L7" s="416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5">
        <v>7001.87</v>
      </c>
      <c r="L8" s="416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5">
        <v>669.52</v>
      </c>
      <c r="L9" s="416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f>160+155</f>
        <v>315</v>
      </c>
      <c r="L11" s="416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7">
        <f>SUM(K5:K18)</f>
        <v>25229.379999999997</v>
      </c>
      <c r="L19" s="418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1"/>
      <c r="J27" s="425"/>
      <c r="K27" s="426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314</v>
      </c>
      <c r="K30" s="424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319</v>
      </c>
      <c r="K31" s="426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328</v>
      </c>
      <c r="K32" s="426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 t="s">
        <v>314</v>
      </c>
      <c r="K33" s="426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 t="s">
        <v>359</v>
      </c>
      <c r="K35" s="424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19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19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19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"/>
      <c r="I44" s="422"/>
      <c r="J44" s="427"/>
      <c r="K44" s="4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 t="s">
        <v>160</v>
      </c>
      <c r="K45" s="424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21"/>
      <c r="J46" s="425"/>
      <c r="K46" s="426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21"/>
      <c r="J47" s="425"/>
      <c r="K47" s="426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21"/>
      <c r="J48" s="425"/>
      <c r="K48" s="426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22"/>
      <c r="J49" s="427"/>
      <c r="K49" s="428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20" t="str">
        <f>AÑO!A13</f>
        <v>Gubernamental</v>
      </c>
      <c r="J50" s="423" t="s">
        <v>259</v>
      </c>
      <c r="K50" s="424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21"/>
      <c r="J51" s="425"/>
      <c r="K51" s="426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21"/>
      <c r="J52" s="425"/>
      <c r="K52" s="426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21"/>
      <c r="J53" s="425"/>
      <c r="K53" s="426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22"/>
      <c r="J54" s="427"/>
      <c r="K54" s="428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20" t="str">
        <f>AÑO!A14</f>
        <v>Mutualite/DKV</v>
      </c>
      <c r="J55" s="423"/>
      <c r="K55" s="4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20" t="str">
        <f>AÑO!A15</f>
        <v>Alquiler Cartama</v>
      </c>
      <c r="J60" s="423" t="s">
        <v>315</v>
      </c>
      <c r="K60" s="424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19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19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19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"/>
      <c r="I64" s="422"/>
      <c r="J64" s="427"/>
      <c r="K64" s="428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21"/>
      <c r="J66" s="425"/>
      <c r="K66" s="426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21"/>
      <c r="J67" s="425"/>
      <c r="K67" s="426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21"/>
      <c r="J68" s="425"/>
      <c r="K68" s="426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6"/>
      <c r="J69" s="437"/>
      <c r="K69" s="438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9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9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2:7" ht="15" customHeight="1" thickBot="1">
      <c r="B243" s="412"/>
      <c r="C243" s="413"/>
      <c r="D243" s="413"/>
      <c r="E243" s="413"/>
      <c r="F243" s="413"/>
      <c r="G243" s="414"/>
    </row>
    <row r="244" spans="2:7" ht="15" customHeight="1">
      <c r="B244" s="401" t="s">
        <v>8</v>
      </c>
      <c r="C244" s="402"/>
      <c r="D244" s="409" t="s">
        <v>9</v>
      </c>
      <c r="E244" s="409"/>
      <c r="F244" s="409"/>
      <c r="G244" s="4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2:7" ht="15" customHeight="1" thickBot="1">
      <c r="B263" s="412"/>
      <c r="C263" s="413"/>
      <c r="D263" s="413"/>
      <c r="E263" s="413"/>
      <c r="F263" s="413"/>
      <c r="G263" s="414"/>
    </row>
    <row r="264" spans="2:7">
      <c r="B264" s="401" t="s">
        <v>8</v>
      </c>
      <c r="C264" s="402"/>
      <c r="D264" s="409" t="s">
        <v>9</v>
      </c>
      <c r="E264" s="409"/>
      <c r="F264" s="409"/>
      <c r="G264" s="4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9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9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10"/>
      <c r="D322" s="410"/>
      <c r="E322" s="410"/>
      <c r="F322" s="410"/>
      <c r="G322" s="411"/>
    </row>
    <row r="323" spans="2:7" ht="15" customHeight="1" thickBot="1">
      <c r="B323" s="412"/>
      <c r="C323" s="413"/>
      <c r="D323" s="413"/>
      <c r="E323" s="413"/>
      <c r="F323" s="413"/>
      <c r="G323" s="414"/>
    </row>
    <row r="324" spans="2:7">
      <c r="B324" s="401" t="s">
        <v>8</v>
      </c>
      <c r="C324" s="402"/>
      <c r="D324" s="409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9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9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10"/>
      <c r="D382" s="410"/>
      <c r="E382" s="410"/>
      <c r="F382" s="410"/>
      <c r="G382" s="411"/>
    </row>
    <row r="383" spans="2:7" ht="15" customHeight="1" thickBot="1">
      <c r="B383" s="412"/>
      <c r="C383" s="413"/>
      <c r="D383" s="413"/>
      <c r="E383" s="413"/>
      <c r="F383" s="413"/>
      <c r="G383" s="414"/>
    </row>
    <row r="384" spans="2:7">
      <c r="B384" s="401" t="s">
        <v>8</v>
      </c>
      <c r="C384" s="402"/>
      <c r="D384" s="409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9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8" ht="15" customHeight="1" thickBot="1">
      <c r="B423" s="406"/>
      <c r="C423" s="407"/>
      <c r="D423" s="407"/>
      <c r="E423" s="407"/>
      <c r="F423" s="407"/>
      <c r="G423" s="408"/>
    </row>
    <row r="424" spans="1:8">
      <c r="B424" s="401" t="s">
        <v>8</v>
      </c>
      <c r="C424" s="402"/>
      <c r="D424" s="409" t="s">
        <v>9</v>
      </c>
      <c r="E424" s="409"/>
      <c r="F424" s="409"/>
      <c r="G424" s="402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9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v>1559.34</v>
      </c>
      <c r="L5" s="432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620.08000000000004</v>
      </c>
      <c r="L6" s="416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5">
        <v>8577.0300000000007</v>
      </c>
      <c r="L7" s="416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3501.87</v>
      </c>
      <c r="L8" s="416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5">
        <v>4167.34</v>
      </c>
      <c r="L9" s="416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v>255</v>
      </c>
      <c r="L11" s="416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7">
        <f>SUM(K5:K18)</f>
        <v>25574.760000000002</v>
      </c>
      <c r="L19" s="418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1"/>
      <c r="J27" s="425"/>
      <c r="K27" s="426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362</v>
      </c>
      <c r="K30" s="424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238</v>
      </c>
      <c r="K31" s="426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328</v>
      </c>
      <c r="K32" s="426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19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19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19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"/>
      <c r="I44" s="422"/>
      <c r="J44" s="427"/>
      <c r="K44" s="4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 t="s">
        <v>379</v>
      </c>
      <c r="K45" s="424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21"/>
      <c r="J46" s="425" t="s">
        <v>160</v>
      </c>
      <c r="K46" s="426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21"/>
      <c r="J47" s="425"/>
      <c r="K47" s="426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21"/>
      <c r="J48" s="425"/>
      <c r="K48" s="426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22"/>
      <c r="J49" s="427"/>
      <c r="K49" s="428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20" t="str">
        <f>AÑO!A13</f>
        <v>Gubernamental</v>
      </c>
      <c r="J50" s="423" t="s">
        <v>259</v>
      </c>
      <c r="K50" s="424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21"/>
      <c r="J51" s="425" t="s">
        <v>417</v>
      </c>
      <c r="K51" s="426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21"/>
      <c r="J52" s="425"/>
      <c r="K52" s="426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21"/>
      <c r="J53" s="425"/>
      <c r="K53" s="426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22"/>
      <c r="J54" s="427"/>
      <c r="K54" s="428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20" t="str">
        <f>AÑO!A14</f>
        <v>Mutualite/DKV</v>
      </c>
      <c r="J55" s="439" t="str">
        <f>G306</f>
        <v>12/03 Chirec</v>
      </c>
      <c r="K55" s="424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 t="s">
        <v>366</v>
      </c>
      <c r="K60" s="424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19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19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19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"/>
      <c r="I64" s="422"/>
      <c r="J64" s="427"/>
      <c r="K64" s="428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21"/>
      <c r="J66" s="425"/>
      <c r="K66" s="426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21"/>
      <c r="J67" s="425"/>
      <c r="K67" s="4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21"/>
      <c r="J68" s="425"/>
      <c r="K68" s="4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36"/>
      <c r="J69" s="437"/>
      <c r="K69" s="438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9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9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8" ht="15" customHeight="1" thickBot="1">
      <c r="B243" s="412"/>
      <c r="C243" s="413"/>
      <c r="D243" s="413"/>
      <c r="E243" s="413"/>
      <c r="F243" s="413"/>
      <c r="G243" s="414"/>
    </row>
    <row r="244" spans="1:8" ht="15" customHeight="1">
      <c r="B244" s="401" t="s">
        <v>8</v>
      </c>
      <c r="C244" s="402"/>
      <c r="D244" s="409" t="s">
        <v>9</v>
      </c>
      <c r="E244" s="409"/>
      <c r="F244" s="409"/>
      <c r="G244" s="402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7" ht="15" customHeight="1" thickBot="1">
      <c r="B263" s="412"/>
      <c r="C263" s="413"/>
      <c r="D263" s="413"/>
      <c r="E263" s="413"/>
      <c r="F263" s="413"/>
      <c r="G263" s="414"/>
    </row>
    <row r="264" spans="1:7">
      <c r="B264" s="401" t="s">
        <v>8</v>
      </c>
      <c r="C264" s="402"/>
      <c r="D264" s="409" t="s">
        <v>9</v>
      </c>
      <c r="E264" s="409"/>
      <c r="F264" s="409"/>
      <c r="G264" s="4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9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9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10"/>
      <c r="D322" s="410"/>
      <c r="E322" s="410"/>
      <c r="F322" s="410"/>
      <c r="G322" s="411"/>
    </row>
    <row r="323" spans="2:7" ht="15" customHeight="1" thickBot="1">
      <c r="B323" s="412"/>
      <c r="C323" s="413"/>
      <c r="D323" s="413"/>
      <c r="E323" s="413"/>
      <c r="F323" s="413"/>
      <c r="G323" s="414"/>
    </row>
    <row r="324" spans="2:7">
      <c r="B324" s="401" t="s">
        <v>8</v>
      </c>
      <c r="C324" s="402"/>
      <c r="D324" s="409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9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9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10"/>
      <c r="D382" s="410"/>
      <c r="E382" s="410"/>
      <c r="F382" s="410"/>
      <c r="G382" s="411"/>
    </row>
    <row r="383" spans="2:7" ht="15" customHeight="1" thickBot="1">
      <c r="B383" s="412"/>
      <c r="C383" s="413"/>
      <c r="D383" s="413"/>
      <c r="E383" s="413"/>
      <c r="F383" s="413"/>
      <c r="G383" s="414"/>
    </row>
    <row r="384" spans="2:7">
      <c r="B384" s="401" t="s">
        <v>8</v>
      </c>
      <c r="C384" s="402"/>
      <c r="D384" s="409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9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9" t="s">
        <v>9</v>
      </c>
      <c r="E424" s="409"/>
      <c r="F424" s="409"/>
      <c r="G424" s="402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9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v>861.84</v>
      </c>
      <c r="L5" s="432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620.08000000000004</v>
      </c>
      <c r="L6" s="416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v>10075.709999999999</v>
      </c>
      <c r="L7" s="416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5">
        <v>3501.87</v>
      </c>
      <c r="L8" s="416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5">
        <v>35.96</v>
      </c>
      <c r="L9" s="416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v>370</v>
      </c>
      <c r="L11" s="416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f>5092.08+4084.2</f>
        <v>9176.2799999999988</v>
      </c>
      <c r="L12" s="416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26443.759999999998</v>
      </c>
      <c r="L19" s="441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362</v>
      </c>
      <c r="K30" s="424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430</v>
      </c>
      <c r="K31" s="426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328</v>
      </c>
      <c r="K32" s="426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 t="s">
        <v>424</v>
      </c>
      <c r="K40" s="424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 t="s">
        <v>444</v>
      </c>
      <c r="K41" s="426"/>
      <c r="L41" s="229">
        <v>352.82</v>
      </c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 t="s">
        <v>60</v>
      </c>
      <c r="K42" s="426"/>
      <c r="L42" s="229">
        <v>0.02</v>
      </c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20" t="str">
        <f>AÑO!A13</f>
        <v>Gubernamental</v>
      </c>
      <c r="J50" s="423" t="s">
        <v>433</v>
      </c>
      <c r="K50" s="424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39" t="str">
        <f>'03'!G307</f>
        <v>22/03 Chirec</v>
      </c>
      <c r="K55" s="424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42" t="str">
        <f>'03'!G309</f>
        <v>26/03 Ginecologa</v>
      </c>
      <c r="K56" s="426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 t="s">
        <v>448</v>
      </c>
      <c r="K57" s="426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7" ht="15" customHeight="1" thickBot="1">
      <c r="B263" s="412"/>
      <c r="C263" s="413"/>
      <c r="D263" s="413"/>
      <c r="E263" s="413"/>
      <c r="F263" s="413"/>
      <c r="G263" s="414"/>
    </row>
    <row r="264" spans="1:7">
      <c r="B264" s="401" t="s">
        <v>8</v>
      </c>
      <c r="C264" s="402"/>
      <c r="D264" s="401" t="s">
        <v>9</v>
      </c>
      <c r="E264" s="409"/>
      <c r="F264" s="409"/>
      <c r="G264" s="4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1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1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1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1" t="s">
        <v>9</v>
      </c>
      <c r="E424" s="409"/>
      <c r="F424" s="409"/>
      <c r="G424" s="402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v>1773.93</v>
      </c>
      <c r="L5" s="432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620.1</v>
      </c>
      <c r="L6" s="416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v>7144.52</v>
      </c>
      <c r="L7" s="416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10005.620000000001</v>
      </c>
      <c r="L8" s="416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5">
        <v>514.82000000000005</v>
      </c>
      <c r="L9" s="416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f>210</f>
        <v>210</v>
      </c>
      <c r="L11" s="416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27163.090000000004</v>
      </c>
      <c r="L19" s="441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430</v>
      </c>
      <c r="K30" s="424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362</v>
      </c>
      <c r="K31" s="426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328</v>
      </c>
      <c r="K32" s="426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 t="s">
        <v>472</v>
      </c>
      <c r="K40" s="424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22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22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20" t="str">
        <f>AÑO!A13</f>
        <v>Gubernamental</v>
      </c>
      <c r="J50" s="423" t="s">
        <v>483</v>
      </c>
      <c r="K50" s="424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20" t="str">
        <f>AÑO!A14</f>
        <v>Mutualite/DKV</v>
      </c>
      <c r="J55" s="423" t="s">
        <v>477</v>
      </c>
      <c r="K55" s="424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8" ht="15" customHeight="1" thickBot="1">
      <c r="B263" s="412"/>
      <c r="C263" s="413"/>
      <c r="D263" s="413"/>
      <c r="E263" s="413"/>
      <c r="F263" s="413"/>
      <c r="G263" s="414"/>
    </row>
    <row r="264" spans="1:8">
      <c r="B264" s="401" t="s">
        <v>8</v>
      </c>
      <c r="C264" s="402"/>
      <c r="D264" s="401" t="s">
        <v>9</v>
      </c>
      <c r="E264" s="409"/>
      <c r="F264" s="409"/>
      <c r="G264" s="4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1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1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1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8" ht="15" customHeight="1" thickBot="1">
      <c r="B423" s="406"/>
      <c r="C423" s="407"/>
      <c r="D423" s="407"/>
      <c r="E423" s="407"/>
      <c r="F423" s="407"/>
      <c r="G423" s="408"/>
    </row>
    <row r="424" spans="1:8">
      <c r="B424" s="401" t="s">
        <v>8</v>
      </c>
      <c r="C424" s="402"/>
      <c r="D424" s="401" t="s">
        <v>9</v>
      </c>
      <c r="E424" s="409"/>
      <c r="F424" s="409"/>
      <c r="G424" s="402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zoomScaleNormal="100" workbookViewId="0">
      <selection activeCell="E8" sqref="E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f>M5+2156.93</f>
        <v>1614.1099999999997</v>
      </c>
      <c r="L5" s="432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620.1</v>
      </c>
      <c r="L6" s="416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f>9234.42-58.2</f>
        <v>9176.2199999999993</v>
      </c>
      <c r="L7" s="416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5">
        <v>6305.62</v>
      </c>
      <c r="L8" s="416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5">
        <v>169.67</v>
      </c>
      <c r="L9" s="416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v>190</v>
      </c>
      <c r="L11" s="416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f>5092.08+4044.26</f>
        <v>9136.34</v>
      </c>
      <c r="L12" s="416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29014.079999999998</v>
      </c>
      <c r="L19" s="441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626</v>
      </c>
      <c r="K30" s="424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430</v>
      </c>
      <c r="K31" s="426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328</v>
      </c>
      <c r="K32" s="426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 t="s">
        <v>359</v>
      </c>
      <c r="K35" s="424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22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22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 t="s">
        <v>160</v>
      </c>
      <c r="K45" s="424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20" t="str">
        <f>AÑO!A13</f>
        <v>Gubernamental</v>
      </c>
      <c r="J50" s="423" t="s">
        <v>639</v>
      </c>
      <c r="K50" s="424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677</v>
      </c>
      <c r="H55" s="1"/>
      <c r="I55" s="420" t="str">
        <f>AÑO!A14</f>
        <v>Mutualite/DKV</v>
      </c>
      <c r="J55" s="423"/>
      <c r="K55" s="424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 t="s">
        <v>627</v>
      </c>
      <c r="K60" s="424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675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676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678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680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8" ht="15" customHeight="1" thickBot="1">
      <c r="B263" s="412"/>
      <c r="C263" s="413"/>
      <c r="D263" s="413"/>
      <c r="E263" s="413"/>
      <c r="F263" s="413"/>
      <c r="G263" s="414"/>
    </row>
    <row r="264" spans="1:8">
      <c r="B264" s="401" t="s">
        <v>8</v>
      </c>
      <c r="C264" s="402"/>
      <c r="D264" s="401" t="s">
        <v>9</v>
      </c>
      <c r="E264" s="409"/>
      <c r="F264" s="409"/>
      <c r="G264" s="4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9" ht="15" customHeight="1" thickBot="1">
      <c r="B283" s="412"/>
      <c r="C283" s="413"/>
      <c r="D283" s="413"/>
      <c r="E283" s="413"/>
      <c r="F283" s="413"/>
      <c r="G283" s="414"/>
    </row>
    <row r="284" spans="2:9">
      <c r="B284" s="401" t="s">
        <v>8</v>
      </c>
      <c r="C284" s="402"/>
      <c r="D284" s="401" t="s">
        <v>9</v>
      </c>
      <c r="E284" s="409"/>
      <c r="F284" s="409"/>
      <c r="G284" s="402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1:7" ht="15" customHeight="1" thickBot="1">
      <c r="B343" s="412"/>
      <c r="C343" s="413"/>
      <c r="D343" s="413"/>
      <c r="E343" s="413"/>
      <c r="F343" s="413"/>
      <c r="G343" s="414"/>
    </row>
    <row r="344" spans="1:7">
      <c r="B344" s="401" t="s">
        <v>8</v>
      </c>
      <c r="C344" s="402"/>
      <c r="D344" s="401" t="s">
        <v>9</v>
      </c>
      <c r="E344" s="409"/>
      <c r="F344" s="409"/>
      <c r="G344" s="40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1:7" ht="15" customHeight="1" thickBot="1">
      <c r="B363" s="412"/>
      <c r="C363" s="413"/>
      <c r="D363" s="413"/>
      <c r="E363" s="413"/>
      <c r="F363" s="413"/>
      <c r="G363" s="414"/>
    </row>
    <row r="364" spans="1:7">
      <c r="B364" s="401" t="s">
        <v>8</v>
      </c>
      <c r="C364" s="402"/>
      <c r="D364" s="401" t="s">
        <v>9</v>
      </c>
      <c r="E364" s="409"/>
      <c r="F364" s="409"/>
      <c r="G364" s="40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1" t="s">
        <v>9</v>
      </c>
      <c r="E424" s="409"/>
      <c r="F424" s="409"/>
      <c r="G424" s="402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8" sqref="C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f>2939.95</f>
        <v>2939.95</v>
      </c>
      <c r="L5" s="432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620.1</v>
      </c>
      <c r="L6" s="416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v>8049.26</v>
      </c>
      <c r="L7" s="416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6305.62</v>
      </c>
      <c r="L8" s="416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5">
        <v>169.67</v>
      </c>
      <c r="L9" s="416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v>260</v>
      </c>
      <c r="L11" s="416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f>5092.08+4044.26</f>
        <v>9136.34</v>
      </c>
      <c r="L12" s="416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29282.959999999999</v>
      </c>
      <c r="L19" s="441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430</v>
      </c>
      <c r="K30" s="424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626</v>
      </c>
      <c r="K31" s="426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692</v>
      </c>
      <c r="K32" s="426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 t="s">
        <v>679</v>
      </c>
      <c r="K40" s="424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 t="s">
        <v>60</v>
      </c>
      <c r="K41" s="426"/>
      <c r="L41" s="229">
        <v>0.02</v>
      </c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22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684</v>
      </c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690</v>
      </c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709</v>
      </c>
      <c r="H48" s="1"/>
      <c r="I48" s="421"/>
      <c r="J48" s="425"/>
      <c r="K48" s="426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687</v>
      </c>
      <c r="D49" s="137">
        <v>2.5499999999999998</v>
      </c>
      <c r="E49" s="138"/>
      <c r="F49" s="138"/>
      <c r="G49" s="16" t="s">
        <v>718</v>
      </c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>
        <v>5</v>
      </c>
      <c r="C50" s="16" t="s">
        <v>714</v>
      </c>
      <c r="D50" s="137">
        <v>69.97</v>
      </c>
      <c r="E50" s="138"/>
      <c r="F50" s="138"/>
      <c r="G50" s="16" t="s">
        <v>730</v>
      </c>
      <c r="H50" s="1"/>
      <c r="I50" s="420" t="str">
        <f>AÑO!A13</f>
        <v>Gubernamental</v>
      </c>
      <c r="J50" s="423" t="s">
        <v>639</v>
      </c>
      <c r="K50" s="424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733</v>
      </c>
      <c r="D51" s="137">
        <v>5.29</v>
      </c>
      <c r="E51" s="138"/>
      <c r="F51" s="138"/>
      <c r="G51" s="16" t="s">
        <v>732</v>
      </c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23" t="s">
        <v>693</v>
      </c>
      <c r="K55" s="424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 t="s">
        <v>693</v>
      </c>
      <c r="K56" s="426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 t="s">
        <v>693</v>
      </c>
      <c r="K57" s="426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 t="s">
        <v>708</v>
      </c>
      <c r="K60" s="424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685</v>
      </c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694</v>
      </c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716</v>
      </c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715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728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717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723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738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701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703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711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719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731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684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702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727</v>
      </c>
    </row>
    <row r="247" spans="1:7" ht="15" customHeight="1">
      <c r="A247" s="112"/>
      <c r="B247" s="134">
        <v>-5</v>
      </c>
      <c r="C247" s="16" t="s">
        <v>714</v>
      </c>
      <c r="D247" s="137">
        <v>20</v>
      </c>
      <c r="E247" s="138"/>
      <c r="F247" s="138"/>
      <c r="G247" s="16" t="s">
        <v>730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712</v>
      </c>
      <c r="D257" s="137"/>
      <c r="E257" s="138">
        <v>100.67</v>
      </c>
      <c r="F257" s="138"/>
      <c r="G257" s="16" t="s">
        <v>739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721</v>
      </c>
      <c r="D258" s="137">
        <v>349</v>
      </c>
      <c r="E258" s="138"/>
      <c r="F258" s="138"/>
      <c r="G258" s="16" t="s">
        <v>688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8" ht="15" customHeight="1" thickBot="1">
      <c r="B263" s="412"/>
      <c r="C263" s="413"/>
      <c r="D263" s="413"/>
      <c r="E263" s="413"/>
      <c r="F263" s="413"/>
      <c r="G263" s="414"/>
    </row>
    <row r="264" spans="1:8">
      <c r="B264" s="401" t="s">
        <v>8</v>
      </c>
      <c r="C264" s="402"/>
      <c r="D264" s="401" t="s">
        <v>9</v>
      </c>
      <c r="E264" s="409"/>
      <c r="F264" s="409"/>
      <c r="G264" s="4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1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690</v>
      </c>
    </row>
    <row r="287" spans="2:8">
      <c r="B287" s="134"/>
      <c r="C287" s="16"/>
      <c r="D287" s="137"/>
      <c r="E287" s="138"/>
      <c r="F287" s="138">
        <v>50</v>
      </c>
      <c r="G287" s="16" t="s">
        <v>699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700</v>
      </c>
    </row>
    <row r="289" spans="2:8">
      <c r="B289" s="134"/>
      <c r="C289" s="16"/>
      <c r="D289" s="137">
        <v>26.31</v>
      </c>
      <c r="E289" s="138"/>
      <c r="F289" s="138"/>
      <c r="G289" s="16" t="s">
        <v>702</v>
      </c>
    </row>
    <row r="290" spans="2:8">
      <c r="B290" s="134"/>
      <c r="C290" s="16"/>
      <c r="D290" s="137"/>
      <c r="E290" s="138">
        <v>31.95</v>
      </c>
      <c r="F290" s="138"/>
      <c r="G290" s="16" t="s">
        <v>720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681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683</v>
      </c>
    </row>
    <row r="308" spans="2:7">
      <c r="B308" s="134">
        <f>37.49+14.27+14.27</f>
        <v>66.03</v>
      </c>
      <c r="C308" s="27" t="s">
        <v>693</v>
      </c>
      <c r="D308" s="137">
        <f>37.5+37.5</f>
        <v>75</v>
      </c>
      <c r="E308" s="138"/>
      <c r="F308" s="138"/>
      <c r="G308" s="16" t="s">
        <v>710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707</v>
      </c>
    </row>
    <row r="327" spans="2:7">
      <c r="B327" s="134">
        <v>100</v>
      </c>
      <c r="C327" s="16" t="s">
        <v>698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1:7" ht="15" customHeight="1" thickBot="1">
      <c r="B343" s="412"/>
      <c r="C343" s="413"/>
      <c r="D343" s="413"/>
      <c r="E343" s="413"/>
      <c r="F343" s="413"/>
      <c r="G343" s="414"/>
    </row>
    <row r="344" spans="1:7">
      <c r="B344" s="401" t="s">
        <v>8</v>
      </c>
      <c r="C344" s="402"/>
      <c r="D344" s="401" t="s">
        <v>9</v>
      </c>
      <c r="E344" s="409"/>
      <c r="F344" s="409"/>
      <c r="G344" s="40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724</v>
      </c>
      <c r="D358" s="137">
        <v>64.3</v>
      </c>
      <c r="E358" s="138"/>
      <c r="F358" s="138"/>
      <c r="G358" s="16" t="s">
        <v>722</v>
      </c>
    </row>
    <row r="359" spans="1:7" ht="16.5" thickBot="1">
      <c r="A359" s="112"/>
      <c r="B359" s="135">
        <f>12.64+6.66</f>
        <v>19.3</v>
      </c>
      <c r="C359" s="17" t="s">
        <v>733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1:7" ht="15" customHeight="1" thickBot="1">
      <c r="B363" s="412"/>
      <c r="C363" s="413"/>
      <c r="D363" s="413"/>
      <c r="E363" s="413"/>
      <c r="F363" s="413"/>
      <c r="G363" s="414"/>
    </row>
    <row r="364" spans="1:7">
      <c r="B364" s="401" t="s">
        <v>8</v>
      </c>
      <c r="C364" s="402"/>
      <c r="D364" s="401" t="s">
        <v>9</v>
      </c>
      <c r="E364" s="409"/>
      <c r="F364" s="409"/>
      <c r="G364" s="40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686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682</v>
      </c>
    </row>
    <row r="407" spans="2:7">
      <c r="B407" s="134">
        <v>1</v>
      </c>
      <c r="C407" s="16" t="s">
        <v>679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1" t="s">
        <v>9</v>
      </c>
      <c r="E424" s="409"/>
      <c r="F424" s="409"/>
      <c r="G424" s="402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abSelected="1" topLeftCell="A421" workbookViewId="0">
      <selection activeCell="J422" sqref="J42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v>3508.76</v>
      </c>
      <c r="L5" s="432"/>
      <c r="M5" s="1"/>
      <c r="N5" s="1"/>
      <c r="R5" s="3"/>
    </row>
    <row r="6" spans="1:22" ht="15.75">
      <c r="A6" s="112">
        <f>'07'!A6+(B6-SUM(D6:F6))</f>
        <v>409.08</v>
      </c>
      <c r="B6" s="133">
        <v>403.08</v>
      </c>
      <c r="C6" s="19" t="s">
        <v>741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5">
        <v>620.12</v>
      </c>
      <c r="L6" s="416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v>7490.36</v>
      </c>
      <c r="L7" s="416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5">
        <v>6305.62</v>
      </c>
      <c r="L8" s="416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5">
        <v>163.63</v>
      </c>
      <c r="L9" s="416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f>20+120</f>
        <v>140</v>
      </c>
      <c r="L11" s="416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f>5092.08+4044.26</f>
        <v>9136.34</v>
      </c>
      <c r="L12" s="416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29166.850000000002</v>
      </c>
      <c r="L19" s="441"/>
      <c r="M19" s="1"/>
      <c r="N19" s="1"/>
      <c r="R19" s="3"/>
    </row>
    <row r="20" spans="1:18" ht="16.5" thickBot="1">
      <c r="A20" s="112">
        <f>SUM(A6:A15)</f>
        <v>830.1400000000001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146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/>
      <c r="K25" s="424"/>
      <c r="L25" s="231"/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328</v>
      </c>
      <c r="K30" s="424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/>
      <c r="K31" s="426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/>
      <c r="K32" s="426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22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22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231"/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748</v>
      </c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745</v>
      </c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 t="s">
        <v>725</v>
      </c>
      <c r="D48" s="137">
        <v>22.34</v>
      </c>
      <c r="E48" s="138"/>
      <c r="F48" s="138"/>
      <c r="G48" s="16" t="s">
        <v>749</v>
      </c>
      <c r="H48" s="1">
        <f>22*8</f>
        <v>176</v>
      </c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/>
      <c r="D49" s="137">
        <v>49.31</v>
      </c>
      <c r="E49" s="138"/>
      <c r="F49" s="138"/>
      <c r="G49" s="16" t="s">
        <v>755</v>
      </c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762</v>
      </c>
      <c r="H50" s="1"/>
      <c r="I50" s="420" t="str">
        <f>AÑO!A13</f>
        <v>Gubernamental</v>
      </c>
      <c r="J50" s="423" t="s">
        <v>639</v>
      </c>
      <c r="K50" s="424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763</v>
      </c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43">
        <v>43692</v>
      </c>
      <c r="K55" s="424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 t="s">
        <v>39</v>
      </c>
      <c r="K60" s="424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'07'!A66+(B66-SUM(D66:F78))+B67</f>
        <v>16.530000000000037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754</v>
      </c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/>
      <c r="C67" s="16"/>
      <c r="D67" s="137">
        <f>23+8.15</f>
        <v>31.15</v>
      </c>
      <c r="E67" s="138"/>
      <c r="F67" s="138">
        <v>30</v>
      </c>
      <c r="G67" s="31" t="s">
        <v>753</v>
      </c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/>
      <c r="C68" s="16"/>
      <c r="D68" s="137">
        <v>19.5</v>
      </c>
      <c r="E68" s="138"/>
      <c r="F68" s="138">
        <v>5.5</v>
      </c>
      <c r="G68" s="16" t="s">
        <v>759</v>
      </c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760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116.53000000000003</v>
      </c>
      <c r="B80" s="233">
        <f>SUM(B66:B79)</f>
        <v>170</v>
      </c>
      <c r="C80" s="17" t="s">
        <v>53</v>
      </c>
      <c r="D80" s="135">
        <f>SUM(D66:D79)</f>
        <v>127.44999999999999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751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752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95.69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747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30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696</v>
      </c>
    </row>
    <row r="207" spans="2:12">
      <c r="B207" s="134"/>
      <c r="C207" s="16"/>
      <c r="D207" s="137">
        <v>23</v>
      </c>
      <c r="E207" s="138"/>
      <c r="F207" s="138"/>
      <c r="G207" s="16" t="s">
        <v>766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'07'!A246+(B246-SUM(D246:F255))</f>
        <v>-12.119999999999997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746</v>
      </c>
    </row>
    <row r="247" spans="1:7" ht="15" customHeight="1">
      <c r="A247" s="112"/>
      <c r="B247" s="134"/>
      <c r="C247" s="16"/>
      <c r="D247" s="137">
        <v>16.52</v>
      </c>
      <c r="E247" s="138"/>
      <c r="F247" s="138"/>
      <c r="G247" s="16" t="s">
        <v>761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767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596.12000000000012</v>
      </c>
      <c r="B257" s="134">
        <v>40</v>
      </c>
      <c r="C257" s="16" t="s">
        <v>713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619.00000000000011</v>
      </c>
      <c r="B260" s="135">
        <f>SUM(B246:B259)</f>
        <v>90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8" ht="15" customHeight="1" thickBot="1">
      <c r="B263" s="412"/>
      <c r="C263" s="413"/>
      <c r="D263" s="413"/>
      <c r="E263" s="413"/>
      <c r="F263" s="413"/>
      <c r="G263" s="414"/>
    </row>
    <row r="264" spans="1:8">
      <c r="B264" s="401" t="s">
        <v>8</v>
      </c>
      <c r="C264" s="402"/>
      <c r="D264" s="401" t="s">
        <v>9</v>
      </c>
      <c r="E264" s="409"/>
      <c r="F264" s="409"/>
      <c r="G264" s="4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742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1:8" ht="15" customHeight="1" thickBot="1">
      <c r="B283" s="412"/>
      <c r="C283" s="413"/>
      <c r="D283" s="413"/>
      <c r="E283" s="413"/>
      <c r="F283" s="413"/>
      <c r="G283" s="414"/>
    </row>
    <row r="284" spans="1:8">
      <c r="B284" s="401" t="s">
        <v>8</v>
      </c>
      <c r="C284" s="402"/>
      <c r="D284" s="401" t="s">
        <v>9</v>
      </c>
      <c r="E284" s="409"/>
      <c r="F284" s="409"/>
      <c r="G284" s="402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59.649999999999807</v>
      </c>
      <c r="B286" s="133">
        <v>70</v>
      </c>
      <c r="C286" s="19" t="s">
        <v>33</v>
      </c>
      <c r="D286" s="137"/>
      <c r="E286" s="138"/>
      <c r="F286" s="138"/>
      <c r="G286" s="16" t="s">
        <v>695</v>
      </c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770</v>
      </c>
      <c r="D299" s="135"/>
      <c r="E299" s="139"/>
      <c r="F299" s="139"/>
      <c r="G299" s="17"/>
    </row>
    <row r="300" spans="1:8" ht="16.5" thickBot="1">
      <c r="A300" s="112">
        <f>SUM(A286:A299)</f>
        <v>79.649999999999807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1:8" ht="15" customHeight="1" thickBot="1">
      <c r="B303" s="412"/>
      <c r="C303" s="413"/>
      <c r="D303" s="413"/>
      <c r="E303" s="413"/>
      <c r="F303" s="413"/>
      <c r="G303" s="414"/>
    </row>
    <row r="304" spans="1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>
        <v>35.96</v>
      </c>
      <c r="E306" s="138"/>
      <c r="F306" s="138"/>
      <c r="G306" s="16" t="s">
        <v>756</v>
      </c>
    </row>
    <row r="307" spans="2:7">
      <c r="B307" s="134">
        <v>13.15</v>
      </c>
      <c r="C307" s="27" t="s">
        <v>764</v>
      </c>
      <c r="D307" s="137"/>
      <c r="E307" s="138"/>
      <c r="F307" s="138">
        <v>70</v>
      </c>
      <c r="G307" s="16" t="s">
        <v>758</v>
      </c>
    </row>
    <row r="308" spans="2:7">
      <c r="B308" s="134"/>
      <c r="C308" s="27"/>
      <c r="D308" s="137">
        <v>8.68</v>
      </c>
      <c r="E308" s="138"/>
      <c r="F308" s="138"/>
      <c r="G308" s="16" t="s">
        <v>771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143.15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744</v>
      </c>
    </row>
    <row r="327" spans="2:7">
      <c r="B327" s="134"/>
      <c r="C327" s="16"/>
      <c r="D327" s="137">
        <v>10</v>
      </c>
      <c r="E327" s="138"/>
      <c r="F327" s="138"/>
      <c r="G327" s="16" t="s">
        <v>746</v>
      </c>
    </row>
    <row r="328" spans="2:7">
      <c r="B328" s="134"/>
      <c r="C328" s="16"/>
      <c r="D328" s="137">
        <v>187.13</v>
      </c>
      <c r="E328" s="138"/>
      <c r="F328" s="138"/>
      <c r="G328" s="16" t="s">
        <v>750</v>
      </c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197.13</v>
      </c>
      <c r="E340" s="135">
        <f>SUM(E326:E339)</f>
        <v>94.14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1:7" ht="15" customHeight="1" thickBot="1">
      <c r="B343" s="412"/>
      <c r="C343" s="413"/>
      <c r="D343" s="413"/>
      <c r="E343" s="413"/>
      <c r="F343" s="413"/>
      <c r="G343" s="414"/>
    </row>
    <row r="344" spans="1:7">
      <c r="B344" s="401" t="s">
        <v>8</v>
      </c>
      <c r="C344" s="402"/>
      <c r="D344" s="401" t="s">
        <v>9</v>
      </c>
      <c r="E344" s="409"/>
      <c r="F344" s="409"/>
      <c r="G344" s="40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1:7" ht="15" customHeight="1" thickBot="1">
      <c r="B363" s="412"/>
      <c r="C363" s="413"/>
      <c r="D363" s="413"/>
      <c r="E363" s="413"/>
      <c r="F363" s="413"/>
      <c r="G363" s="414"/>
    </row>
    <row r="364" spans="1:7">
      <c r="B364" s="401" t="s">
        <v>8</v>
      </c>
      <c r="C364" s="402"/>
      <c r="D364" s="401" t="s">
        <v>9</v>
      </c>
      <c r="E364" s="409"/>
      <c r="F364" s="409"/>
      <c r="G364" s="40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</f>
        <v>29.8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29.8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743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1" t="s">
        <v>9</v>
      </c>
      <c r="E424" s="409"/>
      <c r="F424" s="409"/>
      <c r="G424" s="402"/>
    </row>
    <row r="425" spans="1:7">
      <c r="A425" s="113">
        <f>AÑO!AE17</f>
        <v>971.78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-2941.37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-2941.37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734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23.43</v>
      </c>
      <c r="E506" s="138"/>
      <c r="F506" s="138"/>
      <c r="G506" s="16" t="s">
        <v>757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2019-08-23T15:00:16Z</dcterms:modified>
</cp:coreProperties>
</file>