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44902F87-7656-414A-9F05-8BE2DF70457F}" xr6:coauthVersionLast="36" xr6:coauthVersionMax="36" xr10:uidLastSave="{00000000-0000-0000-0000-000000000000}"/>
  <bookViews>
    <workbookView xWindow="0" yWindow="0" windowWidth="27525" windowHeight="10635" activeTab="4" xr2:uid="{00000000-000D-0000-FFFF-FFFF00000000}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6" l="1"/>
  <c r="B3" i="6"/>
  <c r="R23" i="3"/>
  <c r="B4" i="6" l="1"/>
  <c r="S51" i="3" l="1"/>
  <c r="S50" i="3"/>
  <c r="S49" i="3"/>
  <c r="S48" i="3"/>
  <c r="R22" i="3"/>
  <c r="S41" i="3" l="1"/>
  <c r="S40" i="3"/>
  <c r="B7" i="6"/>
  <c r="B12" i="6" l="1"/>
  <c r="C3" i="6"/>
  <c r="D3" i="6" s="1"/>
  <c r="C5" i="6"/>
  <c r="D5" i="6" s="1"/>
  <c r="C4" i="6"/>
  <c r="D4" i="6" s="1"/>
  <c r="C6" i="6"/>
  <c r="D6" i="6" s="1"/>
  <c r="P20" i="3" l="1"/>
  <c r="Q20" i="3"/>
  <c r="F20" i="3"/>
  <c r="R20" i="3" l="1"/>
  <c r="B5" i="2" l="1"/>
  <c r="A29" i="3"/>
  <c r="G39" i="3"/>
  <c r="G36" i="3" l="1"/>
  <c r="G37" i="3"/>
  <c r="G38" i="3"/>
  <c r="Q19" i="3" l="1"/>
  <c r="R19" i="3" s="1"/>
  <c r="P19" i="3"/>
  <c r="U36" i="3" l="1"/>
  <c r="B15" i="4" l="1"/>
  <c r="R18" i="3" l="1"/>
  <c r="O26" i="3" l="1"/>
  <c r="N26" i="3"/>
  <c r="M26" i="3"/>
  <c r="L26" i="3"/>
  <c r="R3" i="3"/>
  <c r="S3" i="3"/>
  <c r="S26" i="3" s="1"/>
  <c r="R12" i="3"/>
  <c r="Q13" i="3"/>
  <c r="R26" i="3" l="1"/>
  <c r="K26" i="3"/>
  <c r="J26" i="3"/>
  <c r="I26" i="3"/>
  <c r="H26" i="3" l="1"/>
  <c r="B13" i="3" l="1"/>
  <c r="B18" i="1" l="1"/>
  <c r="B16" i="1"/>
  <c r="B5" i="1" l="1"/>
  <c r="B17" i="1" s="1"/>
  <c r="B15" i="1" s="1"/>
  <c r="B19" i="2"/>
  <c r="A30" i="3" l="1"/>
  <c r="F30" i="3"/>
  <c r="E30" i="3"/>
  <c r="B30" i="3"/>
  <c r="E16" i="4"/>
  <c r="B7" i="4"/>
  <c r="E13" i="4" s="1"/>
  <c r="E17" i="4" s="1"/>
  <c r="B5" i="4"/>
  <c r="I4" i="4"/>
  <c r="I5" i="4" s="1"/>
  <c r="D30" i="3" l="1"/>
  <c r="D13" i="3"/>
  <c r="G30" i="3"/>
  <c r="E6" i="4"/>
  <c r="E5" i="4"/>
  <c r="E3" i="4"/>
  <c r="E4" i="4"/>
  <c r="H30" i="3" l="1"/>
  <c r="J30" i="3" s="1"/>
  <c r="L30" i="3"/>
  <c r="M30" i="3" s="1"/>
  <c r="E11" i="4"/>
  <c r="E18" i="4" s="1"/>
  <c r="N30" i="3" l="1"/>
  <c r="I30" i="3"/>
  <c r="K30" i="3" l="1"/>
  <c r="P37" i="3" s="1"/>
  <c r="O30" i="3"/>
  <c r="P30" i="3"/>
  <c r="Q30" i="3"/>
  <c r="F29" i="3"/>
  <c r="E29" i="3"/>
  <c r="B29" i="3"/>
  <c r="A28" i="3"/>
  <c r="E16" i="2"/>
  <c r="B12" i="2"/>
  <c r="B7" i="2"/>
  <c r="D29" i="3"/>
  <c r="I4" i="2"/>
  <c r="I5" i="2" s="1"/>
  <c r="R30" i="3" l="1"/>
  <c r="P38" i="3"/>
  <c r="P39" i="3" s="1"/>
  <c r="L29" i="3"/>
  <c r="M29" i="3" s="1"/>
  <c r="S30" i="3"/>
  <c r="E5" i="2"/>
  <c r="G29" i="3"/>
  <c r="H29" i="3"/>
  <c r="I29" i="3" s="1"/>
  <c r="E6" i="2"/>
  <c r="E3" i="2"/>
  <c r="E4" i="2"/>
  <c r="E13" i="2"/>
  <c r="E17" i="2" s="1"/>
  <c r="J29" i="3" l="1"/>
  <c r="N29" i="3"/>
  <c r="R31" i="3"/>
  <c r="S31" i="3" s="1"/>
  <c r="E11" i="2"/>
  <c r="E18" i="2" s="1"/>
  <c r="B12" i="1"/>
  <c r="B28" i="3"/>
  <c r="F28" i="3"/>
  <c r="E28" i="3"/>
  <c r="P29" i="3" l="1"/>
  <c r="O29" i="3"/>
  <c r="K29" i="3"/>
  <c r="D28" i="3"/>
  <c r="H28" i="3" s="1"/>
  <c r="F3" i="3"/>
  <c r="G3" i="3" s="1"/>
  <c r="R29" i="3" l="1"/>
  <c r="S29" i="3" s="1"/>
  <c r="Q29" i="3"/>
  <c r="L28" i="3"/>
  <c r="I28" i="3"/>
  <c r="J28" i="3" s="1"/>
  <c r="K28" i="3" s="1"/>
  <c r="E16" i="1"/>
  <c r="M28" i="3" l="1"/>
  <c r="P28" i="3" s="1"/>
  <c r="I4" i="1"/>
  <c r="N28" i="3" l="1"/>
  <c r="Q28" i="3" s="1"/>
  <c r="B7" i="1"/>
  <c r="G28" i="3" s="1"/>
  <c r="O28" i="3" l="1"/>
  <c r="E6" i="1"/>
  <c r="E13" i="1"/>
  <c r="E17" i="1" s="1"/>
  <c r="E3" i="1"/>
  <c r="E4" i="1"/>
  <c r="E5" i="1"/>
  <c r="R28" i="3" l="1"/>
  <c r="S28" i="3" s="1"/>
  <c r="E11" i="1"/>
  <c r="E18" i="1" s="1"/>
  <c r="I5" i="1"/>
</calcChain>
</file>

<file path=xl/sharedStrings.xml><?xml version="1.0" encoding="utf-8"?>
<sst xmlns="http://schemas.openxmlformats.org/spreadsheetml/2006/main" count="246" uniqueCount="143">
  <si>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</si>
  <si>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</si>
  <si>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</si>
  <si>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</si>
  <si>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</si>
  <si>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</si>
  <si>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</si>
  <si>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</si>
  <si>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</si>
  <si>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</si>
  <si>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</si>
  <si>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</si>
  <si>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</si>
  <si>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</si>
  <si>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</si>
  <si>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</si>
  <si>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</si>
  <si>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</si>
  <si>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</si>
  <si>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</si>
  <si>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</si>
  <si>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</si>
  <si>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</si>
  <si>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</si>
  <si>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</si>
  <si>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</si>
  <si>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</si>
  <si>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</si>
  <si>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</si>
  <si>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</si>
  <si>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</si>
  <si>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</si>
  <si>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</si>
  <si>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</si>
  <si>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</si>
  <si>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</si>
  <si>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</si>
  <si>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</si>
  <si>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</si>
  <si>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</si>
  <si>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</si>
  <si>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</si>
  <si>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</si>
  <si>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</si>
  <si>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</si>
  <si>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</si>
  <si>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</si>
  <si>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</si>
  <si>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</si>
  <si>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</si>
  <si>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</si>
  <si>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</si>
  <si>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</si>
  <si>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</si>
  <si>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</si>
  <si>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</si>
  <si>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</si>
  <si>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</si>
  <si>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</si>
  <si>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</si>
  <si>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</si>
  <si>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</si>
  <si>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</si>
  <si>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</si>
  <si>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</si>
  <si>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</si>
  <si>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</si>
  <si>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</si>
  <si>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</si>
  <si>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</si>
  <si>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</si>
  <si>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</si>
  <si>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</si>
  <si>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</si>
  <si>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</si>
  <si>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</si>
  <si>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</si>
  <si>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</si>
  <si>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</si>
  <si>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</si>
  <si>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</si>
  <si>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</si>
  <si>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</si>
  <si>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BB-33</t>
  </si>
  <si>
    <t>&lt;-- Beneficios</t>
  </si>
  <si>
    <t>1. Haber bajado en un año entre un 30% - 50%</t>
  </si>
  <si>
    <t>2. Los analistas les den un potencial alto, entre un 30% - 50% de potencial</t>
  </si>
  <si>
    <t>3. Volumen medio, alto &gt; 1 M / dia</t>
  </si>
  <si>
    <t>5. Deuda Baja: Todavia nose los niveles apropiados</t>
  </si>
  <si>
    <t>6. Índices ESG (medioambiente, responsabilidad social y gobierno corporativo) alto</t>
  </si>
  <si>
    <t>Analistas (2)</t>
  </si>
  <si>
    <t>GoldMan Sach</t>
  </si>
  <si>
    <t>JPMorgan</t>
  </si>
  <si>
    <t>Morgan Stanley</t>
  </si>
  <si>
    <t>BBVA</t>
  </si>
  <si>
    <t>ING</t>
  </si>
  <si>
    <t>Renta4</t>
  </si>
  <si>
    <t>Credit Suise</t>
  </si>
  <si>
    <t>Tiempo</t>
  </si>
  <si>
    <t>Fiabilidad</t>
  </si>
  <si>
    <t>Influencia</t>
  </si>
  <si>
    <t>Alta</t>
  </si>
  <si>
    <t>Largo</t>
  </si>
  <si>
    <t>Muy alta</t>
  </si>
  <si>
    <t>Corto</t>
  </si>
  <si>
    <t>Muy Alta</t>
  </si>
  <si>
    <t>Medio</t>
  </si>
  <si>
    <t>Muy Baja</t>
  </si>
  <si>
    <t>Media</t>
  </si>
  <si>
    <t>BHP Billiton plc (BIL.DE)</t>
  </si>
  <si>
    <t>OPERACION 2 (DE)</t>
  </si>
  <si>
    <t>OPERACION 1 (BE,NL)</t>
  </si>
  <si>
    <t>4. Bajada especulativa: Muchas opciones de venta PUT (&gt; 1%)</t>
  </si>
  <si>
    <t>menos +o-[30€/año] en custodia</t>
  </si>
  <si>
    <t>Dinero Bloqueado</t>
  </si>
  <si>
    <t>Hasta 30 de Abril</t>
  </si>
  <si>
    <t>7. Que no reparta dividendos o lo haga en acciones que no se sea ampliacion de capital</t>
  </si>
  <si>
    <t>Custodia de acciones  ITX.MC 2018</t>
  </si>
  <si>
    <t>Coche</t>
  </si>
  <si>
    <t>Entre 25 y 27.5</t>
  </si>
  <si>
    <t>Inditex</t>
  </si>
  <si>
    <t>BMW</t>
  </si>
  <si>
    <t>Entre 68 y 74.5</t>
  </si>
  <si>
    <t>Previsto</t>
  </si>
  <si>
    <t>Intradia</t>
  </si>
  <si>
    <t>68.11-75.54</t>
  </si>
  <si>
    <t>Custodia de acciones  ITX.MC 2019</t>
  </si>
  <si>
    <t>Interim dividend payment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</si>
  <si>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</si>
  <si>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</si>
  <si>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</si>
  <si>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</si>
  <si>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</si>
  <si>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</si>
  <si>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</si>
  <si>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</si>
  <si>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</si>
  <si>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</si>
  <si>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</si>
  <si>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</si>
  <si>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71.28-76.50</t>
  </si>
  <si>
    <t>BMW.DE</t>
  </si>
  <si>
    <t>Comisiones+Impuestos Compra BMW.DE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</si>
</sst>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8" fontId="4" fillId="0" borderId="0" xfId="0" applyNumberFormat="1" applyFont="1" applyAlignment="1">
      <alignment horizontal="left" vertical="center" wrapText="1" indent="1"/>
    </xf>
    <xf numFmtId="15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workbookViewId="0">
      <selection activeCell="H10" sqref="H10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42234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61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workbookViewId="0">
      <selection activeCell="B7" sqref="B7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4100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42471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t="s">
        <v>65</v>
      </c>
      <c r="D3" s="17" t="s">
        <v>3</v>
      </c>
      <c r="E3" s="24">
        <f>IF(B$7 &gt;= 0.11,1,0)</f>
        <v>0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68.069999999999993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60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75.53</v>
      </c>
      <c r="C6">
        <v>76.430000000000007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0.10959306596151031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1</v>
      </c>
    </row>
    <row r="12" spans="1:10" x14ac:dyDescent="0.25">
      <c r="A12" t="s">
        <v>40</v>
      </c>
      <c r="B12" s="5">
        <f>(B4*0.1155)+B4</f>
        <v>75.932084999999987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D21" sqref="D21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4" t="s">
        <v>1</v>
      </c>
      <c r="E1" s="64"/>
      <c r="F1" s="28"/>
      <c r="H1" s="59" t="s">
        <v>13</v>
      </c>
      <c r="I1" s="59"/>
    </row>
    <row r="2" spans="1:10" ht="15.75" x14ac:dyDescent="0.25">
      <c r="A2" t="s">
        <v>12</v>
      </c>
      <c r="B2" s="4">
        <v>43154</v>
      </c>
      <c r="D2" s="62" t="s">
        <v>2</v>
      </c>
      <c r="E2" s="63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46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0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60" t="str">
        <f>IF(I4=2,"Se puede COMPRAR","Nada")</f>
        <v>Se puede COMPRAR</v>
      </c>
      <c r="J5" s="61"/>
    </row>
    <row r="6" spans="1:10" ht="15.75" x14ac:dyDescent="0.25">
      <c r="A6" t="s">
        <v>30</v>
      </c>
      <c r="B6" s="5">
        <v>30.57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0.1766743648960738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2</v>
      </c>
    </row>
    <row r="12" spans="1:10" x14ac:dyDescent="0.25">
      <c r="A12" t="s">
        <v>72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45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 xml:space="preserve">  Profit Warning</v>
      </c>
      <c r="F18" s="37"/>
    </row>
    <row r="20" spans="2:6" ht="15.75" x14ac:dyDescent="0.25">
      <c r="B20" t="s">
        <v>55</v>
      </c>
      <c r="D20" s="38" t="s">
        <v>35</v>
      </c>
    </row>
    <row r="21" spans="2:6" x14ac:dyDescent="0.25">
      <c r="B21" t="s">
        <v>56</v>
      </c>
      <c r="E21" s="33"/>
    </row>
    <row r="23" spans="2:6" x14ac:dyDescent="0.25">
      <c r="B23" s="54" t="s">
        <v>67</v>
      </c>
      <c r="E23" s="33"/>
    </row>
    <row r="24" spans="2:6" ht="15.75" x14ac:dyDescent="0.25">
      <c r="B24" s="53" t="s">
        <v>66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8"/>
  <sheetViews>
    <sheetView topLeftCell="H16" zoomScaleNormal="100" workbookViewId="0">
      <selection activeCell="R29" sqref="R29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5" t="s">
        <v>47</v>
      </c>
      <c r="I1" s="65"/>
      <c r="J1" s="65"/>
      <c r="K1" s="65"/>
      <c r="L1" s="66" t="s">
        <v>52</v>
      </c>
      <c r="M1" s="66"/>
      <c r="N1" s="66"/>
      <c r="O1" s="66"/>
      <c r="P1" s="67" t="s">
        <v>54</v>
      </c>
      <c r="Q1" s="67"/>
      <c r="R1" s="67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48</v>
      </c>
      <c r="I2" s="12" t="s">
        <v>49</v>
      </c>
      <c r="J2" s="12" t="s">
        <v>50</v>
      </c>
      <c r="K2" s="12" t="s">
        <v>51</v>
      </c>
      <c r="L2" s="12" t="s">
        <v>48</v>
      </c>
      <c r="M2" s="12" t="s">
        <v>49</v>
      </c>
      <c r="N2" s="12" t="s">
        <v>50</v>
      </c>
      <c r="O2" s="12" t="s">
        <v>53</v>
      </c>
      <c r="P2" s="12" t="s">
        <v>21</v>
      </c>
      <c r="Q2" s="12" t="s">
        <v>20</v>
      </c>
      <c r="R2" s="13" t="s">
        <v>57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74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41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42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43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41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60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44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60</v>
      </c>
    </row>
    <row r="17" spans="1:21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60</v>
      </c>
    </row>
    <row r="18" spans="1:21" x14ac:dyDescent="0.25">
      <c r="A18" s="7" t="s">
        <v>46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71</v>
      </c>
    </row>
    <row r="19" spans="1:21" x14ac:dyDescent="0.25">
      <c r="A19" s="7" t="s">
        <v>46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73</v>
      </c>
    </row>
    <row r="20" spans="1:21" x14ac:dyDescent="0.25">
      <c r="A20" s="7" t="s">
        <v>46</v>
      </c>
      <c r="C20" s="8">
        <v>43406</v>
      </c>
      <c r="D20" s="14"/>
      <c r="E20" s="9"/>
      <c r="F20" s="9">
        <f>32.34+41.16</f>
        <v>73.5</v>
      </c>
      <c r="G20" s="10"/>
      <c r="H20" s="9"/>
      <c r="I20" s="9"/>
      <c r="J20" s="9"/>
      <c r="K20" s="9"/>
      <c r="L20" s="9"/>
      <c r="M20" s="9"/>
      <c r="N20" s="9"/>
      <c r="O20" s="9"/>
      <c r="P20" s="9">
        <f>2.5+2.5+0.53+0.53</f>
        <v>6.0600000000000005</v>
      </c>
      <c r="Q20" s="9">
        <f>6.14+7.86+7.82+10</f>
        <v>31.82</v>
      </c>
      <c r="R20" s="9">
        <f>F20-P20-Q20</f>
        <v>35.619999999999997</v>
      </c>
      <c r="S20" s="10"/>
      <c r="T20" t="s">
        <v>73</v>
      </c>
    </row>
    <row r="21" spans="1:21" x14ac:dyDescent="0.25">
      <c r="A21" s="7"/>
      <c r="B21" s="8"/>
      <c r="C21" s="8"/>
      <c r="D21" s="14"/>
      <c r="E21" s="9"/>
      <c r="F21" s="9"/>
      <c r="G21" s="10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-25.87</v>
      </c>
      <c r="S21" s="10"/>
      <c r="T21" t="s">
        <v>117</v>
      </c>
    </row>
    <row r="22" spans="1:21" x14ac:dyDescent="0.25">
      <c r="A22" s="7"/>
      <c r="B22" s="8"/>
      <c r="C22" s="8"/>
      <c r="D22" s="14"/>
      <c r="E22" s="9"/>
      <c r="F22" s="9"/>
      <c r="G22" s="10"/>
      <c r="H22" s="9"/>
      <c r="I22" s="9"/>
      <c r="J22" s="9"/>
      <c r="K22" s="9"/>
      <c r="L22" s="9"/>
      <c r="M22" s="9"/>
      <c r="N22" s="9"/>
      <c r="O22" s="9"/>
      <c r="P22" s="9"/>
      <c r="Q22" s="9"/>
      <c r="R22" s="9">
        <f>-2.18-2.26</f>
        <v>-4.4399999999999995</v>
      </c>
      <c r="S22" s="10"/>
      <c r="T22" t="s">
        <v>126</v>
      </c>
    </row>
    <row r="23" spans="1:21" x14ac:dyDescent="0.25">
      <c r="A23" s="39" t="s">
        <v>141</v>
      </c>
      <c r="B23" s="8">
        <v>43550</v>
      </c>
      <c r="C23" s="8"/>
      <c r="D23" s="14"/>
      <c r="E23" s="9"/>
      <c r="F23" s="9"/>
      <c r="G23" s="10"/>
      <c r="H23" s="9"/>
      <c r="I23" s="9">
        <v>30.631499999999999</v>
      </c>
      <c r="J23" s="9">
        <v>14.294699999999999</v>
      </c>
      <c r="K23" s="9"/>
      <c r="L23" s="9"/>
      <c r="M23" s="9"/>
      <c r="N23" s="9"/>
      <c r="O23" s="9"/>
      <c r="P23" s="9"/>
      <c r="Q23" s="9"/>
      <c r="R23" s="9">
        <f>-I23-J23</f>
        <v>-44.926199999999994</v>
      </c>
      <c r="S23" s="10"/>
      <c r="T23" t="s">
        <v>142</v>
      </c>
    </row>
    <row r="24" spans="1:21" x14ac:dyDescent="0.25">
      <c r="A24" s="7"/>
      <c r="B24" s="8"/>
      <c r="C24" s="8"/>
      <c r="D24" s="14"/>
      <c r="E24" s="9"/>
      <c r="F24" s="9"/>
      <c r="G24" s="10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6" spans="1:21" x14ac:dyDescent="0.25">
      <c r="H26" s="15">
        <f t="shared" ref="H26:O26" si="0">SUM(H3:H25)</f>
        <v>17571.839999999997</v>
      </c>
      <c r="I26" s="15">
        <f t="shared" si="0"/>
        <v>72.891499999999994</v>
      </c>
      <c r="J26" s="15">
        <f t="shared" si="0"/>
        <v>28.044699999999999</v>
      </c>
      <c r="K26" s="15">
        <f t="shared" si="0"/>
        <v>0</v>
      </c>
      <c r="L26" s="15">
        <f t="shared" si="0"/>
        <v>0</v>
      </c>
      <c r="M26" s="15">
        <f t="shared" si="0"/>
        <v>0</v>
      </c>
      <c r="N26" s="15">
        <f t="shared" si="0"/>
        <v>0</v>
      </c>
      <c r="O26" s="15">
        <f t="shared" si="0"/>
        <v>0</v>
      </c>
      <c r="R26" s="15">
        <f>SUM(R3:R25)</f>
        <v>3177.9794679999995</v>
      </c>
      <c r="S26" s="16">
        <f>SUM(S3:S25)</f>
        <v>3.7548916419551364</v>
      </c>
    </row>
    <row r="27" spans="1:21" x14ac:dyDescent="0.25">
      <c r="H27" s="52"/>
      <c r="I27" s="52"/>
      <c r="J27" s="52"/>
      <c r="K27" s="52"/>
      <c r="L27" s="52"/>
      <c r="M27" s="52"/>
      <c r="N27" s="52"/>
      <c r="O27" s="52"/>
      <c r="R27" s="52"/>
      <c r="S27" s="51"/>
      <c r="T27" s="51"/>
      <c r="U27">
        <v>0.24199999999999999</v>
      </c>
    </row>
    <row r="28" spans="1:21" x14ac:dyDescent="0.25">
      <c r="A28" s="39" t="str">
        <f>'Operacion 1'!B$3</f>
        <v>ABI.BR</v>
      </c>
      <c r="B28" s="8">
        <f>'Operacion 1'!B$2</f>
        <v>42234</v>
      </c>
      <c r="C28" s="8"/>
      <c r="D28" s="14">
        <f>'Operacion 1'!B$5</f>
        <v>62</v>
      </c>
      <c r="E28" s="9">
        <f>'Operacion 1'!B$4</f>
        <v>89</v>
      </c>
      <c r="F28" s="9">
        <f>'Operacion 1'!B$6</f>
        <v>120</v>
      </c>
      <c r="G28" s="10">
        <f>'Operacion 1'!B$7</f>
        <v>0.348314606741573</v>
      </c>
      <c r="H28" s="9">
        <f>(E28*D28)</f>
        <v>5518</v>
      </c>
      <c r="I28" s="9">
        <f>IF((H28*0.005)&lt;20,20,(H28*0.005))</f>
        <v>27.59</v>
      </c>
      <c r="J28" s="9">
        <f>SUM(H28:I28)*0.0027</f>
        <v>14.973093</v>
      </c>
      <c r="K28" s="9">
        <f>SUM(H28:J28)</f>
        <v>5560.5630929999998</v>
      </c>
      <c r="L28" s="9">
        <f>D28*F28</f>
        <v>7440</v>
      </c>
      <c r="M28" s="9">
        <f>IF((L28*0.005)&lt;20,-20,-(L28*0.005))</f>
        <v>-37.200000000000003</v>
      </c>
      <c r="N28" s="9">
        <f>-(SUM(L28:M28)*0.0027)</f>
        <v>-19.987560000000002</v>
      </c>
      <c r="O28" s="9">
        <f>SUM(L28:N28)</f>
        <v>7382.8124400000006</v>
      </c>
      <c r="P28" s="9">
        <f>I28-M28</f>
        <v>64.790000000000006</v>
      </c>
      <c r="Q28" s="9">
        <f>J28-N28</f>
        <v>34.960653000000001</v>
      </c>
      <c r="R28" s="9">
        <f t="shared" ref="R28:R29" si="1">O28-K28</f>
        <v>1822.2493470000009</v>
      </c>
      <c r="S28" s="10">
        <f>R28/K28</f>
        <v>0.32770949929404947</v>
      </c>
      <c r="T28" t="s">
        <v>111</v>
      </c>
      <c r="U28" t="s">
        <v>113</v>
      </c>
    </row>
    <row r="29" spans="1:21" x14ac:dyDescent="0.25">
      <c r="A29" s="39" t="str">
        <f>'Operacion 2'!B$3</f>
        <v>BMV.DE</v>
      </c>
      <c r="B29" s="8">
        <f>'Operacion 2'!B$2</f>
        <v>42471</v>
      </c>
      <c r="C29" s="8"/>
      <c r="D29" s="14">
        <f>'Operacion 2'!B$5</f>
        <v>60</v>
      </c>
      <c r="E29" s="9">
        <f>'Operacion 2'!B$4</f>
        <v>68.069999999999993</v>
      </c>
      <c r="F29" s="9">
        <f>'Operacion 2'!B$6</f>
        <v>75.53</v>
      </c>
      <c r="G29" s="10">
        <f>'Operacion 2'!B$7</f>
        <v>0.10959306596151031</v>
      </c>
      <c r="H29" s="9">
        <f t="shared" ref="H29:H30" si="2">E29*D29</f>
        <v>4084.2</v>
      </c>
      <c r="I29" s="9">
        <f>IF((H29*(0.0075))&lt;30,30,(H29*(0.0075)))</f>
        <v>30.631499999999999</v>
      </c>
      <c r="J29" s="9">
        <f>H29*0.0035</f>
        <v>14.294699999999999</v>
      </c>
      <c r="K29" s="9">
        <f t="shared" ref="K29:K30" si="3">SUM(H29:J29)</f>
        <v>4129.1262000000006</v>
      </c>
      <c r="L29" s="9">
        <f t="shared" ref="L29:L30" si="4">D29*F29</f>
        <v>4531.8</v>
      </c>
      <c r="M29" s="9">
        <f>IF((L29*(0.0075))&lt;30,-30,-(L29*(0.0075)))</f>
        <v>-33.988500000000002</v>
      </c>
      <c r="N29" s="9">
        <f>-(L29*0.0035)</f>
        <v>-15.861300000000002</v>
      </c>
      <c r="O29" s="9">
        <f t="shared" ref="O29:O30" si="5">SUM(L29:N29)</f>
        <v>4481.9502000000002</v>
      </c>
      <c r="P29" s="9">
        <f t="shared" ref="P29:P30" si="6">I29-M29</f>
        <v>64.62</v>
      </c>
      <c r="Q29" s="9">
        <f t="shared" ref="Q29:Q30" si="7">J29-N29</f>
        <v>30.155999999999999</v>
      </c>
      <c r="R29" s="9">
        <f t="shared" si="1"/>
        <v>352.82399999999961</v>
      </c>
      <c r="S29" s="10">
        <f t="shared" ref="S29" si="8">R29/K29</f>
        <v>8.5447618433168629E-2</v>
      </c>
      <c r="T29" t="s">
        <v>110</v>
      </c>
      <c r="U29" t="s">
        <v>113</v>
      </c>
    </row>
    <row r="30" spans="1:21" x14ac:dyDescent="0.25">
      <c r="A30" s="39" t="str">
        <f>'Operacion 3'!B3</f>
        <v>ITX.MC</v>
      </c>
      <c r="B30" s="8">
        <f>'Operacion 3'!B$2</f>
        <v>43154</v>
      </c>
      <c r="C30" s="8"/>
      <c r="D30" s="14">
        <f>'Operacion 3'!B$5</f>
        <v>196</v>
      </c>
      <c r="E30" s="9">
        <f>'Operacion 3'!B$4</f>
        <v>25.98</v>
      </c>
      <c r="F30" s="9">
        <f>'Operacion 3'!B$6</f>
        <v>30.57</v>
      </c>
      <c r="G30" s="10">
        <f>'Operacion 3'!B$7</f>
        <v>0.1766743648960738</v>
      </c>
      <c r="H30" s="9">
        <f t="shared" si="2"/>
        <v>5092.08</v>
      </c>
      <c r="I30" s="9">
        <f>IF((H30*(0.0075+0.0008))&lt;30,30,(H30*(0.0075+0.0008)))</f>
        <v>42.264263999999997</v>
      </c>
      <c r="J30" s="9">
        <f>H30*0.0027</f>
        <v>13.748616</v>
      </c>
      <c r="K30" s="9">
        <f t="shared" si="3"/>
        <v>5148.0928800000002</v>
      </c>
      <c r="L30" s="9">
        <f t="shared" si="4"/>
        <v>5991.72</v>
      </c>
      <c r="M30" s="9">
        <f>IF((L30*(0.0075))&lt;30,-30,-(L30*(0.0075)))</f>
        <v>-44.937899999999999</v>
      </c>
      <c r="N30" s="9">
        <f>-(L30*0.0035)</f>
        <v>-20.971020000000003</v>
      </c>
      <c r="O30" s="9">
        <f t="shared" si="5"/>
        <v>5925.8110800000004</v>
      </c>
      <c r="P30" s="9">
        <f t="shared" si="6"/>
        <v>87.202163999999996</v>
      </c>
      <c r="Q30" s="9">
        <f t="shared" si="7"/>
        <v>34.719636000000001</v>
      </c>
      <c r="R30" s="9">
        <f>O30-K30</f>
        <v>777.71820000000025</v>
      </c>
      <c r="S30" s="10">
        <f>R30/K30</f>
        <v>0.15106918583799914</v>
      </c>
      <c r="T30" t="s">
        <v>58</v>
      </c>
      <c r="U30" t="s">
        <v>113</v>
      </c>
    </row>
    <row r="31" spans="1:21" x14ac:dyDescent="0.25">
      <c r="R31" s="56">
        <f>R30+SUM(R19:R22)</f>
        <v>821.6682000000003</v>
      </c>
      <c r="S31" s="10">
        <f>R31/K30</f>
        <v>0.15960632784853723</v>
      </c>
    </row>
    <row r="32" spans="1:21" x14ac:dyDescent="0.25">
      <c r="D32" s="48"/>
      <c r="H32" s="48" t="s">
        <v>59</v>
      </c>
      <c r="I32" s="48"/>
      <c r="J32" s="48" t="s">
        <v>62</v>
      </c>
      <c r="K32" s="48"/>
      <c r="L32" s="48"/>
      <c r="M32" s="48"/>
      <c r="N32" s="48"/>
      <c r="O32" s="48"/>
      <c r="R32" s="48"/>
    </row>
    <row r="33" spans="3:22" x14ac:dyDescent="0.25">
      <c r="F33" s="5"/>
      <c r="G33" s="48"/>
    </row>
    <row r="34" spans="3:22" x14ac:dyDescent="0.25">
      <c r="T34" t="s">
        <v>70</v>
      </c>
      <c r="U34">
        <v>26</v>
      </c>
    </row>
    <row r="35" spans="3:22" x14ac:dyDescent="0.25">
      <c r="H35" s="5"/>
      <c r="I35" s="5"/>
      <c r="J35" s="5"/>
      <c r="K35" s="5"/>
      <c r="L35" s="5"/>
      <c r="M35" s="5"/>
      <c r="N35" s="5"/>
      <c r="O35" s="5"/>
      <c r="P35" s="5"/>
      <c r="R35" s="5"/>
      <c r="T35" t="s">
        <v>68</v>
      </c>
      <c r="U35">
        <v>30.57</v>
      </c>
      <c r="V35" t="s">
        <v>115</v>
      </c>
    </row>
    <row r="36" spans="3:22" x14ac:dyDescent="0.25">
      <c r="D36" t="s">
        <v>64</v>
      </c>
      <c r="E36">
        <v>74.89</v>
      </c>
      <c r="F36">
        <v>52</v>
      </c>
      <c r="G36" s="10">
        <f>1-(F36/E36)</f>
        <v>0.30564828415008682</v>
      </c>
      <c r="N36">
        <v>6769.84</v>
      </c>
      <c r="O36">
        <v>74.459999999999994</v>
      </c>
      <c r="P36" s="5">
        <v>6695.38</v>
      </c>
      <c r="S36" s="10"/>
      <c r="T36" t="s">
        <v>69</v>
      </c>
      <c r="U36" s="3">
        <f>(U35/U34)-1</f>
        <v>0.17576923076923068</v>
      </c>
      <c r="V36" t="s">
        <v>83</v>
      </c>
    </row>
    <row r="37" spans="3:22" x14ac:dyDescent="0.25">
      <c r="D37" t="s">
        <v>63</v>
      </c>
      <c r="E37">
        <v>182.08</v>
      </c>
      <c r="F37">
        <v>126</v>
      </c>
      <c r="G37" s="10">
        <f>1-(F37/E37)</f>
        <v>0.30799648506151145</v>
      </c>
      <c r="H37" s="5"/>
      <c r="I37" s="5"/>
      <c r="J37" s="5"/>
      <c r="K37" s="5"/>
      <c r="L37" s="5"/>
      <c r="M37" s="5"/>
      <c r="N37" s="5"/>
      <c r="O37" s="5"/>
      <c r="P37" s="5">
        <f>P36-K30</f>
        <v>1547.28712</v>
      </c>
      <c r="R37" s="5"/>
    </row>
    <row r="38" spans="3:22" x14ac:dyDescent="0.25">
      <c r="D38" t="s">
        <v>65</v>
      </c>
      <c r="E38">
        <v>93.54</v>
      </c>
      <c r="F38">
        <v>65</v>
      </c>
      <c r="G38" s="10">
        <f>1-(F38/E38)</f>
        <v>0.30511011332050464</v>
      </c>
      <c r="H38" s="9"/>
      <c r="I38" s="9"/>
      <c r="J38" s="9"/>
      <c r="K38" s="5"/>
      <c r="P38" s="56">
        <f>P37*0.1</f>
        <v>154.728712</v>
      </c>
    </row>
    <row r="39" spans="3:22" x14ac:dyDescent="0.25">
      <c r="C39" t="s">
        <v>109</v>
      </c>
      <c r="E39">
        <v>20</v>
      </c>
      <c r="F39">
        <v>14</v>
      </c>
      <c r="G39" s="10">
        <f>1-(F39/E39)</f>
        <v>0.30000000000000004</v>
      </c>
      <c r="P39" s="56">
        <f>P37-P38</f>
        <v>1392.5584079999999</v>
      </c>
      <c r="R39" s="43"/>
    </row>
    <row r="40" spans="3:22" x14ac:dyDescent="0.25">
      <c r="F40" s="5"/>
      <c r="R40" s="9"/>
      <c r="S40">
        <f>(0.00242*12)</f>
        <v>2.9039999999999996E-2</v>
      </c>
    </row>
    <row r="41" spans="3:22" x14ac:dyDescent="0.25">
      <c r="O41" s="9"/>
      <c r="R41" s="45"/>
      <c r="S41">
        <f>4700*S40</f>
        <v>136.48799999999997</v>
      </c>
    </row>
    <row r="42" spans="3:22" x14ac:dyDescent="0.25">
      <c r="P42" s="3"/>
      <c r="R42" s="50" t="s">
        <v>123</v>
      </c>
      <c r="S42" s="48" t="s">
        <v>124</v>
      </c>
      <c r="T42" s="5"/>
    </row>
    <row r="43" spans="3:22" ht="15.75" x14ac:dyDescent="0.25">
      <c r="F43" s="5"/>
      <c r="Q43" t="s">
        <v>120</v>
      </c>
      <c r="R43" s="57" t="s">
        <v>119</v>
      </c>
      <c r="S43" s="49"/>
      <c r="T43" s="5"/>
    </row>
    <row r="44" spans="3:22" x14ac:dyDescent="0.25">
      <c r="E44" s="5"/>
      <c r="F44" s="5"/>
      <c r="Q44" t="s">
        <v>121</v>
      </c>
      <c r="R44" s="57" t="s">
        <v>122</v>
      </c>
      <c r="S44" t="s">
        <v>125</v>
      </c>
    </row>
    <row r="45" spans="3:22" x14ac:dyDescent="0.25">
      <c r="E45" s="5"/>
      <c r="F45" s="5"/>
      <c r="G45" s="5"/>
      <c r="J45" t="s">
        <v>127</v>
      </c>
      <c r="R45" s="5"/>
      <c r="S45" t="s">
        <v>140</v>
      </c>
      <c r="T45" s="5"/>
    </row>
    <row r="46" spans="3:22" x14ac:dyDescent="0.25">
      <c r="J46" s="58">
        <v>43587</v>
      </c>
      <c r="R46" s="43"/>
    </row>
    <row r="47" spans="3:22" x14ac:dyDescent="0.25">
      <c r="J47" t="s">
        <v>128</v>
      </c>
      <c r="R47" s="44"/>
    </row>
    <row r="48" spans="3:22" x14ac:dyDescent="0.25">
      <c r="J48" t="s">
        <v>129</v>
      </c>
      <c r="R48" s="57"/>
      <c r="S48">
        <f>5000/12</f>
        <v>416.66666666666669</v>
      </c>
    </row>
    <row r="49" spans="10:19" x14ac:dyDescent="0.25">
      <c r="J49" t="s">
        <v>130</v>
      </c>
      <c r="S49">
        <f>2.2/S48</f>
        <v>5.28E-3</v>
      </c>
    </row>
    <row r="50" spans="10:19" x14ac:dyDescent="0.25">
      <c r="J50" t="s">
        <v>131</v>
      </c>
      <c r="S50">
        <f>100*S49</f>
        <v>0.52800000000000002</v>
      </c>
    </row>
    <row r="51" spans="10:19" x14ac:dyDescent="0.25">
      <c r="J51" t="s">
        <v>132</v>
      </c>
      <c r="S51">
        <f>2.2*12</f>
        <v>26.400000000000002</v>
      </c>
    </row>
    <row r="52" spans="10:19" x14ac:dyDescent="0.25">
      <c r="J52" t="s">
        <v>133</v>
      </c>
    </row>
    <row r="53" spans="10:19" x14ac:dyDescent="0.25">
      <c r="J53" t="s">
        <v>134</v>
      </c>
    </row>
    <row r="54" spans="10:19" x14ac:dyDescent="0.25">
      <c r="J54" t="s">
        <v>135</v>
      </c>
    </row>
    <row r="55" spans="10:19" x14ac:dyDescent="0.25">
      <c r="J55" t="s">
        <v>136</v>
      </c>
    </row>
    <row r="56" spans="10:19" x14ac:dyDescent="0.25">
      <c r="J56" t="s">
        <v>137</v>
      </c>
    </row>
    <row r="57" spans="10:19" x14ac:dyDescent="0.25">
      <c r="J57" t="s">
        <v>138</v>
      </c>
    </row>
    <row r="58" spans="10:19" x14ac:dyDescent="0.25">
      <c r="J58" t="s">
        <v>139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9"/>
  <sheetViews>
    <sheetView tabSelected="1" workbookViewId="0">
      <selection activeCell="E11" sqref="E11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5" x14ac:dyDescent="0.25">
      <c r="A2" s="55" t="s">
        <v>76</v>
      </c>
      <c r="B2" s="55" t="s">
        <v>77</v>
      </c>
      <c r="C2" s="55" t="s">
        <v>78</v>
      </c>
      <c r="D2" s="55" t="s">
        <v>82</v>
      </c>
    </row>
    <row r="3" spans="1:5" x14ac:dyDescent="0.25">
      <c r="A3" t="s">
        <v>75</v>
      </c>
      <c r="B3" s="56">
        <f>1000-15.8</f>
        <v>984.2</v>
      </c>
      <c r="C3" s="3">
        <f>B3/B$7</f>
        <v>0.24097742519954951</v>
      </c>
      <c r="D3" s="56">
        <f>D$7*C3</f>
        <v>85.021655158905062</v>
      </c>
    </row>
    <row r="4" spans="1:5" x14ac:dyDescent="0.25">
      <c r="A4" t="s">
        <v>79</v>
      </c>
      <c r="B4" s="56">
        <f>1230</f>
        <v>1230</v>
      </c>
      <c r="C4" s="3">
        <f t="shared" ref="C4:C6" si="0">B4/B$7</f>
        <v>0.30116057000146906</v>
      </c>
      <c r="D4" s="56">
        <f t="shared" ref="D4:D6" si="1">D$7*C4</f>
        <v>106.25547230791831</v>
      </c>
    </row>
    <row r="5" spans="1:5" x14ac:dyDescent="0.25">
      <c r="A5" t="s">
        <v>80</v>
      </c>
      <c r="B5" s="56">
        <v>500</v>
      </c>
      <c r="C5" s="3">
        <f t="shared" si="0"/>
        <v>0.12242299593555654</v>
      </c>
      <c r="D5" s="56">
        <f t="shared" si="1"/>
        <v>43.193281425983059</v>
      </c>
    </row>
    <row r="6" spans="1:5" x14ac:dyDescent="0.25">
      <c r="A6" t="s">
        <v>118</v>
      </c>
      <c r="B6" s="56">
        <v>1370</v>
      </c>
      <c r="C6" s="3">
        <f t="shared" si="0"/>
        <v>0.33543900886342493</v>
      </c>
      <c r="D6" s="56">
        <f t="shared" si="1"/>
        <v>118.34959110719358</v>
      </c>
    </row>
    <row r="7" spans="1:5" x14ac:dyDescent="0.25">
      <c r="A7" t="s">
        <v>54</v>
      </c>
      <c r="B7" s="56">
        <f>SUM(B3:B6)</f>
        <v>4084.2</v>
      </c>
      <c r="C7" s="3">
        <f>SUM(C3:C6)</f>
        <v>1</v>
      </c>
      <c r="D7" s="56">
        <v>352.82</v>
      </c>
      <c r="E7" t="s">
        <v>84</v>
      </c>
    </row>
    <row r="8" spans="1:5" x14ac:dyDescent="0.25">
      <c r="B8" s="56"/>
    </row>
    <row r="9" spans="1:5" x14ac:dyDescent="0.25">
      <c r="B9" s="56"/>
    </row>
    <row r="11" spans="1:5" x14ac:dyDescent="0.25">
      <c r="A11" t="s">
        <v>114</v>
      </c>
      <c r="B11" s="56">
        <v>5092.08</v>
      </c>
    </row>
    <row r="12" spans="1:5" x14ac:dyDescent="0.25">
      <c r="A12" t="s">
        <v>54</v>
      </c>
      <c r="B12" s="56">
        <f>B7+B11</f>
        <v>9176.2799999999988</v>
      </c>
    </row>
    <row r="18" spans="2:2" x14ac:dyDescent="0.25">
      <c r="B18" s="56"/>
    </row>
    <row r="19" spans="2:2" x14ac:dyDescent="0.25">
      <c r="B19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24"/>
  <sheetViews>
    <sheetView workbookViewId="0">
      <selection activeCell="C12" sqref="C12"/>
    </sheetView>
  </sheetViews>
  <sheetFormatPr defaultRowHeight="15" x14ac:dyDescent="0.25"/>
  <cols>
    <col min="1" max="1" width="74.140625" customWidth="1"/>
    <col min="2" max="2" width="16.85546875" customWidth="1"/>
    <col min="4" max="4" width="10.5703125" customWidth="1"/>
  </cols>
  <sheetData>
    <row r="2" spans="1:4" x14ac:dyDescent="0.25">
      <c r="A2" s="55" t="s">
        <v>81</v>
      </c>
    </row>
    <row r="4" spans="1:4" x14ac:dyDescent="0.25">
      <c r="A4" t="s">
        <v>85</v>
      </c>
    </row>
    <row r="5" spans="1:4" x14ac:dyDescent="0.25">
      <c r="A5" t="s">
        <v>86</v>
      </c>
    </row>
    <row r="6" spans="1:4" x14ac:dyDescent="0.25">
      <c r="A6" t="s">
        <v>87</v>
      </c>
    </row>
    <row r="7" spans="1:4" x14ac:dyDescent="0.25">
      <c r="A7" t="s">
        <v>112</v>
      </c>
    </row>
    <row r="8" spans="1:4" x14ac:dyDescent="0.25">
      <c r="A8" t="s">
        <v>88</v>
      </c>
    </row>
    <row r="9" spans="1:4" x14ac:dyDescent="0.25">
      <c r="A9" t="s">
        <v>89</v>
      </c>
    </row>
    <row r="10" spans="1:4" x14ac:dyDescent="0.25">
      <c r="A10" t="s">
        <v>116</v>
      </c>
    </row>
    <row r="15" spans="1:4" x14ac:dyDescent="0.25">
      <c r="A15" s="55" t="s">
        <v>90</v>
      </c>
      <c r="B15" s="55" t="s">
        <v>99</v>
      </c>
      <c r="C15" s="55" t="s">
        <v>98</v>
      </c>
      <c r="D15" s="55" t="s">
        <v>100</v>
      </c>
    </row>
    <row r="17" spans="1:4" x14ac:dyDescent="0.25">
      <c r="A17" t="s">
        <v>91</v>
      </c>
      <c r="B17" t="s">
        <v>101</v>
      </c>
      <c r="C17" t="s">
        <v>102</v>
      </c>
      <c r="D17" t="s">
        <v>105</v>
      </c>
    </row>
    <row r="18" spans="1:4" x14ac:dyDescent="0.25">
      <c r="A18" t="s">
        <v>92</v>
      </c>
      <c r="B18" t="s">
        <v>103</v>
      </c>
      <c r="C18" t="s">
        <v>106</v>
      </c>
      <c r="D18" t="s">
        <v>101</v>
      </c>
    </row>
    <row r="19" spans="1:4" x14ac:dyDescent="0.25">
      <c r="A19" t="s">
        <v>93</v>
      </c>
      <c r="B19" t="s">
        <v>107</v>
      </c>
      <c r="C19" t="s">
        <v>104</v>
      </c>
      <c r="D19" t="s">
        <v>105</v>
      </c>
    </row>
    <row r="20" spans="1:4" x14ac:dyDescent="0.25">
      <c r="A20" t="s">
        <v>94</v>
      </c>
      <c r="B20" t="s">
        <v>101</v>
      </c>
      <c r="C20" t="s">
        <v>106</v>
      </c>
      <c r="D20" t="s">
        <v>108</v>
      </c>
    </row>
    <row r="21" spans="1:4" x14ac:dyDescent="0.25">
      <c r="A21" t="s">
        <v>95</v>
      </c>
      <c r="B21" t="s">
        <v>101</v>
      </c>
      <c r="C21" t="s">
        <v>102</v>
      </c>
      <c r="D21" t="s">
        <v>108</v>
      </c>
    </row>
    <row r="22" spans="1:4" x14ac:dyDescent="0.25">
      <c r="A22" t="s">
        <v>96</v>
      </c>
      <c r="B22" t="s">
        <v>105</v>
      </c>
      <c r="C22" t="s">
        <v>104</v>
      </c>
      <c r="D22" t="s">
        <v>107</v>
      </c>
    </row>
    <row r="23" spans="1:4" x14ac:dyDescent="0.25">
      <c r="A23" t="s">
        <v>97</v>
      </c>
      <c r="B23" t="s">
        <v>101</v>
      </c>
      <c r="C23" t="s">
        <v>104</v>
      </c>
      <c r="D23" t="s">
        <v>101</v>
      </c>
    </row>
    <row r="24" spans="1:4" x14ac:dyDescent="0.25">
      <c r="A24" t="s">
        <v>55</v>
      </c>
      <c r="B24" t="s">
        <v>105</v>
      </c>
      <c r="C24" t="s">
        <v>102</v>
      </c>
      <c r="D24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2019-03-26T16:39:52Z</dcterms:modified>
</cp:coreProperties>
</file>